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Shared drives\Hyundai Longueuil\a) Réalisé\2025\"/>
    </mc:Choice>
  </mc:AlternateContent>
  <xr:revisionPtr revIDLastSave="0" documentId="13_ncr:1_{8D7D5A6F-9812-4DA7-8816-CC04DCD875AC}" xr6:coauthVersionLast="47" xr6:coauthVersionMax="47" xr10:uidLastSave="{00000000-0000-0000-0000-000000000000}"/>
  <bookViews>
    <workbookView xWindow="28680" yWindow="-120" windowWidth="29040" windowHeight="15720" xr2:uid="{D14DB106-68DC-46EB-83CF-DB0FB1D670C2}"/>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2pager" sheetId="8" r:id="rId8"/>
    <sheet name="Print_Mois" sheetId="9" r:id="rId9"/>
    <sheet name="Print_AAD" sheetId="12" r:id="rId10"/>
    <sheet name="BV_Data_An_Cour" sheetId="15" r:id="rId11"/>
    <sheet name="Data_Validation" sheetId="16" r:id="rId12"/>
    <sheet name="BV_Data_An_Prec" sheetId="21" r:id="rId13"/>
  </sheets>
  <definedNames>
    <definedName name="_xlnm._FilterDatabase" localSheetId="10" hidden="1">BV_Data_An_Cour!$A$2:$AZ$792</definedName>
    <definedName name="_xlnm._FilterDatabase" localSheetId="12" hidden="1">BV_Data_An_Prec!$A$2:$AS$794</definedName>
    <definedName name="_xlnm._FilterDatabase" localSheetId="11" hidden="1">Data_Validation!$A$1:$E$986</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Print_AAD!$C$1:$S$354,Print_AAD!$V$403:$AO$499</definedName>
    <definedName name="_xlnm.Print_Area" localSheetId="8">Print_Mois!$C$1:$S$354,Print_Mois!$V$403:$AO$499</definedName>
  </definedNames>
  <calcPr calcId="191029"/>
</workbook>
</file>

<file path=xl/calcChain.xml><?xml version="1.0" encoding="utf-8"?>
<calcChain xmlns="http://schemas.openxmlformats.org/spreadsheetml/2006/main">
  <c r="Q266" i="12" l="1" a="1"/>
  <c r="P183" i="12"/>
  <c r="P183" i="9" l="1"/>
  <c r="AZ794" i="21"/>
  <c r="AX794" i="21"/>
  <c r="AV794" i="21"/>
  <c r="AU794" i="21"/>
  <c r="AT794" i="21"/>
  <c r="AZ793" i="21"/>
  <c r="AX793" i="21"/>
  <c r="AV793" i="21"/>
  <c r="AU793" i="21"/>
  <c r="AT793" i="21"/>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79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794"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X792" i="15"/>
  <c r="AW792" i="15" s="1"/>
  <c r="AV792" i="15"/>
  <c r="AU792" i="15"/>
  <c r="AT792" i="15"/>
  <c r="AX791" i="15"/>
  <c r="AV791" i="15"/>
  <c r="AU791" i="15"/>
  <c r="AT791" i="15"/>
  <c r="AX790" i="15"/>
  <c r="AV790" i="15"/>
  <c r="AU790" i="15"/>
  <c r="AT790" i="15"/>
  <c r="AX789" i="15"/>
  <c r="AW789" i="15" s="1"/>
  <c r="AV789" i="15"/>
  <c r="AU789" i="15"/>
  <c r="AT789" i="15"/>
  <c r="AX788" i="15"/>
  <c r="AV788" i="15"/>
  <c r="AU788" i="15"/>
  <c r="AT788" i="15"/>
  <c r="AX787" i="15"/>
  <c r="AV787" i="15"/>
  <c r="AU787" i="15"/>
  <c r="AT787" i="15"/>
  <c r="AX786" i="15"/>
  <c r="AW786" i="15" s="1"/>
  <c r="AV786" i="15"/>
  <c r="AU786" i="15"/>
  <c r="AT786" i="15"/>
  <c r="AX785" i="15"/>
  <c r="AV785" i="15"/>
  <c r="AU785" i="15"/>
  <c r="AT785" i="15"/>
  <c r="AX784" i="15"/>
  <c r="AV784" i="15"/>
  <c r="AU784" i="15"/>
  <c r="AT784" i="15"/>
  <c r="AX783" i="15"/>
  <c r="AW783" i="15" s="1"/>
  <c r="AV783" i="15"/>
  <c r="AU783" i="15"/>
  <c r="AT783" i="15"/>
  <c r="AX782" i="15"/>
  <c r="AV782" i="15"/>
  <c r="AU782" i="15"/>
  <c r="AT782" i="15"/>
  <c r="AX781" i="15"/>
  <c r="AV781" i="15"/>
  <c r="AU781" i="15"/>
  <c r="AT781" i="15"/>
  <c r="AX780" i="15"/>
  <c r="AW780" i="15" s="1"/>
  <c r="AV780" i="15"/>
  <c r="AU780" i="15"/>
  <c r="AT780" i="15"/>
  <c r="AX779" i="15"/>
  <c r="AV779" i="15"/>
  <c r="AU779" i="15"/>
  <c r="AT779" i="15"/>
  <c r="AX778" i="15"/>
  <c r="AV778" i="15"/>
  <c r="AU778" i="15"/>
  <c r="AT778" i="15"/>
  <c r="AX777" i="15"/>
  <c r="AW777" i="15" s="1"/>
  <c r="AV777" i="15"/>
  <c r="AU777" i="15"/>
  <c r="AT777" i="15"/>
  <c r="AX776" i="15"/>
  <c r="AV776" i="15"/>
  <c r="AU776" i="15"/>
  <c r="AT776" i="15"/>
  <c r="AX775" i="15"/>
  <c r="AV775" i="15"/>
  <c r="AU775" i="15"/>
  <c r="AT775" i="15"/>
  <c r="AX774" i="15"/>
  <c r="AW774" i="15" s="1"/>
  <c r="AV774" i="15"/>
  <c r="AU774" i="15"/>
  <c r="AT774" i="15"/>
  <c r="AX773" i="15"/>
  <c r="AV773" i="15"/>
  <c r="AU773" i="15"/>
  <c r="AT773" i="15"/>
  <c r="AX772" i="15"/>
  <c r="AV772" i="15"/>
  <c r="AU772" i="15"/>
  <c r="AT772" i="15"/>
  <c r="AX771" i="15"/>
  <c r="AW771" i="15" s="1"/>
  <c r="AV771" i="15"/>
  <c r="AU771" i="15"/>
  <c r="AT771" i="15"/>
  <c r="AX770" i="15"/>
  <c r="AV770" i="15"/>
  <c r="AU770" i="15"/>
  <c r="AT770" i="15"/>
  <c r="AX769" i="15"/>
  <c r="AV769" i="15"/>
  <c r="AU769" i="15"/>
  <c r="AT769" i="15"/>
  <c r="AX768" i="15"/>
  <c r="AW768" i="15" s="1"/>
  <c r="AV768" i="15"/>
  <c r="AU768" i="15"/>
  <c r="AT768" i="15"/>
  <c r="AX767" i="15"/>
  <c r="AV767" i="15"/>
  <c r="AU767" i="15"/>
  <c r="AT767" i="15"/>
  <c r="AX766" i="15"/>
  <c r="AV766" i="15"/>
  <c r="AU766" i="15"/>
  <c r="AT766" i="15"/>
  <c r="AX765" i="15"/>
  <c r="AW765" i="15" s="1"/>
  <c r="AV765" i="15"/>
  <c r="AU765" i="15"/>
  <c r="AT765" i="15"/>
  <c r="AX764" i="15"/>
  <c r="AV764" i="15"/>
  <c r="AU764" i="15"/>
  <c r="AT764" i="15"/>
  <c r="AX763" i="15"/>
  <c r="AV763" i="15"/>
  <c r="AU763" i="15"/>
  <c r="AT763" i="15"/>
  <c r="AX762" i="15"/>
  <c r="AW762" i="15" s="1"/>
  <c r="AV762" i="15"/>
  <c r="AU762" i="15"/>
  <c r="AT762" i="15"/>
  <c r="AX761" i="15"/>
  <c r="AV761" i="15"/>
  <c r="AU761" i="15"/>
  <c r="AT761" i="15"/>
  <c r="AX760" i="15"/>
  <c r="AV760" i="15"/>
  <c r="AU760" i="15"/>
  <c r="AT760" i="15"/>
  <c r="AX759" i="15"/>
  <c r="AW759" i="15" s="1"/>
  <c r="AV759" i="15"/>
  <c r="AU759" i="15"/>
  <c r="AT759" i="15"/>
  <c r="AX758" i="15"/>
  <c r="AV758" i="15"/>
  <c r="AU758" i="15"/>
  <c r="AT758" i="15"/>
  <c r="AX757" i="15"/>
  <c r="AV757" i="15"/>
  <c r="AU757" i="15"/>
  <c r="AT757" i="15"/>
  <c r="AX756" i="15"/>
  <c r="AW756" i="15" s="1"/>
  <c r="AV756" i="15"/>
  <c r="AU756" i="15"/>
  <c r="AT756" i="15"/>
  <c r="AX755" i="15"/>
  <c r="AV755" i="15"/>
  <c r="AU755" i="15"/>
  <c r="AT755" i="15"/>
  <c r="AX754" i="15"/>
  <c r="AV754" i="15"/>
  <c r="AU754" i="15"/>
  <c r="AT754" i="15"/>
  <c r="AX753" i="15"/>
  <c r="AW753" i="15" s="1"/>
  <c r="AV753" i="15"/>
  <c r="AU753" i="15"/>
  <c r="AT753" i="15"/>
  <c r="AX752" i="15"/>
  <c r="AV752" i="15"/>
  <c r="AU752" i="15"/>
  <c r="AT752" i="15"/>
  <c r="AX751" i="15"/>
  <c r="AV751" i="15"/>
  <c r="AU751" i="15"/>
  <c r="AT751" i="15"/>
  <c r="AX750" i="15"/>
  <c r="AW750" i="15" s="1"/>
  <c r="AV750" i="15"/>
  <c r="AU750" i="15"/>
  <c r="AT750" i="15"/>
  <c r="AX749" i="15"/>
  <c r="AV749" i="15"/>
  <c r="AU749" i="15"/>
  <c r="AT749" i="15"/>
  <c r="AX748" i="15"/>
  <c r="AV748" i="15"/>
  <c r="AU748" i="15"/>
  <c r="AT748" i="15"/>
  <c r="AX747" i="15"/>
  <c r="AW747" i="15" s="1"/>
  <c r="AV747" i="15"/>
  <c r="AU747" i="15"/>
  <c r="AT747" i="15"/>
  <c r="AX746" i="15"/>
  <c r="AV746" i="15"/>
  <c r="AU746" i="15"/>
  <c r="AT746" i="15"/>
  <c r="AX745" i="15"/>
  <c r="AV745" i="15"/>
  <c r="AU745" i="15"/>
  <c r="AT745" i="15"/>
  <c r="AX744" i="15"/>
  <c r="AW744" i="15" s="1"/>
  <c r="AV744" i="15"/>
  <c r="AU744" i="15"/>
  <c r="AT744" i="15"/>
  <c r="AX743" i="15"/>
  <c r="AV743" i="15"/>
  <c r="AU743" i="15"/>
  <c r="AT743" i="15"/>
  <c r="AX742" i="15"/>
  <c r="AV742" i="15"/>
  <c r="AU742" i="15"/>
  <c r="AT742" i="15"/>
  <c r="AX741" i="15"/>
  <c r="AW741" i="15" s="1"/>
  <c r="AV741" i="15"/>
  <c r="AU741" i="15"/>
  <c r="AT741" i="15"/>
  <c r="AX740" i="15"/>
  <c r="AV740" i="15"/>
  <c r="AU740" i="15"/>
  <c r="AT740" i="15"/>
  <c r="AX739" i="15"/>
  <c r="AV739" i="15"/>
  <c r="AU739" i="15"/>
  <c r="AT739" i="15"/>
  <c r="AX738" i="15"/>
  <c r="AW738" i="15" s="1"/>
  <c r="AV738" i="15"/>
  <c r="AU738" i="15"/>
  <c r="AT738" i="15"/>
  <c r="AX737" i="15"/>
  <c r="AV737" i="15"/>
  <c r="AU737" i="15"/>
  <c r="AT737" i="15"/>
  <c r="AX736" i="15"/>
  <c r="AV736" i="15"/>
  <c r="AU736" i="15"/>
  <c r="AT736" i="15"/>
  <c r="AX735" i="15"/>
  <c r="AW735" i="15" s="1"/>
  <c r="AV735" i="15"/>
  <c r="AU735" i="15"/>
  <c r="AT735" i="15"/>
  <c r="AX734" i="15"/>
  <c r="AV734" i="15"/>
  <c r="AU734" i="15"/>
  <c r="AT734" i="15"/>
  <c r="AX733" i="15"/>
  <c r="AV733" i="15"/>
  <c r="AU733" i="15"/>
  <c r="AT733" i="15"/>
  <c r="AX732" i="15"/>
  <c r="AW732" i="15" s="1"/>
  <c r="AV732" i="15"/>
  <c r="AU732" i="15"/>
  <c r="AT732" i="15"/>
  <c r="AX731" i="15"/>
  <c r="AV731" i="15"/>
  <c r="AU731" i="15"/>
  <c r="AT731" i="15"/>
  <c r="AX730" i="15"/>
  <c r="AV730" i="15"/>
  <c r="AU730" i="15"/>
  <c r="AT730" i="15"/>
  <c r="AX729" i="15"/>
  <c r="AW729" i="15" s="1"/>
  <c r="AV729" i="15"/>
  <c r="AU729" i="15"/>
  <c r="AT729" i="15"/>
  <c r="AX728" i="15"/>
  <c r="AV728" i="15"/>
  <c r="AU728" i="15"/>
  <c r="AT728" i="15"/>
  <c r="AX727" i="15"/>
  <c r="AV727" i="15"/>
  <c r="AU727" i="15"/>
  <c r="AT727" i="15"/>
  <c r="AX726" i="15"/>
  <c r="AW726" i="15" s="1"/>
  <c r="AV726" i="15"/>
  <c r="AU726" i="15"/>
  <c r="AT726" i="15"/>
  <c r="AX725" i="15"/>
  <c r="AV725" i="15"/>
  <c r="AU725" i="15"/>
  <c r="AT725" i="15"/>
  <c r="AX724" i="15"/>
  <c r="AV724" i="15"/>
  <c r="AU724" i="15"/>
  <c r="AT724" i="15"/>
  <c r="AX723" i="15"/>
  <c r="AW723" i="15" s="1"/>
  <c r="AV723" i="15"/>
  <c r="AU723" i="15"/>
  <c r="AT723" i="15"/>
  <c r="AX722" i="15"/>
  <c r="AV722" i="15"/>
  <c r="AU722" i="15"/>
  <c r="AT722" i="15"/>
  <c r="AX721" i="15"/>
  <c r="AV721" i="15"/>
  <c r="AU721" i="15"/>
  <c r="AT721" i="15"/>
  <c r="AX720" i="15"/>
  <c r="AW720" i="15" s="1"/>
  <c r="AV720" i="15"/>
  <c r="AU720" i="15"/>
  <c r="AT720" i="15"/>
  <c r="AX719" i="15"/>
  <c r="AV719" i="15"/>
  <c r="AU719" i="15"/>
  <c r="AT719" i="15"/>
  <c r="AX718" i="15"/>
  <c r="AV718" i="15"/>
  <c r="AU718" i="15"/>
  <c r="AT718" i="15"/>
  <c r="AX717" i="15"/>
  <c r="AW717" i="15" s="1"/>
  <c r="AV717" i="15"/>
  <c r="AU717" i="15"/>
  <c r="AT717" i="15"/>
  <c r="AX716" i="15"/>
  <c r="AV716" i="15"/>
  <c r="AU716" i="15"/>
  <c r="AT716" i="15"/>
  <c r="AX715" i="15"/>
  <c r="AV715" i="15"/>
  <c r="AU715" i="15"/>
  <c r="AT715" i="15"/>
  <c r="AX714" i="15"/>
  <c r="AW714" i="15" s="1"/>
  <c r="AV714" i="15"/>
  <c r="AU714" i="15"/>
  <c r="AT714" i="15"/>
  <c r="AX713" i="15"/>
  <c r="AV713" i="15"/>
  <c r="AU713" i="15"/>
  <c r="AT713" i="15"/>
  <c r="AX712" i="15"/>
  <c r="AV712" i="15"/>
  <c r="AU712" i="15"/>
  <c r="AT712" i="15"/>
  <c r="AX711" i="15"/>
  <c r="AW711" i="15" s="1"/>
  <c r="AV711" i="15"/>
  <c r="AU711" i="15"/>
  <c r="AT711" i="15"/>
  <c r="AX710" i="15"/>
  <c r="AV710" i="15"/>
  <c r="AU710" i="15"/>
  <c r="AT710" i="15"/>
  <c r="AX709" i="15"/>
  <c r="AV709" i="15"/>
  <c r="AU709" i="15"/>
  <c r="AT709" i="15"/>
  <c r="AX708" i="15"/>
  <c r="AW708" i="15" s="1"/>
  <c r="AV708" i="15"/>
  <c r="AU708" i="15"/>
  <c r="AT708" i="15"/>
  <c r="AX707" i="15"/>
  <c r="AV707" i="15"/>
  <c r="AU707" i="15"/>
  <c r="AT707" i="15"/>
  <c r="AX706" i="15"/>
  <c r="AV706" i="15"/>
  <c r="AU706" i="15"/>
  <c r="AT706" i="15"/>
  <c r="AX705" i="15"/>
  <c r="AW705" i="15" s="1"/>
  <c r="AV705" i="15"/>
  <c r="AU705" i="15"/>
  <c r="AT705" i="15"/>
  <c r="AX704" i="15"/>
  <c r="AV704" i="15"/>
  <c r="AU704" i="15"/>
  <c r="AT704" i="15"/>
  <c r="AX703" i="15"/>
  <c r="AV703" i="15"/>
  <c r="AU703" i="15"/>
  <c r="AT703" i="15"/>
  <c r="AX702" i="15"/>
  <c r="AW702" i="15" s="1"/>
  <c r="AV702" i="15"/>
  <c r="AU702" i="15"/>
  <c r="AT702" i="15"/>
  <c r="AX701" i="15"/>
  <c r="AV701" i="15"/>
  <c r="AU701" i="15"/>
  <c r="AT701" i="15"/>
  <c r="AX700" i="15"/>
  <c r="AV700" i="15"/>
  <c r="AU700" i="15"/>
  <c r="AT700" i="15"/>
  <c r="AX699" i="15"/>
  <c r="AW699" i="15" s="1"/>
  <c r="AV699" i="15"/>
  <c r="AU699" i="15"/>
  <c r="AT699" i="15"/>
  <c r="AX698" i="15"/>
  <c r="AV698" i="15"/>
  <c r="AU698" i="15"/>
  <c r="AT698" i="15"/>
  <c r="AX697" i="15"/>
  <c r="AV697" i="15"/>
  <c r="AU697" i="15"/>
  <c r="AT697" i="15"/>
  <c r="AX696" i="15"/>
  <c r="AW696" i="15" s="1"/>
  <c r="AV696" i="15"/>
  <c r="AU696" i="15"/>
  <c r="AT696" i="15"/>
  <c r="AX695" i="15"/>
  <c r="AV695" i="15"/>
  <c r="AU695" i="15"/>
  <c r="AT695" i="15"/>
  <c r="AX694" i="15"/>
  <c r="AV694" i="15"/>
  <c r="AU694" i="15"/>
  <c r="AT694" i="15"/>
  <c r="AX693" i="15"/>
  <c r="AW693" i="15" s="1"/>
  <c r="AV693" i="15"/>
  <c r="AU693" i="15"/>
  <c r="AT693" i="15"/>
  <c r="AX692" i="15"/>
  <c r="AV692" i="15"/>
  <c r="AU692" i="15"/>
  <c r="AT692" i="15"/>
  <c r="AX691" i="15"/>
  <c r="AV691" i="15"/>
  <c r="AU691" i="15"/>
  <c r="AT691" i="15"/>
  <c r="AX690" i="15"/>
  <c r="AW690" i="15" s="1"/>
  <c r="AV690" i="15"/>
  <c r="AU690" i="15"/>
  <c r="AT690" i="15"/>
  <c r="AX689" i="15"/>
  <c r="AV689" i="15"/>
  <c r="AU689" i="15"/>
  <c r="AT689" i="15"/>
  <c r="AX688" i="15"/>
  <c r="AV688" i="15"/>
  <c r="AU688" i="15"/>
  <c r="AT688" i="15"/>
  <c r="AX687" i="15"/>
  <c r="AW687" i="15" s="1"/>
  <c r="AV687" i="15"/>
  <c r="AU687" i="15"/>
  <c r="AT687" i="15"/>
  <c r="AX686" i="15"/>
  <c r="AV686" i="15"/>
  <c r="AU686" i="15"/>
  <c r="AT686" i="15"/>
  <c r="AX685" i="15"/>
  <c r="AV685" i="15"/>
  <c r="AU685" i="15"/>
  <c r="AT685" i="15"/>
  <c r="AX684" i="15"/>
  <c r="AW684" i="15" s="1"/>
  <c r="AV684" i="15"/>
  <c r="AU684" i="15"/>
  <c r="AT684" i="15"/>
  <c r="AX683" i="15"/>
  <c r="AW683" i="15" s="1"/>
  <c r="AV683" i="15"/>
  <c r="AU683" i="15"/>
  <c r="AT683" i="15"/>
  <c r="AX682" i="15"/>
  <c r="AV682" i="15"/>
  <c r="AU682" i="15"/>
  <c r="AT682" i="15"/>
  <c r="AX681" i="15"/>
  <c r="AW681" i="15" s="1"/>
  <c r="AV681" i="15"/>
  <c r="AU681" i="15"/>
  <c r="AT681" i="15"/>
  <c r="AX680" i="15"/>
  <c r="AW680" i="15" s="1"/>
  <c r="AV680" i="15"/>
  <c r="AU680" i="15"/>
  <c r="AT680" i="15"/>
  <c r="AX679" i="15"/>
  <c r="AV679" i="15"/>
  <c r="AU679" i="15"/>
  <c r="AT679" i="15"/>
  <c r="AX678" i="15"/>
  <c r="AW678" i="15" s="1"/>
  <c r="AV678" i="15"/>
  <c r="AU678" i="15"/>
  <c r="AT678" i="15"/>
  <c r="AX677" i="15"/>
  <c r="AW677" i="15" s="1"/>
  <c r="AV677" i="15"/>
  <c r="AU677" i="15"/>
  <c r="AT677" i="15"/>
  <c r="AX676" i="15"/>
  <c r="AV676" i="15"/>
  <c r="AU676" i="15"/>
  <c r="AT676" i="15"/>
  <c r="AX675" i="15"/>
  <c r="AW675" i="15" s="1"/>
  <c r="AV675" i="15"/>
  <c r="AU675" i="15"/>
  <c r="AT675" i="15"/>
  <c r="AX674" i="15"/>
  <c r="AW674" i="15" s="1"/>
  <c r="AV674" i="15"/>
  <c r="AU674" i="15"/>
  <c r="AT674" i="15"/>
  <c r="AX673" i="15"/>
  <c r="AV673" i="15"/>
  <c r="AU673" i="15"/>
  <c r="AT673" i="15"/>
  <c r="AX672" i="15"/>
  <c r="AW672" i="15" s="1"/>
  <c r="AV672" i="15"/>
  <c r="AU672" i="15"/>
  <c r="AT672" i="15"/>
  <c r="AX671" i="15"/>
  <c r="AW671" i="15" s="1"/>
  <c r="AV671" i="15"/>
  <c r="AU671" i="15"/>
  <c r="AT671" i="15"/>
  <c r="AX670" i="15"/>
  <c r="AV670" i="15"/>
  <c r="AU670" i="15"/>
  <c r="AT670" i="15"/>
  <c r="AX669" i="15"/>
  <c r="AW669" i="15" s="1"/>
  <c r="AV669" i="15"/>
  <c r="AU669" i="15"/>
  <c r="AT669" i="15"/>
  <c r="AX668" i="15"/>
  <c r="AW668" i="15" s="1"/>
  <c r="AV668" i="15"/>
  <c r="AU668" i="15"/>
  <c r="AT668" i="15"/>
  <c r="AX667" i="15"/>
  <c r="AV667" i="15"/>
  <c r="AU667" i="15"/>
  <c r="AT667" i="15"/>
  <c r="AX666" i="15"/>
  <c r="AW666" i="15" s="1"/>
  <c r="AV666" i="15"/>
  <c r="AU666" i="15"/>
  <c r="AT666" i="15"/>
  <c r="AX665" i="15"/>
  <c r="AW665" i="15" s="1"/>
  <c r="AV665" i="15"/>
  <c r="AU665" i="15"/>
  <c r="AT665" i="15"/>
  <c r="AX664" i="15"/>
  <c r="AV664" i="15"/>
  <c r="AU664" i="15"/>
  <c r="AT664" i="15"/>
  <c r="AX663" i="15"/>
  <c r="AW663" i="15" s="1"/>
  <c r="AV663" i="15"/>
  <c r="AU663" i="15"/>
  <c r="AT663" i="15"/>
  <c r="AX662" i="15"/>
  <c r="AW662" i="15" s="1"/>
  <c r="AV662" i="15"/>
  <c r="AU662" i="15"/>
  <c r="AT662" i="15"/>
  <c r="AX661" i="15"/>
  <c r="AV661" i="15"/>
  <c r="AU661" i="15"/>
  <c r="AT661" i="15"/>
  <c r="AX660" i="15"/>
  <c r="AW660" i="15" s="1"/>
  <c r="AV660" i="15"/>
  <c r="AU660" i="15"/>
  <c r="AT660" i="15"/>
  <c r="AX659" i="15"/>
  <c r="AW659" i="15" s="1"/>
  <c r="AV659" i="15"/>
  <c r="AU659" i="15"/>
  <c r="AT659" i="15"/>
  <c r="AX658" i="15"/>
  <c r="AV658" i="15"/>
  <c r="AU658" i="15"/>
  <c r="AT658" i="15"/>
  <c r="AX657" i="15"/>
  <c r="AW657" i="15" s="1"/>
  <c r="AV657" i="15"/>
  <c r="AU657" i="15"/>
  <c r="AT657" i="15"/>
  <c r="AX656" i="15"/>
  <c r="AW656" i="15" s="1"/>
  <c r="AV656" i="15"/>
  <c r="AU656" i="15"/>
  <c r="AT656" i="15"/>
  <c r="AX655" i="15"/>
  <c r="AV655" i="15"/>
  <c r="AU655" i="15"/>
  <c r="AT655" i="15"/>
  <c r="AX654" i="15"/>
  <c r="AW654" i="15" s="1"/>
  <c r="AV654" i="15"/>
  <c r="AU654" i="15"/>
  <c r="AT654" i="15"/>
  <c r="AX653" i="15"/>
  <c r="AW653" i="15" s="1"/>
  <c r="AV653" i="15"/>
  <c r="AU653" i="15"/>
  <c r="AT653" i="15"/>
  <c r="AX652" i="15"/>
  <c r="AV652" i="15"/>
  <c r="AU652" i="15"/>
  <c r="AT652" i="15"/>
  <c r="AX651" i="15"/>
  <c r="AW651" i="15" s="1"/>
  <c r="AV651" i="15"/>
  <c r="AU651" i="15"/>
  <c r="AT651" i="15"/>
  <c r="AX650" i="15"/>
  <c r="AW650" i="15" s="1"/>
  <c r="AV650" i="15"/>
  <c r="AU650" i="15"/>
  <c r="AT650" i="15"/>
  <c r="AX649" i="15"/>
  <c r="AV649" i="15"/>
  <c r="AU649" i="15"/>
  <c r="AT649" i="15"/>
  <c r="AX648" i="15"/>
  <c r="AW648" i="15" s="1"/>
  <c r="AV648" i="15"/>
  <c r="AU648" i="15"/>
  <c r="AT648" i="15"/>
  <c r="AX647" i="15"/>
  <c r="AW647" i="15" s="1"/>
  <c r="AV647" i="15"/>
  <c r="AU647" i="15"/>
  <c r="AT647" i="15"/>
  <c r="AX646" i="15"/>
  <c r="AV646" i="15"/>
  <c r="AU646" i="15"/>
  <c r="AT646" i="15"/>
  <c r="AX645" i="15"/>
  <c r="AW645" i="15" s="1"/>
  <c r="AV645" i="15"/>
  <c r="AU645" i="15"/>
  <c r="AT645" i="15"/>
  <c r="AX644" i="15"/>
  <c r="AW644" i="15" s="1"/>
  <c r="AV644" i="15"/>
  <c r="AU644" i="15"/>
  <c r="AT644" i="15"/>
  <c r="AX643" i="15"/>
  <c r="AV643" i="15"/>
  <c r="AU643" i="15"/>
  <c r="AT643" i="15"/>
  <c r="AX642" i="15"/>
  <c r="AW642" i="15" s="1"/>
  <c r="AV642" i="15"/>
  <c r="AU642" i="15"/>
  <c r="AT642" i="15"/>
  <c r="AX641" i="15"/>
  <c r="AW641" i="15" s="1"/>
  <c r="AV641" i="15"/>
  <c r="AU641" i="15"/>
  <c r="AT641" i="15"/>
  <c r="AX640" i="15"/>
  <c r="AW640" i="15" s="1"/>
  <c r="AV640" i="15"/>
  <c r="AU640" i="15"/>
  <c r="AT640" i="15"/>
  <c r="AX639" i="15"/>
  <c r="AW639" i="15" s="1"/>
  <c r="AV639" i="15"/>
  <c r="AU639" i="15"/>
  <c r="AT639" i="15"/>
  <c r="AX638" i="15"/>
  <c r="AW638" i="15" s="1"/>
  <c r="AV638" i="15"/>
  <c r="AU638" i="15"/>
  <c r="AT638" i="15"/>
  <c r="AX637" i="15"/>
  <c r="AW637" i="15" s="1"/>
  <c r="AV637" i="15"/>
  <c r="AU637" i="15"/>
  <c r="AT637" i="15"/>
  <c r="AX636" i="15"/>
  <c r="AW636" i="15" s="1"/>
  <c r="AV636" i="15"/>
  <c r="AU636" i="15"/>
  <c r="AT636" i="15"/>
  <c r="AX635" i="15"/>
  <c r="AW635" i="15" s="1"/>
  <c r="AV635" i="15"/>
  <c r="AU635" i="15"/>
  <c r="AT635" i="15"/>
  <c r="AX634" i="15"/>
  <c r="AW634" i="15" s="1"/>
  <c r="AV634" i="15"/>
  <c r="AU634" i="15"/>
  <c r="AT634" i="15"/>
  <c r="AX633" i="15"/>
  <c r="AW633" i="15" s="1"/>
  <c r="AV633" i="15"/>
  <c r="AU633" i="15"/>
  <c r="AT633" i="15"/>
  <c r="AX632" i="15"/>
  <c r="AW632" i="15" s="1"/>
  <c r="AV632" i="15"/>
  <c r="AU632" i="15"/>
  <c r="AT632" i="15"/>
  <c r="AX631" i="15"/>
  <c r="AW631" i="15" s="1"/>
  <c r="AV631" i="15"/>
  <c r="AU631" i="15"/>
  <c r="AT631" i="15"/>
  <c r="AX630" i="15"/>
  <c r="AW630" i="15" s="1"/>
  <c r="AV630" i="15"/>
  <c r="AU630" i="15"/>
  <c r="AT630" i="15"/>
  <c r="AX629" i="15"/>
  <c r="AW629" i="15" s="1"/>
  <c r="AV629" i="15"/>
  <c r="AU629" i="15"/>
  <c r="AT629" i="15"/>
  <c r="AX628" i="15"/>
  <c r="AW628" i="15" s="1"/>
  <c r="AV628" i="15"/>
  <c r="AU628" i="15"/>
  <c r="AT628" i="15"/>
  <c r="AX627" i="15"/>
  <c r="AW627" i="15" s="1"/>
  <c r="AV627" i="15"/>
  <c r="AU627" i="15"/>
  <c r="AT627" i="15"/>
  <c r="AX626" i="15"/>
  <c r="AW626" i="15" s="1"/>
  <c r="AV626" i="15"/>
  <c r="AU626" i="15"/>
  <c r="AT626" i="15"/>
  <c r="AX625" i="15"/>
  <c r="AW625" i="15" s="1"/>
  <c r="AV625" i="15"/>
  <c r="AU625" i="15"/>
  <c r="AT625" i="15"/>
  <c r="AX624" i="15"/>
  <c r="AW624" i="15" s="1"/>
  <c r="AV624" i="15"/>
  <c r="AU624" i="15"/>
  <c r="AT624" i="15"/>
  <c r="AX623" i="15"/>
  <c r="AW623" i="15" s="1"/>
  <c r="AV623" i="15"/>
  <c r="AU623" i="15"/>
  <c r="AT623" i="15"/>
  <c r="AX622" i="15"/>
  <c r="AW622" i="15" s="1"/>
  <c r="AV622" i="15"/>
  <c r="AU622" i="15"/>
  <c r="AT622" i="15"/>
  <c r="AX621" i="15"/>
  <c r="AW621" i="15" s="1"/>
  <c r="AV621" i="15"/>
  <c r="AU621" i="15"/>
  <c r="AT621" i="15"/>
  <c r="AX620" i="15"/>
  <c r="AW620" i="15" s="1"/>
  <c r="AV620" i="15"/>
  <c r="AU620" i="15"/>
  <c r="AT620" i="15"/>
  <c r="AX619" i="15"/>
  <c r="AW619" i="15" s="1"/>
  <c r="AV619" i="15"/>
  <c r="AU619" i="15"/>
  <c r="AT619" i="15"/>
  <c r="AX618" i="15"/>
  <c r="AW618" i="15" s="1"/>
  <c r="AV618" i="15"/>
  <c r="AU618" i="15"/>
  <c r="AT618" i="15"/>
  <c r="AX617" i="15"/>
  <c r="AW617" i="15" s="1"/>
  <c r="AV617" i="15"/>
  <c r="AU617" i="15"/>
  <c r="AT617" i="15"/>
  <c r="AX616" i="15"/>
  <c r="AW616" i="15" s="1"/>
  <c r="AV616" i="15"/>
  <c r="AU616" i="15"/>
  <c r="AT616" i="15"/>
  <c r="AX615" i="15"/>
  <c r="AW615" i="15" s="1"/>
  <c r="AV615" i="15"/>
  <c r="AU615" i="15"/>
  <c r="AT615" i="15"/>
  <c r="AX614" i="15"/>
  <c r="AW614" i="15" s="1"/>
  <c r="AV614" i="15"/>
  <c r="AU614" i="15"/>
  <c r="AT614" i="15"/>
  <c r="AX613" i="15"/>
  <c r="AW613" i="15" s="1"/>
  <c r="AV613" i="15"/>
  <c r="AU613" i="15"/>
  <c r="AT613" i="15"/>
  <c r="AX612" i="15"/>
  <c r="AW612" i="15" s="1"/>
  <c r="AV612" i="15"/>
  <c r="AU612" i="15"/>
  <c r="AT612" i="15"/>
  <c r="AX611" i="15"/>
  <c r="AW611" i="15" s="1"/>
  <c r="AV611" i="15"/>
  <c r="AU611" i="15"/>
  <c r="AT611" i="15"/>
  <c r="AX610" i="15"/>
  <c r="AW610" i="15" s="1"/>
  <c r="AV610" i="15"/>
  <c r="AU610" i="15"/>
  <c r="AT610" i="15"/>
  <c r="AX609" i="15"/>
  <c r="AW609" i="15" s="1"/>
  <c r="AV609" i="15"/>
  <c r="AU609" i="15"/>
  <c r="AT609" i="15"/>
  <c r="AX608" i="15"/>
  <c r="AW608" i="15" s="1"/>
  <c r="AV608" i="15"/>
  <c r="AU608" i="15"/>
  <c r="AT608" i="15"/>
  <c r="AX607" i="15"/>
  <c r="AW607" i="15" s="1"/>
  <c r="AV607" i="15"/>
  <c r="AU607" i="15"/>
  <c r="AT607" i="15"/>
  <c r="AX606" i="15"/>
  <c r="AW606" i="15" s="1"/>
  <c r="AV606" i="15"/>
  <c r="AU606" i="15"/>
  <c r="AT606" i="15"/>
  <c r="AX605" i="15"/>
  <c r="AW605" i="15" s="1"/>
  <c r="AV605" i="15"/>
  <c r="AU605" i="15"/>
  <c r="AT605" i="15"/>
  <c r="AX604" i="15"/>
  <c r="AW604" i="15" s="1"/>
  <c r="AV604" i="15"/>
  <c r="AU604" i="15"/>
  <c r="AT604" i="15"/>
  <c r="AX603" i="15"/>
  <c r="AW603" i="15" s="1"/>
  <c r="AV603" i="15"/>
  <c r="AU603" i="15"/>
  <c r="AT603" i="15"/>
  <c r="AX602" i="15"/>
  <c r="AW602" i="15" s="1"/>
  <c r="AV602" i="15"/>
  <c r="AU602" i="15"/>
  <c r="AT602" i="15"/>
  <c r="AX601" i="15"/>
  <c r="AW601" i="15" s="1"/>
  <c r="AV601" i="15"/>
  <c r="AU601" i="15"/>
  <c r="AT601" i="15"/>
  <c r="AX600" i="15"/>
  <c r="AW600" i="15" s="1"/>
  <c r="AV600" i="15"/>
  <c r="AU600" i="15"/>
  <c r="AT600" i="15"/>
  <c r="AX599" i="15"/>
  <c r="AW599" i="15" s="1"/>
  <c r="AV599" i="15"/>
  <c r="AU599" i="15"/>
  <c r="AT599" i="15"/>
  <c r="AX598" i="15"/>
  <c r="AW598" i="15" s="1"/>
  <c r="AV598" i="15"/>
  <c r="AU598" i="15"/>
  <c r="AT598" i="15"/>
  <c r="AX597" i="15"/>
  <c r="AW597" i="15" s="1"/>
  <c r="AV597" i="15"/>
  <c r="AU597" i="15"/>
  <c r="AT597" i="15"/>
  <c r="AX596" i="15"/>
  <c r="AW596" i="15" s="1"/>
  <c r="AV596" i="15"/>
  <c r="AU596" i="15"/>
  <c r="AT596" i="15"/>
  <c r="AX595" i="15"/>
  <c r="AW595" i="15" s="1"/>
  <c r="AV595" i="15"/>
  <c r="AU595" i="15"/>
  <c r="AT595" i="15"/>
  <c r="AX594" i="15"/>
  <c r="AW594" i="15" s="1"/>
  <c r="AV594" i="15"/>
  <c r="AU594" i="15"/>
  <c r="AT594" i="15"/>
  <c r="AX593" i="15"/>
  <c r="AW593" i="15" s="1"/>
  <c r="AV593" i="15"/>
  <c r="AU593" i="15"/>
  <c r="AT593" i="15"/>
  <c r="AX592" i="15"/>
  <c r="AW592" i="15" s="1"/>
  <c r="AV592" i="15"/>
  <c r="AU592" i="15"/>
  <c r="AT592" i="15"/>
  <c r="AX591" i="15"/>
  <c r="AW591" i="15" s="1"/>
  <c r="AV591" i="15"/>
  <c r="AU591" i="15"/>
  <c r="AT591" i="15"/>
  <c r="AX590" i="15"/>
  <c r="AW590" i="15" s="1"/>
  <c r="AV590" i="15"/>
  <c r="AU590" i="15"/>
  <c r="AT590" i="15"/>
  <c r="AX589" i="15"/>
  <c r="AW589" i="15" s="1"/>
  <c r="AV589" i="15"/>
  <c r="AU589" i="15"/>
  <c r="AT589" i="15"/>
  <c r="AX588" i="15"/>
  <c r="AW588" i="15" s="1"/>
  <c r="AV588" i="15"/>
  <c r="AU588" i="15"/>
  <c r="AT588" i="15"/>
  <c r="AX587" i="15"/>
  <c r="AW587" i="15" s="1"/>
  <c r="AV587" i="15"/>
  <c r="AU587" i="15"/>
  <c r="AT587" i="15"/>
  <c r="AX586" i="15"/>
  <c r="AW586" i="15" s="1"/>
  <c r="AV586" i="15"/>
  <c r="AU586" i="15"/>
  <c r="AT586" i="15"/>
  <c r="AX585" i="15"/>
  <c r="AV585" i="15"/>
  <c r="AU585" i="15"/>
  <c r="AT585" i="15"/>
  <c r="AX584" i="15"/>
  <c r="AW584" i="15" s="1"/>
  <c r="AV584" i="15"/>
  <c r="AU584" i="15"/>
  <c r="AT584" i="15"/>
  <c r="AX583" i="15"/>
  <c r="AV583" i="15"/>
  <c r="AU583" i="15"/>
  <c r="AT583" i="15"/>
  <c r="AX582" i="15"/>
  <c r="AW582" i="15" s="1"/>
  <c r="AV582" i="15"/>
  <c r="AU582" i="15"/>
  <c r="AT582" i="15"/>
  <c r="AX581" i="15"/>
  <c r="AW581" i="15" s="1"/>
  <c r="AV581" i="15"/>
  <c r="AU581" i="15"/>
  <c r="AT581" i="15"/>
  <c r="AX580" i="15"/>
  <c r="AV580" i="15"/>
  <c r="AU580" i="15"/>
  <c r="AT580" i="15"/>
  <c r="AX579" i="15"/>
  <c r="AW579" i="15" s="1"/>
  <c r="AV579" i="15"/>
  <c r="AU579" i="15"/>
  <c r="AT579" i="15"/>
  <c r="AX578" i="15"/>
  <c r="AW578" i="15" s="1"/>
  <c r="AV578" i="15"/>
  <c r="AU578" i="15"/>
  <c r="AT578" i="15"/>
  <c r="AX577" i="15"/>
  <c r="AV577" i="15"/>
  <c r="AU577" i="15"/>
  <c r="AT577" i="15"/>
  <c r="AX576" i="15"/>
  <c r="AW576" i="15" s="1"/>
  <c r="AV576" i="15"/>
  <c r="AU576" i="15"/>
  <c r="AT576" i="15"/>
  <c r="AX575" i="15"/>
  <c r="AW575" i="15" s="1"/>
  <c r="AV575" i="15"/>
  <c r="AU575" i="15"/>
  <c r="AT575" i="15"/>
  <c r="AX574" i="15"/>
  <c r="AV574" i="15"/>
  <c r="AU574" i="15"/>
  <c r="AT574" i="15"/>
  <c r="AX573" i="15"/>
  <c r="AV573" i="15"/>
  <c r="AU573" i="15"/>
  <c r="AT573" i="15"/>
  <c r="AX572" i="15"/>
  <c r="AW572" i="15" s="1"/>
  <c r="AV572" i="15"/>
  <c r="AU572" i="15"/>
  <c r="AT572" i="15"/>
  <c r="AX571" i="15"/>
  <c r="AW571" i="15" s="1"/>
  <c r="AV571" i="15"/>
  <c r="AU571" i="15"/>
  <c r="AT571" i="15"/>
  <c r="AX570" i="15"/>
  <c r="AW570" i="15" s="1"/>
  <c r="AV570" i="15"/>
  <c r="AU570" i="15"/>
  <c r="AT570" i="15"/>
  <c r="AX569" i="15"/>
  <c r="AV569" i="15"/>
  <c r="AU569" i="15"/>
  <c r="AT569" i="15"/>
  <c r="AX568" i="15"/>
  <c r="AW568" i="15" s="1"/>
  <c r="AV568" i="15"/>
  <c r="AU568" i="15"/>
  <c r="AT568" i="15"/>
  <c r="AX567" i="15"/>
  <c r="AV567" i="15"/>
  <c r="AU567" i="15"/>
  <c r="AT567" i="15"/>
  <c r="AX566" i="15"/>
  <c r="AV566" i="15"/>
  <c r="AU566" i="15"/>
  <c r="AT566" i="15"/>
  <c r="AX565" i="15"/>
  <c r="AW565" i="15" s="1"/>
  <c r="AV565" i="15"/>
  <c r="AU565" i="15"/>
  <c r="AT565" i="15"/>
  <c r="AX564" i="15"/>
  <c r="AV564" i="15"/>
  <c r="AU564" i="15"/>
  <c r="AT564" i="15"/>
  <c r="AX563" i="15"/>
  <c r="AV563" i="15"/>
  <c r="AU563" i="15"/>
  <c r="AT563" i="15"/>
  <c r="AX562" i="15"/>
  <c r="AW562" i="15" s="1"/>
  <c r="AV562" i="15"/>
  <c r="AU562" i="15"/>
  <c r="AT562" i="15"/>
  <c r="AX561" i="15"/>
  <c r="AV561" i="15"/>
  <c r="AU561" i="15"/>
  <c r="AT561" i="15"/>
  <c r="AX560" i="15"/>
  <c r="AV560" i="15"/>
  <c r="AU560" i="15"/>
  <c r="AT560" i="15"/>
  <c r="AX559" i="15"/>
  <c r="AW559" i="15" s="1"/>
  <c r="AV559" i="15"/>
  <c r="AU559" i="15"/>
  <c r="AT559" i="15"/>
  <c r="AX558" i="15"/>
  <c r="AW558" i="15" s="1"/>
  <c r="AV558" i="15"/>
  <c r="AU558" i="15"/>
  <c r="AT558" i="15"/>
  <c r="AX557" i="15"/>
  <c r="AV557" i="15"/>
  <c r="AU557" i="15"/>
  <c r="AT557" i="15"/>
  <c r="AX556" i="15"/>
  <c r="AW556" i="15" s="1"/>
  <c r="AV556" i="15"/>
  <c r="AU556" i="15"/>
  <c r="AT556" i="15"/>
  <c r="AX555" i="15"/>
  <c r="AW555" i="15" s="1"/>
  <c r="AV555" i="15"/>
  <c r="AU555" i="15"/>
  <c r="AT555" i="15"/>
  <c r="AX554" i="15"/>
  <c r="AW554" i="15" s="1"/>
  <c r="AV554" i="15"/>
  <c r="AU554" i="15"/>
  <c r="AT554" i="15"/>
  <c r="AX553" i="15"/>
  <c r="AW553" i="15" s="1"/>
  <c r="AV553" i="15"/>
  <c r="AU553" i="15"/>
  <c r="AT553" i="15"/>
  <c r="AX552" i="15"/>
  <c r="AW552" i="15" s="1"/>
  <c r="AV552" i="15"/>
  <c r="AU552" i="15"/>
  <c r="AT552" i="15"/>
  <c r="AX551" i="15"/>
  <c r="AW551" i="15" s="1"/>
  <c r="AV551" i="15"/>
  <c r="AU551" i="15"/>
  <c r="AT551" i="15"/>
  <c r="AX550" i="15"/>
  <c r="AW550" i="15" s="1"/>
  <c r="AV550" i="15"/>
  <c r="AU550" i="15"/>
  <c r="AT550" i="15"/>
  <c r="AX549" i="15"/>
  <c r="AW549" i="15" s="1"/>
  <c r="AV549" i="15"/>
  <c r="AU549" i="15"/>
  <c r="AT549" i="15"/>
  <c r="AX548" i="15"/>
  <c r="AV548" i="15"/>
  <c r="AU548" i="15"/>
  <c r="AT548" i="15"/>
  <c r="AX547" i="15"/>
  <c r="AV547" i="15"/>
  <c r="AU547" i="15"/>
  <c r="AT547" i="15"/>
  <c r="AX546" i="15"/>
  <c r="AW546" i="15" s="1"/>
  <c r="AV546" i="15"/>
  <c r="AU546" i="15"/>
  <c r="AT546" i="15"/>
  <c r="AX545" i="15"/>
  <c r="AV545" i="15"/>
  <c r="AU545" i="15"/>
  <c r="AT545" i="15"/>
  <c r="AX544" i="15"/>
  <c r="AV544" i="15"/>
  <c r="AU544" i="15"/>
  <c r="AT544" i="15"/>
  <c r="AX543" i="15"/>
  <c r="AW543" i="15" s="1"/>
  <c r="AV543" i="15"/>
  <c r="AU543" i="15"/>
  <c r="AT543" i="15"/>
  <c r="AX542" i="15"/>
  <c r="AW542" i="15" s="1"/>
  <c r="AV542" i="15"/>
  <c r="AU542" i="15"/>
  <c r="AT542" i="15"/>
  <c r="AX541" i="15"/>
  <c r="AV541" i="15"/>
  <c r="AU541" i="15"/>
  <c r="AT541" i="15"/>
  <c r="AX540" i="15"/>
  <c r="AV540" i="15"/>
  <c r="AU540" i="15"/>
  <c r="AT540" i="15"/>
  <c r="AX539" i="15"/>
  <c r="AW539" i="15" s="1"/>
  <c r="AV539" i="15"/>
  <c r="AU539" i="15"/>
  <c r="AT539" i="15"/>
  <c r="AX538" i="15"/>
  <c r="AV538" i="15"/>
  <c r="AU538" i="15"/>
  <c r="AT538" i="15"/>
  <c r="AX537" i="15"/>
  <c r="AV537" i="15"/>
  <c r="AU537" i="15"/>
  <c r="AT537" i="15"/>
  <c r="AX536" i="15"/>
  <c r="AV536" i="15"/>
  <c r="AU536" i="15"/>
  <c r="AT536" i="15"/>
  <c r="AX535" i="15"/>
  <c r="AV535" i="15"/>
  <c r="AU535" i="15"/>
  <c r="AT535" i="15"/>
  <c r="AX534" i="15"/>
  <c r="AV534" i="15"/>
  <c r="AU534" i="15"/>
  <c r="AT534" i="15"/>
  <c r="AX533" i="15"/>
  <c r="AV533" i="15"/>
  <c r="AU533" i="15"/>
  <c r="AT533" i="15"/>
  <c r="AX532" i="15"/>
  <c r="AV532" i="15"/>
  <c r="AU532" i="15"/>
  <c r="AT532" i="15"/>
  <c r="AX531" i="15"/>
  <c r="AV531" i="15"/>
  <c r="AU531" i="15"/>
  <c r="AT531" i="15"/>
  <c r="AX530" i="15"/>
  <c r="AV530" i="15"/>
  <c r="AU530" i="15"/>
  <c r="AT530" i="15"/>
  <c r="AX529" i="15"/>
  <c r="AV529" i="15"/>
  <c r="AU529" i="15"/>
  <c r="AT529" i="15"/>
  <c r="AX528" i="15"/>
  <c r="AV528" i="15"/>
  <c r="AU528" i="15"/>
  <c r="AT528" i="15"/>
  <c r="AX527" i="15"/>
  <c r="AV527" i="15"/>
  <c r="AU527" i="15"/>
  <c r="AT527" i="15"/>
  <c r="AX526" i="15"/>
  <c r="AV526" i="15"/>
  <c r="AU526" i="15"/>
  <c r="AT526" i="15"/>
  <c r="AX525" i="15"/>
  <c r="AV525" i="15"/>
  <c r="AU525" i="15"/>
  <c r="AT525" i="15"/>
  <c r="AX524" i="15"/>
  <c r="AV524" i="15"/>
  <c r="AU524" i="15"/>
  <c r="AT524" i="15"/>
  <c r="AX523" i="15"/>
  <c r="AV523" i="15"/>
  <c r="AU523" i="15"/>
  <c r="AT523" i="15"/>
  <c r="AX522" i="15"/>
  <c r="AV522" i="15"/>
  <c r="AU522" i="15"/>
  <c r="AT522" i="15"/>
  <c r="AX521" i="15"/>
  <c r="AV521" i="15"/>
  <c r="AU521" i="15"/>
  <c r="AT521" i="15"/>
  <c r="AX520" i="15"/>
  <c r="AV520" i="15"/>
  <c r="AU520" i="15"/>
  <c r="AT520" i="15"/>
  <c r="AX519" i="15"/>
  <c r="AV519" i="15"/>
  <c r="AU519" i="15"/>
  <c r="AT519" i="15"/>
  <c r="AX518" i="15"/>
  <c r="AV518" i="15"/>
  <c r="AU518" i="15"/>
  <c r="AT518" i="15"/>
  <c r="AX517" i="15"/>
  <c r="AV517" i="15"/>
  <c r="AU517" i="15"/>
  <c r="AT517" i="15"/>
  <c r="AX516" i="15"/>
  <c r="AV516" i="15"/>
  <c r="AU516" i="15"/>
  <c r="AT516" i="15"/>
  <c r="AX515" i="15"/>
  <c r="AV515" i="15"/>
  <c r="AU515" i="15"/>
  <c r="AT515" i="15"/>
  <c r="AX514" i="15"/>
  <c r="AV514" i="15"/>
  <c r="AU514" i="15"/>
  <c r="AT514" i="15"/>
  <c r="AX513" i="15"/>
  <c r="AV513" i="15"/>
  <c r="AU513" i="15"/>
  <c r="AT513" i="15"/>
  <c r="AX512" i="15"/>
  <c r="AV512" i="15"/>
  <c r="AU512" i="15"/>
  <c r="AT512" i="15"/>
  <c r="AX511" i="15"/>
  <c r="AV511" i="15"/>
  <c r="AU511" i="15"/>
  <c r="AT511" i="15"/>
  <c r="AX510" i="15"/>
  <c r="AV510" i="15"/>
  <c r="AU510" i="15"/>
  <c r="AT510" i="15"/>
  <c r="AX509" i="15"/>
  <c r="AV509" i="15"/>
  <c r="AU509" i="15"/>
  <c r="AT509" i="15"/>
  <c r="AX508" i="15"/>
  <c r="AV508" i="15"/>
  <c r="AU508" i="15"/>
  <c r="AT508" i="15"/>
  <c r="AX507" i="15"/>
  <c r="AV507" i="15"/>
  <c r="AU507" i="15"/>
  <c r="AT507" i="15"/>
  <c r="AX506" i="15"/>
  <c r="AV506" i="15"/>
  <c r="AU506" i="15"/>
  <c r="AT506" i="15"/>
  <c r="AX505" i="15"/>
  <c r="AV505" i="15"/>
  <c r="AU505" i="15"/>
  <c r="AT505" i="15"/>
  <c r="AX504" i="15"/>
  <c r="AV504" i="15"/>
  <c r="AU504" i="15"/>
  <c r="AT504" i="15"/>
  <c r="AX503" i="15"/>
  <c r="AV503" i="15"/>
  <c r="AU503" i="15"/>
  <c r="AT503" i="15"/>
  <c r="AX502" i="15"/>
  <c r="AV502" i="15"/>
  <c r="AU502" i="15"/>
  <c r="AT502" i="15"/>
  <c r="AX501" i="15"/>
  <c r="AV501" i="15"/>
  <c r="AU501" i="15"/>
  <c r="AT501" i="15"/>
  <c r="AX500" i="15"/>
  <c r="AV500" i="15"/>
  <c r="AU500" i="15"/>
  <c r="AT500" i="15"/>
  <c r="AX499" i="15"/>
  <c r="AV499" i="15"/>
  <c r="AU499" i="15"/>
  <c r="AT499" i="15"/>
  <c r="AX498" i="15"/>
  <c r="AV498" i="15"/>
  <c r="AU498" i="15"/>
  <c r="AT498" i="15"/>
  <c r="AX497" i="15"/>
  <c r="AV497" i="15"/>
  <c r="AU497" i="15"/>
  <c r="AT497" i="15"/>
  <c r="AX496" i="15"/>
  <c r="AV496" i="15"/>
  <c r="AU496" i="15"/>
  <c r="AT496" i="15"/>
  <c r="AX495" i="15"/>
  <c r="AV495" i="15"/>
  <c r="AU495" i="15"/>
  <c r="AT495" i="15"/>
  <c r="AX494" i="15"/>
  <c r="AV494" i="15"/>
  <c r="AU494" i="15"/>
  <c r="AT494" i="15"/>
  <c r="AX493" i="15"/>
  <c r="AV493" i="15"/>
  <c r="AU493" i="15"/>
  <c r="AT493" i="15"/>
  <c r="AX492" i="15"/>
  <c r="AV492" i="15"/>
  <c r="AU492" i="15"/>
  <c r="AT492" i="15"/>
  <c r="AX491" i="15"/>
  <c r="AV491" i="15"/>
  <c r="AU491" i="15"/>
  <c r="AT491" i="15"/>
  <c r="AX490" i="15"/>
  <c r="AV490" i="15"/>
  <c r="AU490" i="15"/>
  <c r="AT490" i="15"/>
  <c r="AX489" i="15"/>
  <c r="AV489" i="15"/>
  <c r="AU489" i="15"/>
  <c r="AT489" i="15"/>
  <c r="AX488" i="15"/>
  <c r="AV488" i="15"/>
  <c r="AU488" i="15"/>
  <c r="AT488" i="15"/>
  <c r="AX487" i="15"/>
  <c r="AV487" i="15"/>
  <c r="AU487" i="15"/>
  <c r="AT487" i="15"/>
  <c r="AX486" i="15"/>
  <c r="AV486" i="15"/>
  <c r="AU486" i="15"/>
  <c r="AT486" i="15"/>
  <c r="AX485" i="15"/>
  <c r="AV485" i="15"/>
  <c r="AU485" i="15"/>
  <c r="AT485" i="15"/>
  <c r="AX484" i="15"/>
  <c r="AV484" i="15"/>
  <c r="AU484" i="15"/>
  <c r="AT484" i="15"/>
  <c r="AX483" i="15"/>
  <c r="AV483" i="15"/>
  <c r="AU483" i="15"/>
  <c r="AT483" i="15"/>
  <c r="AX482" i="15"/>
  <c r="AV482" i="15"/>
  <c r="AU482" i="15"/>
  <c r="AT482" i="15"/>
  <c r="AX481" i="15"/>
  <c r="AV481" i="15"/>
  <c r="AU481" i="15"/>
  <c r="AT481" i="15"/>
  <c r="AX480" i="15"/>
  <c r="AV480" i="15"/>
  <c r="AU480" i="15"/>
  <c r="AT480" i="15"/>
  <c r="AX479" i="15"/>
  <c r="AV479" i="15"/>
  <c r="AU479" i="15"/>
  <c r="AT479" i="15"/>
  <c r="AX478" i="15"/>
  <c r="AV478" i="15"/>
  <c r="AU478" i="15"/>
  <c r="AT478" i="15"/>
  <c r="AX477" i="15"/>
  <c r="AV477" i="15"/>
  <c r="AU477" i="15"/>
  <c r="AT477" i="15"/>
  <c r="AX476" i="15"/>
  <c r="AV476" i="15"/>
  <c r="AU476" i="15"/>
  <c r="AT476" i="15"/>
  <c r="AX475" i="15"/>
  <c r="AV475" i="15"/>
  <c r="AU475" i="15"/>
  <c r="AT475" i="15"/>
  <c r="AX474" i="15"/>
  <c r="AV474" i="15"/>
  <c r="AU474" i="15"/>
  <c r="AT474" i="15"/>
  <c r="AX473" i="15"/>
  <c r="AV473" i="15"/>
  <c r="AU473" i="15"/>
  <c r="AT473" i="15"/>
  <c r="AX472" i="15"/>
  <c r="AV472" i="15"/>
  <c r="AU472" i="15"/>
  <c r="AT472" i="15"/>
  <c r="AX471" i="15"/>
  <c r="AV471" i="15"/>
  <c r="AU471" i="15"/>
  <c r="AT471" i="15"/>
  <c r="AX470" i="15"/>
  <c r="AV470" i="15"/>
  <c r="AU470" i="15"/>
  <c r="AT470" i="15"/>
  <c r="AX469" i="15"/>
  <c r="AV469" i="15"/>
  <c r="AU469" i="15"/>
  <c r="AT469" i="15"/>
  <c r="AX468" i="15"/>
  <c r="AV468" i="15"/>
  <c r="AU468" i="15"/>
  <c r="AT468" i="15"/>
  <c r="AX467" i="15"/>
  <c r="AV467" i="15"/>
  <c r="AU467" i="15"/>
  <c r="AT467" i="15"/>
  <c r="AX466" i="15"/>
  <c r="AV466" i="15"/>
  <c r="AU466" i="15"/>
  <c r="AT466" i="15"/>
  <c r="AX465" i="15"/>
  <c r="AV465" i="15"/>
  <c r="AU465" i="15"/>
  <c r="AT465" i="15"/>
  <c r="AX464" i="15"/>
  <c r="AV464" i="15"/>
  <c r="AU464" i="15"/>
  <c r="AT464" i="15"/>
  <c r="AX463" i="15"/>
  <c r="AV463" i="15"/>
  <c r="AU463" i="15"/>
  <c r="AT463" i="15"/>
  <c r="AX462" i="15"/>
  <c r="AV462" i="15"/>
  <c r="AU462" i="15"/>
  <c r="AT462" i="15"/>
  <c r="AX461" i="15"/>
  <c r="AV461" i="15"/>
  <c r="AU461" i="15"/>
  <c r="AT461" i="15"/>
  <c r="AX460" i="15"/>
  <c r="AV460" i="15"/>
  <c r="AU460" i="15"/>
  <c r="AT460" i="15"/>
  <c r="AX459" i="15"/>
  <c r="AV459" i="15"/>
  <c r="AU459" i="15"/>
  <c r="AT459" i="15"/>
  <c r="AX458" i="15"/>
  <c r="AV458" i="15"/>
  <c r="AU458" i="15"/>
  <c r="AT458" i="15"/>
  <c r="AX457" i="15"/>
  <c r="AV457" i="15"/>
  <c r="AU457" i="15"/>
  <c r="AT457" i="15"/>
  <c r="AX456" i="15"/>
  <c r="AV456" i="15"/>
  <c r="AU456" i="15"/>
  <c r="AT456" i="15"/>
  <c r="AX455" i="15"/>
  <c r="AV455" i="15"/>
  <c r="AU455" i="15"/>
  <c r="AT455" i="15"/>
  <c r="AX454" i="15"/>
  <c r="AV454" i="15"/>
  <c r="AU454" i="15"/>
  <c r="AT454" i="15"/>
  <c r="AX453" i="15"/>
  <c r="AV453" i="15"/>
  <c r="AU453" i="15"/>
  <c r="AT453" i="15"/>
  <c r="AX452" i="15"/>
  <c r="AV452" i="15"/>
  <c r="AU452" i="15"/>
  <c r="AT452" i="15"/>
  <c r="AX451" i="15"/>
  <c r="AV451" i="15"/>
  <c r="AU451" i="15"/>
  <c r="AT451" i="15"/>
  <c r="AX450" i="15"/>
  <c r="AV450" i="15"/>
  <c r="AU450" i="15"/>
  <c r="AT450" i="15"/>
  <c r="AX449" i="15"/>
  <c r="AV449" i="15"/>
  <c r="AU449" i="15"/>
  <c r="AT449" i="15"/>
  <c r="AX448" i="15"/>
  <c r="AV448" i="15"/>
  <c r="AU448" i="15"/>
  <c r="AT448" i="15"/>
  <c r="AX447" i="15"/>
  <c r="AV447" i="15"/>
  <c r="AU447" i="15"/>
  <c r="AT447" i="15"/>
  <c r="AX446" i="15"/>
  <c r="AV446" i="15"/>
  <c r="AU446" i="15"/>
  <c r="AT446" i="15"/>
  <c r="AX445" i="15"/>
  <c r="AV445" i="15"/>
  <c r="AU445" i="15"/>
  <c r="AT445" i="15"/>
  <c r="AX444" i="15"/>
  <c r="AV444" i="15"/>
  <c r="AU444" i="15"/>
  <c r="AT444" i="15"/>
  <c r="AX443" i="15"/>
  <c r="AV443" i="15"/>
  <c r="AU443" i="15"/>
  <c r="AT443" i="15"/>
  <c r="AX442" i="15"/>
  <c r="AV442" i="15"/>
  <c r="AU442" i="15"/>
  <c r="AT442" i="15"/>
  <c r="AX441" i="15"/>
  <c r="AV441" i="15"/>
  <c r="AU441" i="15"/>
  <c r="AT441" i="15"/>
  <c r="AX440" i="15"/>
  <c r="AV440" i="15"/>
  <c r="AU440" i="15"/>
  <c r="AT440" i="15"/>
  <c r="AX439" i="15"/>
  <c r="AV439" i="15"/>
  <c r="AU439" i="15"/>
  <c r="AT439" i="15"/>
  <c r="AX438" i="15"/>
  <c r="AV438" i="15"/>
  <c r="AU438" i="15"/>
  <c r="AT438" i="15"/>
  <c r="AX437" i="15"/>
  <c r="AV437" i="15"/>
  <c r="AU437" i="15"/>
  <c r="AT437" i="15"/>
  <c r="AX436" i="15"/>
  <c r="AV436" i="15"/>
  <c r="AU436" i="15"/>
  <c r="AT436" i="15"/>
  <c r="AX435" i="15"/>
  <c r="AV435" i="15"/>
  <c r="AU435" i="15"/>
  <c r="AT435" i="15"/>
  <c r="AX434" i="15"/>
  <c r="AV434" i="15"/>
  <c r="AU434" i="15"/>
  <c r="AT434" i="15"/>
  <c r="AX433" i="15"/>
  <c r="AV433" i="15"/>
  <c r="AU433" i="15"/>
  <c r="AT433" i="15"/>
  <c r="AX432" i="15"/>
  <c r="AV432" i="15"/>
  <c r="AU432" i="15"/>
  <c r="AT432" i="15"/>
  <c r="AX431" i="15"/>
  <c r="AV431" i="15"/>
  <c r="AU431" i="15"/>
  <c r="AT431" i="15"/>
  <c r="AX430" i="15"/>
  <c r="AV430" i="15"/>
  <c r="AU430" i="15"/>
  <c r="AT430" i="15"/>
  <c r="AX429" i="15"/>
  <c r="AV429" i="15"/>
  <c r="AU429" i="15"/>
  <c r="AT429" i="15"/>
  <c r="AX428" i="15"/>
  <c r="AV428" i="15"/>
  <c r="AU428" i="15"/>
  <c r="AT428" i="15"/>
  <c r="AX427" i="15"/>
  <c r="AV427" i="15"/>
  <c r="AU427" i="15"/>
  <c r="AT427" i="15"/>
  <c r="AX426" i="15"/>
  <c r="AV426" i="15"/>
  <c r="AU426" i="15"/>
  <c r="AT426" i="15"/>
  <c r="AX425" i="15"/>
  <c r="AV425" i="15"/>
  <c r="AU425" i="15"/>
  <c r="AT425" i="15"/>
  <c r="AX424" i="15"/>
  <c r="AV424" i="15"/>
  <c r="AU424" i="15"/>
  <c r="AT424" i="15"/>
  <c r="AX423" i="15"/>
  <c r="AV423" i="15"/>
  <c r="AU423" i="15"/>
  <c r="AT423" i="15"/>
  <c r="AX422" i="15"/>
  <c r="AV422" i="15"/>
  <c r="AU422" i="15"/>
  <c r="AT422" i="15"/>
  <c r="AX421" i="15"/>
  <c r="AV421" i="15"/>
  <c r="AU421" i="15"/>
  <c r="AT421" i="15"/>
  <c r="AX420" i="15"/>
  <c r="AV420" i="15"/>
  <c r="AU420" i="15"/>
  <c r="AT420" i="15"/>
  <c r="AX419" i="15"/>
  <c r="AV419" i="15"/>
  <c r="AU419" i="15"/>
  <c r="AT419" i="15"/>
  <c r="AX418" i="15"/>
  <c r="AV418" i="15"/>
  <c r="AU418" i="15"/>
  <c r="AT418" i="15"/>
  <c r="AX417" i="15"/>
  <c r="AV417" i="15"/>
  <c r="AU417" i="15"/>
  <c r="AT417" i="15"/>
  <c r="AX416" i="15"/>
  <c r="AV416" i="15"/>
  <c r="AU416" i="15"/>
  <c r="AT416" i="15"/>
  <c r="AX415" i="15"/>
  <c r="AV415" i="15"/>
  <c r="AU415" i="15"/>
  <c r="AT415" i="15"/>
  <c r="AX414" i="15"/>
  <c r="AV414" i="15"/>
  <c r="AU414" i="15"/>
  <c r="AT414" i="15"/>
  <c r="AX413" i="15"/>
  <c r="AV413" i="15"/>
  <c r="AU413" i="15"/>
  <c r="AT413" i="15"/>
  <c r="AX412" i="15"/>
  <c r="AV412" i="15"/>
  <c r="AU412" i="15"/>
  <c r="AT412" i="15"/>
  <c r="AX411" i="15"/>
  <c r="AV411" i="15"/>
  <c r="AU411" i="15"/>
  <c r="AT411" i="15"/>
  <c r="AX410" i="15"/>
  <c r="AV410" i="15"/>
  <c r="AU410" i="15"/>
  <c r="AT410" i="15"/>
  <c r="AX409" i="15"/>
  <c r="AV409" i="15"/>
  <c r="AU409" i="15"/>
  <c r="AT409" i="15"/>
  <c r="AX408" i="15"/>
  <c r="AV408" i="15"/>
  <c r="AU408" i="15"/>
  <c r="AT408" i="15"/>
  <c r="AX407" i="15"/>
  <c r="AV407" i="15"/>
  <c r="AU407" i="15"/>
  <c r="AT407" i="15"/>
  <c r="AX406" i="15"/>
  <c r="AV406" i="15"/>
  <c r="AU406" i="15"/>
  <c r="AT406" i="15"/>
  <c r="AX405" i="15"/>
  <c r="AV405" i="15"/>
  <c r="AU405" i="15"/>
  <c r="AT405" i="15"/>
  <c r="AX404" i="15"/>
  <c r="AV404" i="15"/>
  <c r="AU404" i="15"/>
  <c r="AT404" i="15"/>
  <c r="AX403" i="15"/>
  <c r="AV403" i="15"/>
  <c r="AU403" i="15"/>
  <c r="AT403" i="15"/>
  <c r="AX402" i="15"/>
  <c r="AV402" i="15"/>
  <c r="AU402" i="15"/>
  <c r="AT402" i="15"/>
  <c r="AX401" i="15"/>
  <c r="AV401" i="15"/>
  <c r="AU401" i="15"/>
  <c r="AT401" i="15"/>
  <c r="AX400" i="15"/>
  <c r="AV400" i="15"/>
  <c r="AU400" i="15"/>
  <c r="AT400" i="15"/>
  <c r="AX399" i="15"/>
  <c r="AV399" i="15"/>
  <c r="AU399" i="15"/>
  <c r="AT399" i="15"/>
  <c r="AX398" i="15"/>
  <c r="AV398" i="15"/>
  <c r="AU398" i="15"/>
  <c r="AT398" i="15"/>
  <c r="AX397" i="15"/>
  <c r="AV397" i="15"/>
  <c r="AU397" i="15"/>
  <c r="AT397" i="15"/>
  <c r="AX396" i="15"/>
  <c r="AV396" i="15"/>
  <c r="AU396" i="15"/>
  <c r="AT396" i="15"/>
  <c r="AX395" i="15"/>
  <c r="AV395" i="15"/>
  <c r="AU395" i="15"/>
  <c r="AT395" i="15"/>
  <c r="AX394" i="15"/>
  <c r="AV394" i="15"/>
  <c r="AU394" i="15"/>
  <c r="AT394" i="15"/>
  <c r="AX393" i="15"/>
  <c r="AV393" i="15"/>
  <c r="AU393" i="15"/>
  <c r="AT393" i="15"/>
  <c r="AX392" i="15"/>
  <c r="AV392" i="15"/>
  <c r="AU392" i="15"/>
  <c r="AT392" i="15"/>
  <c r="AX391" i="15"/>
  <c r="AV391" i="15"/>
  <c r="AU391" i="15"/>
  <c r="AT391" i="15"/>
  <c r="AX390" i="15"/>
  <c r="AV390" i="15"/>
  <c r="AU390" i="15"/>
  <c r="AT390" i="15"/>
  <c r="AX389" i="15"/>
  <c r="AV389" i="15"/>
  <c r="AU389" i="15"/>
  <c r="AT389" i="15"/>
  <c r="AX388" i="15"/>
  <c r="AV388" i="15"/>
  <c r="AU388" i="15"/>
  <c r="AT388" i="15"/>
  <c r="AX387" i="15"/>
  <c r="AV387" i="15"/>
  <c r="AU387" i="15"/>
  <c r="AT387" i="15"/>
  <c r="AX386" i="15"/>
  <c r="AV386" i="15"/>
  <c r="AU386" i="15"/>
  <c r="AT386" i="15"/>
  <c r="AX385" i="15"/>
  <c r="AV385" i="15"/>
  <c r="AU385" i="15"/>
  <c r="AT385" i="15"/>
  <c r="AX384" i="15"/>
  <c r="AV384" i="15"/>
  <c r="AU384" i="15"/>
  <c r="AT384" i="15"/>
  <c r="AX383" i="15"/>
  <c r="AV383" i="15"/>
  <c r="AU383" i="15"/>
  <c r="AT383" i="15"/>
  <c r="AX382" i="15"/>
  <c r="AV382" i="15"/>
  <c r="AU382" i="15"/>
  <c r="AT382" i="15"/>
  <c r="AX381" i="15"/>
  <c r="AV381" i="15"/>
  <c r="AU381" i="15"/>
  <c r="AT381" i="15"/>
  <c r="AX380" i="15"/>
  <c r="AV380" i="15"/>
  <c r="AU380" i="15"/>
  <c r="AT380" i="15"/>
  <c r="AX379" i="15"/>
  <c r="AV379" i="15"/>
  <c r="AU379" i="15"/>
  <c r="AT379" i="15"/>
  <c r="AX378" i="15"/>
  <c r="AV378" i="15"/>
  <c r="AU378" i="15"/>
  <c r="AT378" i="15"/>
  <c r="AX377" i="15"/>
  <c r="AV377" i="15"/>
  <c r="AU377" i="15"/>
  <c r="AT377" i="15"/>
  <c r="AX376" i="15"/>
  <c r="AV376" i="15"/>
  <c r="AU376" i="15"/>
  <c r="AT376" i="15"/>
  <c r="AX375" i="15"/>
  <c r="AV375" i="15"/>
  <c r="AU375" i="15"/>
  <c r="AT375" i="15"/>
  <c r="AX374" i="15"/>
  <c r="AV374" i="15"/>
  <c r="AU374" i="15"/>
  <c r="AT374" i="15"/>
  <c r="AX373" i="15"/>
  <c r="AV373" i="15"/>
  <c r="AU373" i="15"/>
  <c r="AT373" i="15"/>
  <c r="AX372" i="15"/>
  <c r="AV372" i="15"/>
  <c r="AU372" i="15"/>
  <c r="AT372" i="15"/>
  <c r="AX371" i="15"/>
  <c r="AV371" i="15"/>
  <c r="AU371" i="15"/>
  <c r="AT371" i="15"/>
  <c r="AX370" i="15"/>
  <c r="AV370" i="15"/>
  <c r="AU370" i="15"/>
  <c r="AT370" i="15"/>
  <c r="AX369" i="15"/>
  <c r="AV369" i="15"/>
  <c r="AU369" i="15"/>
  <c r="AT369" i="15"/>
  <c r="AX368" i="15"/>
  <c r="AV368" i="15"/>
  <c r="AU368" i="15"/>
  <c r="AT368" i="15"/>
  <c r="AX367" i="15"/>
  <c r="AV367" i="15"/>
  <c r="AU367" i="15"/>
  <c r="AT367" i="15"/>
  <c r="AX366" i="15"/>
  <c r="AV366" i="15"/>
  <c r="AU366" i="15"/>
  <c r="AT366" i="15"/>
  <c r="AX365" i="15"/>
  <c r="AV365" i="15"/>
  <c r="AU365" i="15"/>
  <c r="AT365" i="15"/>
  <c r="AX364" i="15"/>
  <c r="AV364" i="15"/>
  <c r="AU364" i="15"/>
  <c r="AT364" i="15"/>
  <c r="AX363" i="15"/>
  <c r="AV363" i="15"/>
  <c r="AU363" i="15"/>
  <c r="AT363" i="15"/>
  <c r="AX362" i="15"/>
  <c r="AV362" i="15"/>
  <c r="AU362" i="15"/>
  <c r="AT362" i="15"/>
  <c r="AX361" i="15"/>
  <c r="AV361" i="15"/>
  <c r="AU361" i="15"/>
  <c r="AT361" i="15"/>
  <c r="AX360" i="15"/>
  <c r="AV360" i="15"/>
  <c r="AU360" i="15"/>
  <c r="AT360" i="15"/>
  <c r="AX359" i="15"/>
  <c r="AV359" i="15"/>
  <c r="AU359" i="15"/>
  <c r="AT359" i="15"/>
  <c r="AX358" i="15"/>
  <c r="AV358" i="15"/>
  <c r="AU358" i="15"/>
  <c r="AT358" i="15"/>
  <c r="AX357" i="15"/>
  <c r="AV357" i="15"/>
  <c r="AU357" i="15"/>
  <c r="AT357" i="15"/>
  <c r="AX356" i="15"/>
  <c r="AV356" i="15"/>
  <c r="AU356" i="15"/>
  <c r="AT356" i="15"/>
  <c r="AX355" i="15"/>
  <c r="AV355" i="15"/>
  <c r="AU355" i="15"/>
  <c r="AT355" i="15"/>
  <c r="AX354" i="15"/>
  <c r="AV354" i="15"/>
  <c r="AU354" i="15"/>
  <c r="AT354" i="15"/>
  <c r="AX353" i="15"/>
  <c r="AV353" i="15"/>
  <c r="AU353" i="15"/>
  <c r="AT353" i="15"/>
  <c r="AX352" i="15"/>
  <c r="AV352" i="15"/>
  <c r="AU352" i="15"/>
  <c r="AT352" i="15"/>
  <c r="AX351" i="15"/>
  <c r="AV351" i="15"/>
  <c r="AU351" i="15"/>
  <c r="AT351" i="15"/>
  <c r="AX350" i="15"/>
  <c r="AV350" i="15"/>
  <c r="AU350" i="15"/>
  <c r="AT350" i="15"/>
  <c r="AX349" i="15"/>
  <c r="AV349" i="15"/>
  <c r="AU349" i="15"/>
  <c r="AT349" i="15"/>
  <c r="AX348" i="15"/>
  <c r="AV348" i="15"/>
  <c r="AU348" i="15"/>
  <c r="AT348" i="15"/>
  <c r="AX347" i="15"/>
  <c r="AV347" i="15"/>
  <c r="AU347" i="15"/>
  <c r="AT347" i="15"/>
  <c r="AX346" i="15"/>
  <c r="AV346" i="15"/>
  <c r="AU346" i="15"/>
  <c r="AT346" i="15"/>
  <c r="AX345" i="15"/>
  <c r="AV345" i="15"/>
  <c r="AU345" i="15"/>
  <c r="AT345" i="15"/>
  <c r="AX344" i="15"/>
  <c r="AV344" i="15"/>
  <c r="AU344" i="15"/>
  <c r="AT344" i="15"/>
  <c r="AX343" i="15"/>
  <c r="AV343" i="15"/>
  <c r="AU343" i="15"/>
  <c r="AT343" i="15"/>
  <c r="AX342" i="15"/>
  <c r="AV342" i="15"/>
  <c r="AU342" i="15"/>
  <c r="AT342" i="15"/>
  <c r="AX341" i="15"/>
  <c r="AV341" i="15"/>
  <c r="AU341" i="15"/>
  <c r="AT341" i="15"/>
  <c r="AX340" i="15"/>
  <c r="AV340" i="15"/>
  <c r="AU340" i="15"/>
  <c r="AT340" i="15"/>
  <c r="AX339" i="15"/>
  <c r="AV339" i="15"/>
  <c r="AU339" i="15"/>
  <c r="AT339" i="15"/>
  <c r="AX338" i="15"/>
  <c r="AV338" i="15"/>
  <c r="AU338" i="15"/>
  <c r="AT338" i="15"/>
  <c r="AX337" i="15"/>
  <c r="AV337" i="15"/>
  <c r="AU337" i="15"/>
  <c r="AT337" i="15"/>
  <c r="AX336" i="15"/>
  <c r="AV336" i="15"/>
  <c r="AU336" i="15"/>
  <c r="AT336" i="15"/>
  <c r="AX335" i="15"/>
  <c r="AV335" i="15"/>
  <c r="AU335" i="15"/>
  <c r="AT335" i="15"/>
  <c r="AX334" i="15"/>
  <c r="AV334" i="15"/>
  <c r="AU334" i="15"/>
  <c r="AT334" i="15"/>
  <c r="AX333" i="15"/>
  <c r="AV333" i="15"/>
  <c r="AU333" i="15"/>
  <c r="AT333" i="15"/>
  <c r="AX332" i="15"/>
  <c r="AV332" i="15"/>
  <c r="AU332" i="15"/>
  <c r="AT332" i="15"/>
  <c r="AX331" i="15"/>
  <c r="AV331" i="15"/>
  <c r="AU331" i="15"/>
  <c r="AT331" i="15"/>
  <c r="AX330" i="15"/>
  <c r="AV330" i="15"/>
  <c r="AU330" i="15"/>
  <c r="AT330" i="15"/>
  <c r="AX329" i="15"/>
  <c r="AV329" i="15"/>
  <c r="AU329" i="15"/>
  <c r="AT329" i="15"/>
  <c r="AX328" i="15"/>
  <c r="AV328" i="15"/>
  <c r="AU328" i="15"/>
  <c r="AT328" i="15"/>
  <c r="AX327" i="15"/>
  <c r="AV327" i="15"/>
  <c r="AU327" i="15"/>
  <c r="AT327" i="15"/>
  <c r="AX326" i="15"/>
  <c r="AV326" i="15"/>
  <c r="AU326" i="15"/>
  <c r="AT326" i="15"/>
  <c r="AX325" i="15"/>
  <c r="AV325" i="15"/>
  <c r="AU325" i="15"/>
  <c r="AT325" i="15"/>
  <c r="AX324" i="15"/>
  <c r="AV324" i="15"/>
  <c r="AU324" i="15"/>
  <c r="AT324" i="15"/>
  <c r="AX323" i="15"/>
  <c r="AV323" i="15"/>
  <c r="AU323" i="15"/>
  <c r="AT323" i="15"/>
  <c r="AX322" i="15"/>
  <c r="AV322" i="15"/>
  <c r="AU322" i="15"/>
  <c r="AT322" i="15"/>
  <c r="AX321" i="15"/>
  <c r="AV321" i="15"/>
  <c r="AU321" i="15"/>
  <c r="AT321" i="15"/>
  <c r="AX320" i="15"/>
  <c r="AV320" i="15"/>
  <c r="AU320" i="15"/>
  <c r="AT320" i="15"/>
  <c r="AX319" i="15"/>
  <c r="AV319" i="15"/>
  <c r="AU319" i="15"/>
  <c r="AT319" i="15"/>
  <c r="AX318" i="15"/>
  <c r="AV318" i="15"/>
  <c r="AU318" i="15"/>
  <c r="AT318" i="15"/>
  <c r="AX317" i="15"/>
  <c r="AV317" i="15"/>
  <c r="AU317" i="15"/>
  <c r="AT317" i="15"/>
  <c r="AX316" i="15"/>
  <c r="AV316" i="15"/>
  <c r="AU316" i="15"/>
  <c r="AT316" i="15"/>
  <c r="AX315" i="15"/>
  <c r="AV315" i="15"/>
  <c r="AU315" i="15"/>
  <c r="AT315" i="15"/>
  <c r="AX314" i="15"/>
  <c r="AV314" i="15"/>
  <c r="AU314" i="15"/>
  <c r="AT314" i="15"/>
  <c r="AX313" i="15"/>
  <c r="AV313" i="15"/>
  <c r="AU313" i="15"/>
  <c r="AT313" i="15"/>
  <c r="AX312" i="15"/>
  <c r="AV312" i="15"/>
  <c r="AU312" i="15"/>
  <c r="AT312" i="15"/>
  <c r="AX311" i="15"/>
  <c r="AV311" i="15"/>
  <c r="AU311" i="15"/>
  <c r="AT311" i="15"/>
  <c r="AX310" i="15"/>
  <c r="AV310" i="15"/>
  <c r="AU310" i="15"/>
  <c r="AT310" i="15"/>
  <c r="AX309" i="15"/>
  <c r="AV309" i="15"/>
  <c r="AU309" i="15"/>
  <c r="AT309" i="15"/>
  <c r="AX308" i="15"/>
  <c r="AV308" i="15"/>
  <c r="AU308" i="15"/>
  <c r="AT308" i="15"/>
  <c r="AX307" i="15"/>
  <c r="AV307" i="15"/>
  <c r="AU307" i="15"/>
  <c r="AT307" i="15"/>
  <c r="AX306" i="15"/>
  <c r="AV306" i="15"/>
  <c r="AU306" i="15"/>
  <c r="AT306" i="15"/>
  <c r="AX305" i="15"/>
  <c r="AV305" i="15"/>
  <c r="AU305" i="15"/>
  <c r="AT305" i="15"/>
  <c r="AX304" i="15"/>
  <c r="AV304" i="15"/>
  <c r="AU304" i="15"/>
  <c r="AT304" i="15"/>
  <c r="AX303" i="15"/>
  <c r="AV303" i="15"/>
  <c r="AU303" i="15"/>
  <c r="AT303" i="15"/>
  <c r="AX302" i="15"/>
  <c r="AV302" i="15"/>
  <c r="AU302" i="15"/>
  <c r="AT302" i="15"/>
  <c r="AX301" i="15"/>
  <c r="AV301" i="15"/>
  <c r="AU301" i="15"/>
  <c r="AT301" i="15"/>
  <c r="AX300" i="15"/>
  <c r="AV300" i="15"/>
  <c r="AU300" i="15"/>
  <c r="AT300" i="15"/>
  <c r="AX299" i="15"/>
  <c r="AV299" i="15"/>
  <c r="AU299" i="15"/>
  <c r="AT299" i="15"/>
  <c r="AX298" i="15"/>
  <c r="AV298" i="15"/>
  <c r="AU298" i="15"/>
  <c r="AT298" i="15"/>
  <c r="AX297" i="15"/>
  <c r="AV297" i="15"/>
  <c r="AU297" i="15"/>
  <c r="AT297" i="15"/>
  <c r="AX296" i="15"/>
  <c r="AV296" i="15"/>
  <c r="AU296" i="15"/>
  <c r="AT296" i="15"/>
  <c r="AX295" i="15"/>
  <c r="AV295" i="15"/>
  <c r="AU295" i="15"/>
  <c r="AT295" i="15"/>
  <c r="AX294" i="15"/>
  <c r="AV294" i="15"/>
  <c r="AU294" i="15"/>
  <c r="AT294" i="15"/>
  <c r="AX293" i="15"/>
  <c r="AV293" i="15"/>
  <c r="AU293" i="15"/>
  <c r="AT293" i="15"/>
  <c r="AX292" i="15"/>
  <c r="AV292" i="15"/>
  <c r="AU292" i="15"/>
  <c r="AT292" i="15"/>
  <c r="AX291" i="15"/>
  <c r="AV291" i="15"/>
  <c r="AU291" i="15"/>
  <c r="AT291" i="15"/>
  <c r="AX290" i="15"/>
  <c r="AV290" i="15"/>
  <c r="AU290" i="15"/>
  <c r="AT290" i="15"/>
  <c r="AX289" i="15"/>
  <c r="AV289" i="15"/>
  <c r="AU289" i="15"/>
  <c r="AT289" i="15"/>
  <c r="AX288" i="15"/>
  <c r="AV288" i="15"/>
  <c r="AU288" i="15"/>
  <c r="AT288" i="15"/>
  <c r="AX287" i="15"/>
  <c r="AV287" i="15"/>
  <c r="AU287" i="15"/>
  <c r="AT287" i="15"/>
  <c r="AX286" i="15"/>
  <c r="AV286" i="15"/>
  <c r="AU286" i="15"/>
  <c r="AT286" i="15"/>
  <c r="AX285" i="15"/>
  <c r="AV285" i="15"/>
  <c r="AU285" i="15"/>
  <c r="AT285" i="15"/>
  <c r="AX284" i="15"/>
  <c r="AV284" i="15"/>
  <c r="AU284" i="15"/>
  <c r="AT284" i="15"/>
  <c r="AX283" i="15"/>
  <c r="AV283" i="15"/>
  <c r="AU283" i="15"/>
  <c r="AT283" i="15"/>
  <c r="AX282" i="15"/>
  <c r="AV282" i="15"/>
  <c r="AU282" i="15"/>
  <c r="AT282" i="15"/>
  <c r="AX281" i="15"/>
  <c r="AV281" i="15"/>
  <c r="AU281" i="15"/>
  <c r="AT281" i="15"/>
  <c r="AX280" i="15"/>
  <c r="AV280" i="15"/>
  <c r="AU280" i="15"/>
  <c r="AT280" i="15"/>
  <c r="AX279" i="15"/>
  <c r="AV279" i="15"/>
  <c r="AU279" i="15"/>
  <c r="AT279" i="15"/>
  <c r="AX278" i="15"/>
  <c r="AV278" i="15"/>
  <c r="AU278" i="15"/>
  <c r="AT278" i="15"/>
  <c r="AX277" i="15"/>
  <c r="AV277" i="15"/>
  <c r="AU277" i="15"/>
  <c r="AT277" i="15"/>
  <c r="AX276" i="15"/>
  <c r="AV276" i="15"/>
  <c r="AU276" i="15"/>
  <c r="AT276" i="15"/>
  <c r="AX275" i="15"/>
  <c r="AV275" i="15"/>
  <c r="AU275" i="15"/>
  <c r="AT275" i="15"/>
  <c r="AX274" i="15"/>
  <c r="AV274" i="15"/>
  <c r="AU274" i="15"/>
  <c r="AT274" i="15"/>
  <c r="AX273" i="15"/>
  <c r="AV273" i="15"/>
  <c r="AU273" i="15"/>
  <c r="AT273" i="15"/>
  <c r="AX272" i="15"/>
  <c r="AV272" i="15"/>
  <c r="AU272" i="15"/>
  <c r="AT272" i="15"/>
  <c r="AX271" i="15"/>
  <c r="AV271" i="15"/>
  <c r="AU271" i="15"/>
  <c r="AT271" i="15"/>
  <c r="AX270" i="15"/>
  <c r="AV270" i="15"/>
  <c r="AU270" i="15"/>
  <c r="AT270" i="15"/>
  <c r="AX269" i="15"/>
  <c r="AV269" i="15"/>
  <c r="AU269" i="15"/>
  <c r="AT269" i="15"/>
  <c r="AX268" i="15"/>
  <c r="AV268" i="15"/>
  <c r="AU268" i="15"/>
  <c r="AT268" i="15"/>
  <c r="AX267" i="15"/>
  <c r="AV267" i="15"/>
  <c r="AU267" i="15"/>
  <c r="AT267" i="15"/>
  <c r="AX266" i="15"/>
  <c r="AV266" i="15"/>
  <c r="AU266" i="15"/>
  <c r="AT266" i="15"/>
  <c r="AX265" i="15"/>
  <c r="AV265" i="15"/>
  <c r="AU265" i="15"/>
  <c r="AT265" i="15"/>
  <c r="AX264" i="15"/>
  <c r="AV264" i="15"/>
  <c r="AU264" i="15"/>
  <c r="AT264" i="15"/>
  <c r="AX263" i="15"/>
  <c r="AV263" i="15"/>
  <c r="AU263" i="15"/>
  <c r="AT263" i="15"/>
  <c r="AX262" i="15"/>
  <c r="AV262" i="15"/>
  <c r="AU262" i="15"/>
  <c r="AT262" i="15"/>
  <c r="AX261" i="15"/>
  <c r="AV261" i="15"/>
  <c r="AU261" i="15"/>
  <c r="AT261" i="15"/>
  <c r="AX260" i="15"/>
  <c r="AV260" i="15"/>
  <c r="AU260" i="15"/>
  <c r="AT260" i="15"/>
  <c r="AX259" i="15"/>
  <c r="AV259" i="15"/>
  <c r="AU259" i="15"/>
  <c r="AT259" i="15"/>
  <c r="AX258" i="15"/>
  <c r="AV258" i="15"/>
  <c r="AU258" i="15"/>
  <c r="AT258" i="15"/>
  <c r="AX257" i="15"/>
  <c r="AV257" i="15"/>
  <c r="AU257" i="15"/>
  <c r="AT257" i="15"/>
  <c r="AX256" i="15"/>
  <c r="AV256" i="15"/>
  <c r="AU256" i="15"/>
  <c r="AT256" i="15"/>
  <c r="AX255" i="15"/>
  <c r="AV255" i="15"/>
  <c r="AU255" i="15"/>
  <c r="AT255" i="15"/>
  <c r="AX254" i="15"/>
  <c r="AV254" i="15"/>
  <c r="AU254" i="15"/>
  <c r="AT254" i="15"/>
  <c r="AX253" i="15"/>
  <c r="AV253" i="15"/>
  <c r="AU253" i="15"/>
  <c r="AT253" i="15"/>
  <c r="AX252" i="15"/>
  <c r="AV252" i="15"/>
  <c r="AU252" i="15"/>
  <c r="AT252" i="15"/>
  <c r="AX251" i="15"/>
  <c r="AV251" i="15"/>
  <c r="AU251" i="15"/>
  <c r="AT251" i="15"/>
  <c r="AX250" i="15"/>
  <c r="AV250" i="15"/>
  <c r="AU250" i="15"/>
  <c r="AT250" i="15"/>
  <c r="AX249" i="15"/>
  <c r="AV249" i="15"/>
  <c r="AU249" i="15"/>
  <c r="AT249" i="15"/>
  <c r="AX248" i="15"/>
  <c r="AV248" i="15"/>
  <c r="AU248" i="15"/>
  <c r="AT248" i="15"/>
  <c r="AX247" i="15"/>
  <c r="AV247" i="15"/>
  <c r="AU247" i="15"/>
  <c r="AT247" i="15"/>
  <c r="AX246" i="15"/>
  <c r="AV246" i="15"/>
  <c r="AU246" i="15"/>
  <c r="AT246" i="15"/>
  <c r="AX245" i="15"/>
  <c r="AV245" i="15"/>
  <c r="AU245" i="15"/>
  <c r="AT245" i="15"/>
  <c r="AX244" i="15"/>
  <c r="AV244" i="15"/>
  <c r="AU244" i="15"/>
  <c r="AT244" i="15"/>
  <c r="AX243" i="15"/>
  <c r="AV243" i="15"/>
  <c r="AU243" i="15"/>
  <c r="AT243" i="15"/>
  <c r="AX242" i="15"/>
  <c r="AV242" i="15"/>
  <c r="AU242" i="15"/>
  <c r="AT242" i="15"/>
  <c r="AX241" i="15"/>
  <c r="AV241" i="15"/>
  <c r="AU241" i="15"/>
  <c r="AT241" i="15"/>
  <c r="AX240" i="15"/>
  <c r="AV240" i="15"/>
  <c r="AU240" i="15"/>
  <c r="AT240" i="15"/>
  <c r="AX239" i="15"/>
  <c r="AV239" i="15"/>
  <c r="AU239" i="15"/>
  <c r="AT239" i="15"/>
  <c r="AX238" i="15"/>
  <c r="AV238" i="15"/>
  <c r="AU238" i="15"/>
  <c r="AT238" i="15"/>
  <c r="AX237" i="15"/>
  <c r="AV237" i="15"/>
  <c r="AU237" i="15"/>
  <c r="AT237" i="15"/>
  <c r="AX236" i="15"/>
  <c r="AV236" i="15"/>
  <c r="AU236" i="15"/>
  <c r="AT236" i="15"/>
  <c r="AX235" i="15"/>
  <c r="AV235" i="15"/>
  <c r="AU235" i="15"/>
  <c r="AT235" i="15"/>
  <c r="AX234" i="15"/>
  <c r="AV234" i="15"/>
  <c r="AU234" i="15"/>
  <c r="AT234" i="15"/>
  <c r="AX233" i="15"/>
  <c r="AV233" i="15"/>
  <c r="AU233" i="15"/>
  <c r="AT233" i="15"/>
  <c r="AX232" i="15"/>
  <c r="AV232" i="15"/>
  <c r="AU232" i="15"/>
  <c r="AT232" i="15"/>
  <c r="AX231" i="15"/>
  <c r="AV231" i="15"/>
  <c r="AU231" i="15"/>
  <c r="AT231" i="15"/>
  <c r="AX230" i="15"/>
  <c r="AV230" i="15"/>
  <c r="AU230" i="15"/>
  <c r="AT230" i="15"/>
  <c r="AX229" i="15"/>
  <c r="AV229" i="15"/>
  <c r="AU229" i="15"/>
  <c r="AT229" i="15"/>
  <c r="AX228" i="15"/>
  <c r="AV228" i="15"/>
  <c r="AU228" i="15"/>
  <c r="AT228" i="15"/>
  <c r="AX227" i="15"/>
  <c r="AV227" i="15"/>
  <c r="AU227" i="15"/>
  <c r="AT227" i="15"/>
  <c r="AX226" i="15"/>
  <c r="AV226" i="15"/>
  <c r="AU226" i="15"/>
  <c r="AT226" i="15"/>
  <c r="AX225" i="15"/>
  <c r="AV225" i="15"/>
  <c r="AU225" i="15"/>
  <c r="AT225" i="15"/>
  <c r="AX224" i="15"/>
  <c r="AV224" i="15"/>
  <c r="AU224" i="15"/>
  <c r="AT224" i="15"/>
  <c r="AX223" i="15"/>
  <c r="AV223" i="15"/>
  <c r="AU223" i="15"/>
  <c r="AT223" i="15"/>
  <c r="AX222" i="15"/>
  <c r="AV222" i="15"/>
  <c r="AU222" i="15"/>
  <c r="AT222" i="15"/>
  <c r="AX221" i="15"/>
  <c r="AV221" i="15"/>
  <c r="AU221" i="15"/>
  <c r="AT221" i="15"/>
  <c r="AX220" i="15"/>
  <c r="AV220" i="15"/>
  <c r="AU220" i="15"/>
  <c r="AT220" i="15"/>
  <c r="AX219" i="15"/>
  <c r="AV219" i="15"/>
  <c r="AU219" i="15"/>
  <c r="AT219" i="15"/>
  <c r="AX218" i="15"/>
  <c r="AV218" i="15"/>
  <c r="AU218" i="15"/>
  <c r="AT218" i="15"/>
  <c r="AX217" i="15"/>
  <c r="AV217" i="15"/>
  <c r="AU217" i="15"/>
  <c r="AT217" i="15"/>
  <c r="AX216" i="15"/>
  <c r="AV216" i="15"/>
  <c r="AU216" i="15"/>
  <c r="AT216" i="15"/>
  <c r="AX215" i="15"/>
  <c r="AV215" i="15"/>
  <c r="AU215" i="15"/>
  <c r="AT215" i="15"/>
  <c r="AX214" i="15"/>
  <c r="AV214" i="15"/>
  <c r="AU214" i="15"/>
  <c r="AT214" i="15"/>
  <c r="AX213" i="15"/>
  <c r="AV213" i="15"/>
  <c r="AU213" i="15"/>
  <c r="AT213" i="15"/>
  <c r="AX212" i="15"/>
  <c r="AV212" i="15"/>
  <c r="AU212" i="15"/>
  <c r="AT212" i="15"/>
  <c r="AX211" i="15"/>
  <c r="AV211" i="15"/>
  <c r="AU211" i="15"/>
  <c r="AT211" i="15"/>
  <c r="AX210" i="15"/>
  <c r="AV210" i="15"/>
  <c r="AU210" i="15"/>
  <c r="AT210" i="15"/>
  <c r="AX209" i="15"/>
  <c r="AV209" i="15"/>
  <c r="AU209" i="15"/>
  <c r="AT209" i="15"/>
  <c r="AX208" i="15"/>
  <c r="AV208" i="15"/>
  <c r="AU208" i="15"/>
  <c r="AT208" i="15"/>
  <c r="AX207" i="15"/>
  <c r="AV207" i="15"/>
  <c r="AU207" i="15"/>
  <c r="AT207" i="15"/>
  <c r="AX206" i="15"/>
  <c r="AV206" i="15"/>
  <c r="AU206" i="15"/>
  <c r="AT206" i="15"/>
  <c r="AX205" i="15"/>
  <c r="AV205" i="15"/>
  <c r="AU205" i="15"/>
  <c r="AT205" i="15"/>
  <c r="AX204" i="15"/>
  <c r="AV204" i="15"/>
  <c r="AU204" i="15"/>
  <c r="AT204" i="15"/>
  <c r="AX203" i="15"/>
  <c r="AV203" i="15"/>
  <c r="AU203" i="15"/>
  <c r="AT203" i="15"/>
  <c r="AX202" i="15"/>
  <c r="AV202" i="15"/>
  <c r="AU202" i="15"/>
  <c r="AT202" i="15"/>
  <c r="AX201" i="15"/>
  <c r="AV201" i="15"/>
  <c r="AU201" i="15"/>
  <c r="AT201" i="15"/>
  <c r="AX200" i="15"/>
  <c r="AV200" i="15"/>
  <c r="AU200" i="15"/>
  <c r="AT200" i="15"/>
  <c r="AX199" i="15"/>
  <c r="AV199" i="15"/>
  <c r="AU199" i="15"/>
  <c r="AT199" i="15"/>
  <c r="AX198" i="15"/>
  <c r="AV198" i="15"/>
  <c r="AU198" i="15"/>
  <c r="AT198" i="15"/>
  <c r="AX197" i="15"/>
  <c r="AV197" i="15"/>
  <c r="AU197" i="15"/>
  <c r="AT197" i="15"/>
  <c r="AX196" i="15"/>
  <c r="AV196" i="15"/>
  <c r="AU196" i="15"/>
  <c r="AT196" i="15"/>
  <c r="AX195" i="15"/>
  <c r="AV195" i="15"/>
  <c r="AU195" i="15"/>
  <c r="AT195" i="15"/>
  <c r="AX194" i="15"/>
  <c r="AV194" i="15"/>
  <c r="AU194" i="15"/>
  <c r="AT194" i="15"/>
  <c r="AX193" i="15"/>
  <c r="AV193" i="15"/>
  <c r="AU193" i="15"/>
  <c r="AT193" i="15"/>
  <c r="AX192" i="15"/>
  <c r="AV192" i="15"/>
  <c r="AU192" i="15"/>
  <c r="AT192" i="15"/>
  <c r="AX191" i="15"/>
  <c r="AV191" i="15"/>
  <c r="AU191" i="15"/>
  <c r="AT191" i="15"/>
  <c r="AX190" i="15"/>
  <c r="AV190" i="15"/>
  <c r="AU190" i="15"/>
  <c r="AT190" i="15"/>
  <c r="AX189" i="15"/>
  <c r="AV189" i="15"/>
  <c r="AU189" i="15"/>
  <c r="AT189" i="15"/>
  <c r="AX188" i="15"/>
  <c r="AV188" i="15"/>
  <c r="AU188" i="15"/>
  <c r="AT188" i="15"/>
  <c r="AX187" i="15"/>
  <c r="AV187" i="15"/>
  <c r="AU187" i="15"/>
  <c r="AT187" i="15"/>
  <c r="AX186" i="15"/>
  <c r="AV186" i="15"/>
  <c r="AU186" i="15"/>
  <c r="AT186" i="15"/>
  <c r="AX185" i="15"/>
  <c r="AV185" i="15"/>
  <c r="AU185" i="15"/>
  <c r="AT185" i="15"/>
  <c r="AX184" i="15"/>
  <c r="AV184" i="15"/>
  <c r="AU184" i="15"/>
  <c r="AT184" i="15"/>
  <c r="AX183" i="15"/>
  <c r="AV183" i="15"/>
  <c r="AU183" i="15"/>
  <c r="AT183" i="15"/>
  <c r="AX182" i="15"/>
  <c r="AV182" i="15"/>
  <c r="AU182" i="15"/>
  <c r="AT182" i="15"/>
  <c r="AX181" i="15"/>
  <c r="AV181" i="15"/>
  <c r="AU181" i="15"/>
  <c r="AT181" i="15"/>
  <c r="AX180" i="15"/>
  <c r="AV180" i="15"/>
  <c r="AU180" i="15"/>
  <c r="AT180" i="15"/>
  <c r="AX179" i="15"/>
  <c r="AV179" i="15"/>
  <c r="AU179" i="15"/>
  <c r="AT179" i="15"/>
  <c r="AX178" i="15"/>
  <c r="AV178" i="15"/>
  <c r="AU178" i="15"/>
  <c r="AT178" i="15"/>
  <c r="AX177" i="15"/>
  <c r="AV177" i="15"/>
  <c r="AU177" i="15"/>
  <c r="AT177" i="15"/>
  <c r="AX176" i="15"/>
  <c r="AV176" i="15"/>
  <c r="AU176" i="15"/>
  <c r="AT176" i="15"/>
  <c r="AX175" i="15"/>
  <c r="AV175" i="15"/>
  <c r="AU175" i="15"/>
  <c r="AT175" i="15"/>
  <c r="AX174" i="15"/>
  <c r="AV174" i="15"/>
  <c r="AU174" i="15"/>
  <c r="AT174" i="15"/>
  <c r="AX173" i="15"/>
  <c r="AV173" i="15"/>
  <c r="AU173" i="15"/>
  <c r="AT173" i="15"/>
  <c r="AX172" i="15"/>
  <c r="AV172" i="15"/>
  <c r="AU172" i="15"/>
  <c r="AT172" i="15"/>
  <c r="AX171" i="15"/>
  <c r="AV171" i="15"/>
  <c r="AU171" i="15"/>
  <c r="AT171" i="15"/>
  <c r="AX170" i="15"/>
  <c r="AV170" i="15"/>
  <c r="AU170" i="15"/>
  <c r="AT170" i="15"/>
  <c r="AX169" i="15"/>
  <c r="AV169" i="15"/>
  <c r="AU169" i="15"/>
  <c r="AT169" i="15"/>
  <c r="AX168" i="15"/>
  <c r="AV168" i="15"/>
  <c r="AU168" i="15"/>
  <c r="AT168" i="15"/>
  <c r="AX167" i="15"/>
  <c r="AV167" i="15"/>
  <c r="AU167" i="15"/>
  <c r="AT167" i="15"/>
  <c r="AX166" i="15"/>
  <c r="AV166" i="15"/>
  <c r="AU166" i="15"/>
  <c r="AT166" i="15"/>
  <c r="AX165" i="15"/>
  <c r="AV165" i="15"/>
  <c r="AU165" i="15"/>
  <c r="AT165" i="15"/>
  <c r="AX164" i="15"/>
  <c r="AV164" i="15"/>
  <c r="AU164" i="15"/>
  <c r="AT164" i="15"/>
  <c r="AX163" i="15"/>
  <c r="AV163" i="15"/>
  <c r="AU163" i="15"/>
  <c r="AT163" i="15"/>
  <c r="AX162" i="15"/>
  <c r="AV162" i="15"/>
  <c r="AU162" i="15"/>
  <c r="AT162" i="15"/>
  <c r="AX161" i="15"/>
  <c r="AV161" i="15"/>
  <c r="AU161" i="15"/>
  <c r="AT161" i="15"/>
  <c r="AX160" i="15"/>
  <c r="AV160" i="15"/>
  <c r="AU160" i="15"/>
  <c r="AT160" i="15"/>
  <c r="AX159" i="15"/>
  <c r="AV159" i="15"/>
  <c r="AU159" i="15"/>
  <c r="AT159" i="15"/>
  <c r="AX158" i="15"/>
  <c r="AV158" i="15"/>
  <c r="AU158" i="15"/>
  <c r="AT158" i="15"/>
  <c r="AX157" i="15"/>
  <c r="AV157" i="15"/>
  <c r="AU157" i="15"/>
  <c r="AT157" i="15"/>
  <c r="AX156" i="15"/>
  <c r="AV156" i="15"/>
  <c r="AU156" i="15"/>
  <c r="AT156" i="15"/>
  <c r="AX155" i="15"/>
  <c r="AV155" i="15"/>
  <c r="AU155" i="15"/>
  <c r="AT155" i="15"/>
  <c r="AX154" i="15"/>
  <c r="AV154" i="15"/>
  <c r="AU154" i="15"/>
  <c r="AT154" i="15"/>
  <c r="AX153" i="15"/>
  <c r="AV153" i="15"/>
  <c r="AU153" i="15"/>
  <c r="AT153" i="15"/>
  <c r="AX152" i="15"/>
  <c r="AV152" i="15"/>
  <c r="AU152" i="15"/>
  <c r="AT152" i="15"/>
  <c r="AX151" i="15"/>
  <c r="AV151" i="15"/>
  <c r="AU151" i="15"/>
  <c r="AT151" i="15"/>
  <c r="AX150" i="15"/>
  <c r="AV150" i="15"/>
  <c r="AU150" i="15"/>
  <c r="AT150" i="15"/>
  <c r="AX149" i="15"/>
  <c r="AV149" i="15"/>
  <c r="AU149" i="15"/>
  <c r="AT149" i="15"/>
  <c r="AX148" i="15"/>
  <c r="AV148" i="15"/>
  <c r="AU148" i="15"/>
  <c r="AT148" i="15"/>
  <c r="AX147" i="15"/>
  <c r="AV147" i="15"/>
  <c r="AU147" i="15"/>
  <c r="AT147" i="15"/>
  <c r="AX146" i="15"/>
  <c r="AV146" i="15"/>
  <c r="AU146" i="15"/>
  <c r="AT146" i="15"/>
  <c r="AX145" i="15"/>
  <c r="AV145" i="15"/>
  <c r="AU145" i="15"/>
  <c r="AT145" i="15"/>
  <c r="AX144" i="15"/>
  <c r="AV144" i="15"/>
  <c r="AU144" i="15"/>
  <c r="AT144" i="15"/>
  <c r="AX143" i="15"/>
  <c r="AV143" i="15"/>
  <c r="AU143" i="15"/>
  <c r="AT143" i="15"/>
  <c r="AX142" i="15"/>
  <c r="AV142" i="15"/>
  <c r="AU142" i="15"/>
  <c r="AT142" i="15"/>
  <c r="AX141" i="15"/>
  <c r="AV141" i="15"/>
  <c r="AU141" i="15"/>
  <c r="AT141" i="15"/>
  <c r="AX140" i="15"/>
  <c r="AV140" i="15"/>
  <c r="AU140" i="15"/>
  <c r="AT140" i="15"/>
  <c r="AX139" i="15"/>
  <c r="AV139" i="15"/>
  <c r="AU139" i="15"/>
  <c r="AT139" i="15"/>
  <c r="AX138" i="15"/>
  <c r="AV138" i="15"/>
  <c r="AU138" i="15"/>
  <c r="AT138" i="15"/>
  <c r="AX137" i="15"/>
  <c r="AV137" i="15"/>
  <c r="AU137" i="15"/>
  <c r="AT137" i="15"/>
  <c r="AX136" i="15"/>
  <c r="AV136" i="15"/>
  <c r="AU136" i="15"/>
  <c r="AT136" i="15"/>
  <c r="AX135" i="15"/>
  <c r="AV135" i="15"/>
  <c r="AU135" i="15"/>
  <c r="AT135" i="15"/>
  <c r="AX134" i="15"/>
  <c r="AV134" i="15"/>
  <c r="AU134" i="15"/>
  <c r="AT134" i="15"/>
  <c r="AX133" i="15"/>
  <c r="AV133" i="15"/>
  <c r="AU133" i="15"/>
  <c r="AT133" i="15"/>
  <c r="AX132" i="15"/>
  <c r="AV132" i="15"/>
  <c r="AU132" i="15"/>
  <c r="AT132" i="15"/>
  <c r="AX131" i="15"/>
  <c r="AV131" i="15"/>
  <c r="AU131" i="15"/>
  <c r="AT131" i="15"/>
  <c r="AX130" i="15"/>
  <c r="AV130" i="15"/>
  <c r="AU130" i="15"/>
  <c r="AT130" i="15"/>
  <c r="AX129" i="15"/>
  <c r="AV129" i="15"/>
  <c r="AU129" i="15"/>
  <c r="AT129" i="15"/>
  <c r="AX128" i="15"/>
  <c r="AV128" i="15"/>
  <c r="AU128" i="15"/>
  <c r="AT128" i="15"/>
  <c r="AX127" i="15"/>
  <c r="AV127" i="15"/>
  <c r="AU127" i="15"/>
  <c r="AT127" i="15"/>
  <c r="AX126" i="15"/>
  <c r="AV126" i="15"/>
  <c r="AU126" i="15"/>
  <c r="AT126" i="15"/>
  <c r="AX125" i="15"/>
  <c r="AV125" i="15"/>
  <c r="AU125" i="15"/>
  <c r="AT125" i="15"/>
  <c r="AX124" i="15"/>
  <c r="AV124" i="15"/>
  <c r="AU124" i="15"/>
  <c r="AT124" i="15"/>
  <c r="AX123" i="15"/>
  <c r="AV123" i="15"/>
  <c r="AU123" i="15"/>
  <c r="AT123" i="15"/>
  <c r="AX122" i="15"/>
  <c r="AV122" i="15"/>
  <c r="AU122" i="15"/>
  <c r="AT122" i="15"/>
  <c r="AX121" i="15"/>
  <c r="AV121" i="15"/>
  <c r="AU121" i="15"/>
  <c r="AT121" i="15"/>
  <c r="AX120" i="15"/>
  <c r="AV120" i="15"/>
  <c r="AU120" i="15"/>
  <c r="AT120" i="15"/>
  <c r="AX119" i="15"/>
  <c r="AV119" i="15"/>
  <c r="AU119" i="15"/>
  <c r="AT119" i="15"/>
  <c r="AX118" i="15"/>
  <c r="AV118" i="15"/>
  <c r="AU118" i="15"/>
  <c r="AT118" i="15"/>
  <c r="AX117" i="15"/>
  <c r="AV117" i="15"/>
  <c r="AU117" i="15"/>
  <c r="AT117" i="15"/>
  <c r="AX116" i="15"/>
  <c r="AV116" i="15"/>
  <c r="AU116" i="15"/>
  <c r="AT116" i="15"/>
  <c r="AX115" i="15"/>
  <c r="AV115" i="15"/>
  <c r="AU115" i="15"/>
  <c r="AT115" i="15"/>
  <c r="AX114" i="15"/>
  <c r="AV114" i="15"/>
  <c r="AU114" i="15"/>
  <c r="AT114" i="15"/>
  <c r="AX113" i="15"/>
  <c r="AV113" i="15"/>
  <c r="AU113" i="15"/>
  <c r="AT113" i="15"/>
  <c r="AX112" i="15"/>
  <c r="AV112" i="15"/>
  <c r="AU112" i="15"/>
  <c r="AT112" i="15"/>
  <c r="AX111" i="15"/>
  <c r="AV111" i="15"/>
  <c r="AU111" i="15"/>
  <c r="AT111" i="15"/>
  <c r="AX110" i="15"/>
  <c r="AV110" i="15"/>
  <c r="AU110" i="15"/>
  <c r="AT110" i="15"/>
  <c r="AX109" i="15"/>
  <c r="AV109" i="15"/>
  <c r="AU109" i="15"/>
  <c r="AT109" i="15"/>
  <c r="AX108" i="15"/>
  <c r="AV108" i="15"/>
  <c r="AU108" i="15"/>
  <c r="AT108" i="15"/>
  <c r="AX107" i="15"/>
  <c r="AV107" i="15"/>
  <c r="AU107" i="15"/>
  <c r="AT107" i="15"/>
  <c r="AX106" i="15"/>
  <c r="AV106" i="15"/>
  <c r="AU106" i="15"/>
  <c r="AT106" i="15"/>
  <c r="AX105" i="15"/>
  <c r="AV105" i="15"/>
  <c r="AU105" i="15"/>
  <c r="AT105" i="15"/>
  <c r="AX104" i="15"/>
  <c r="AV104" i="15"/>
  <c r="AU104" i="15"/>
  <c r="AT104" i="15"/>
  <c r="AX103" i="15"/>
  <c r="AV103" i="15"/>
  <c r="AU103" i="15"/>
  <c r="AT103" i="15"/>
  <c r="AX102" i="15"/>
  <c r="AV102" i="15"/>
  <c r="AU102" i="15"/>
  <c r="AT102" i="15"/>
  <c r="AX101" i="15"/>
  <c r="AV101" i="15"/>
  <c r="AU101" i="15"/>
  <c r="AT101" i="15"/>
  <c r="AX100" i="15"/>
  <c r="AV100" i="15"/>
  <c r="AU100" i="15"/>
  <c r="AT100" i="15"/>
  <c r="AX99" i="15"/>
  <c r="AV99" i="15"/>
  <c r="AU99" i="15"/>
  <c r="AT99" i="15"/>
  <c r="AX98" i="15"/>
  <c r="AV98" i="15"/>
  <c r="AU98" i="15"/>
  <c r="AT98" i="15"/>
  <c r="AX97" i="15"/>
  <c r="AV97" i="15"/>
  <c r="AU97" i="15"/>
  <c r="AT97" i="15"/>
  <c r="AX96" i="15"/>
  <c r="AV96" i="15"/>
  <c r="AU96" i="15"/>
  <c r="AT96" i="15"/>
  <c r="AX95" i="15"/>
  <c r="AV95" i="15"/>
  <c r="AU95" i="15"/>
  <c r="AT95" i="15"/>
  <c r="AX94" i="15"/>
  <c r="AV94" i="15"/>
  <c r="AU94" i="15"/>
  <c r="AT94" i="15"/>
  <c r="AX93" i="15"/>
  <c r="AV93" i="15"/>
  <c r="AU93" i="15"/>
  <c r="AT93" i="15"/>
  <c r="AX92" i="15"/>
  <c r="AV92" i="15"/>
  <c r="AU92" i="15"/>
  <c r="AT92" i="15"/>
  <c r="AX91" i="15"/>
  <c r="AV91" i="15"/>
  <c r="AU91" i="15"/>
  <c r="AT91" i="15"/>
  <c r="AX90" i="15"/>
  <c r="AV90" i="15"/>
  <c r="AU90" i="15"/>
  <c r="AT90" i="15"/>
  <c r="AX89" i="15"/>
  <c r="AV89" i="15"/>
  <c r="AU89" i="15"/>
  <c r="AT89" i="15"/>
  <c r="AX88" i="15"/>
  <c r="AV88" i="15"/>
  <c r="AU88" i="15"/>
  <c r="AT88" i="15"/>
  <c r="AX87" i="15"/>
  <c r="AV87" i="15"/>
  <c r="AU87" i="15"/>
  <c r="AT87" i="15"/>
  <c r="AX86" i="15"/>
  <c r="AV86" i="15"/>
  <c r="AU86" i="15"/>
  <c r="AT86" i="15"/>
  <c r="AX85" i="15"/>
  <c r="AV85" i="15"/>
  <c r="AU85" i="15"/>
  <c r="AT85" i="15"/>
  <c r="AX84" i="15"/>
  <c r="AV84" i="15"/>
  <c r="AU84" i="15"/>
  <c r="AT84" i="15"/>
  <c r="AX83" i="15"/>
  <c r="AV83" i="15"/>
  <c r="AU83" i="15"/>
  <c r="AT83" i="15"/>
  <c r="AX82" i="15"/>
  <c r="AV82" i="15"/>
  <c r="AU82" i="15"/>
  <c r="AT82" i="15"/>
  <c r="AX81" i="15"/>
  <c r="AV81" i="15"/>
  <c r="AU81" i="15"/>
  <c r="AT81" i="15"/>
  <c r="AX80" i="15"/>
  <c r="AV80" i="15"/>
  <c r="AU80" i="15"/>
  <c r="AT80" i="15"/>
  <c r="AX79" i="15"/>
  <c r="AV79" i="15"/>
  <c r="AU79" i="15"/>
  <c r="AT79" i="15"/>
  <c r="AX78" i="15"/>
  <c r="AV78" i="15"/>
  <c r="AU78" i="15"/>
  <c r="AT78" i="15"/>
  <c r="AX77" i="15"/>
  <c r="AV77" i="15"/>
  <c r="AU77" i="15"/>
  <c r="AT77" i="15"/>
  <c r="AX76" i="15"/>
  <c r="AV76" i="15"/>
  <c r="AU76" i="15"/>
  <c r="AT76" i="15"/>
  <c r="AX75" i="15"/>
  <c r="AV75" i="15"/>
  <c r="AU75" i="15"/>
  <c r="AT75" i="15"/>
  <c r="AX74" i="15"/>
  <c r="AV74" i="15"/>
  <c r="AU74" i="15"/>
  <c r="AT74" i="15"/>
  <c r="AX73" i="15"/>
  <c r="AV73" i="15"/>
  <c r="AU73" i="15"/>
  <c r="AT73" i="15"/>
  <c r="AX72" i="15"/>
  <c r="AV72" i="15"/>
  <c r="AU72" i="15"/>
  <c r="AT72" i="15"/>
  <c r="AX71" i="15"/>
  <c r="AV71" i="15"/>
  <c r="AU71" i="15"/>
  <c r="AT71" i="15"/>
  <c r="AX70" i="15"/>
  <c r="AV70" i="15"/>
  <c r="AU70" i="15"/>
  <c r="AT70" i="15"/>
  <c r="AX69" i="15"/>
  <c r="AV69" i="15"/>
  <c r="AU69" i="15"/>
  <c r="AT69" i="15"/>
  <c r="AX68" i="15"/>
  <c r="AV68" i="15"/>
  <c r="AU68" i="15"/>
  <c r="AT68" i="15"/>
  <c r="AX67" i="15"/>
  <c r="AV67" i="15"/>
  <c r="AU67" i="15"/>
  <c r="AT67" i="15"/>
  <c r="AX66" i="15"/>
  <c r="AV66" i="15"/>
  <c r="AU66" i="15"/>
  <c r="AT66" i="15"/>
  <c r="AX65" i="15"/>
  <c r="AV65" i="15"/>
  <c r="AU65" i="15"/>
  <c r="AT65" i="15"/>
  <c r="AX64" i="15"/>
  <c r="AV64" i="15"/>
  <c r="AU64" i="15"/>
  <c r="AT64" i="15"/>
  <c r="AX63" i="15"/>
  <c r="AV63" i="15"/>
  <c r="AU63" i="15"/>
  <c r="AT63" i="15"/>
  <c r="AX62" i="15"/>
  <c r="AV62" i="15"/>
  <c r="AU62" i="15"/>
  <c r="AT62" i="15"/>
  <c r="AX61" i="15"/>
  <c r="AV61" i="15"/>
  <c r="AU61" i="15"/>
  <c r="AT61" i="15"/>
  <c r="AX60" i="15"/>
  <c r="AV60" i="15"/>
  <c r="AU60" i="15"/>
  <c r="AT60" i="15"/>
  <c r="AX59" i="15"/>
  <c r="AV59" i="15"/>
  <c r="AU59" i="15"/>
  <c r="AT59" i="15"/>
  <c r="AX58" i="15"/>
  <c r="AV58" i="15"/>
  <c r="AU58" i="15"/>
  <c r="AT58" i="15"/>
  <c r="AX57" i="15"/>
  <c r="AV57" i="15"/>
  <c r="AU57" i="15"/>
  <c r="AT57" i="15"/>
  <c r="AX56" i="15"/>
  <c r="AV56" i="15"/>
  <c r="AU56" i="15"/>
  <c r="AT56" i="15"/>
  <c r="AX55" i="15"/>
  <c r="AV55" i="15"/>
  <c r="AU55" i="15"/>
  <c r="AT55" i="15"/>
  <c r="AX54" i="15"/>
  <c r="AW54" i="15" s="1"/>
  <c r="AV54" i="15"/>
  <c r="AU54" i="15"/>
  <c r="AT54" i="15"/>
  <c r="AX53" i="15"/>
  <c r="AV53" i="15"/>
  <c r="AU53" i="15"/>
  <c r="AT53" i="15"/>
  <c r="AX52" i="15"/>
  <c r="AV52" i="15"/>
  <c r="AU52" i="15"/>
  <c r="AT52" i="15"/>
  <c r="AX51" i="15"/>
  <c r="AV51" i="15"/>
  <c r="AU51" i="15"/>
  <c r="AT51" i="15"/>
  <c r="AX50" i="15"/>
  <c r="AV50" i="15"/>
  <c r="AU50" i="15"/>
  <c r="AT50" i="15"/>
  <c r="AX49" i="15"/>
  <c r="AV49" i="15"/>
  <c r="AU49" i="15"/>
  <c r="AT49" i="15"/>
  <c r="AX48" i="15"/>
  <c r="AV48" i="15"/>
  <c r="AU48" i="15"/>
  <c r="AT48" i="15"/>
  <c r="AX47" i="15"/>
  <c r="AV47" i="15"/>
  <c r="AU47" i="15"/>
  <c r="AT47" i="15"/>
  <c r="AX46" i="15"/>
  <c r="AV46" i="15"/>
  <c r="AU46" i="15"/>
  <c r="AT46" i="15"/>
  <c r="AX45" i="15"/>
  <c r="AV45" i="15"/>
  <c r="AU45" i="15"/>
  <c r="AT45" i="15"/>
  <c r="AX44" i="15"/>
  <c r="AV44" i="15"/>
  <c r="AU44" i="15"/>
  <c r="AT44" i="15"/>
  <c r="AX43" i="15"/>
  <c r="AV43" i="15"/>
  <c r="AU43" i="15"/>
  <c r="AT43" i="15"/>
  <c r="AX42" i="15"/>
  <c r="AV42" i="15"/>
  <c r="AU42" i="15"/>
  <c r="AT42" i="15"/>
  <c r="AX41" i="15"/>
  <c r="AV41" i="15"/>
  <c r="AU41" i="15"/>
  <c r="AT41" i="15"/>
  <c r="AX40" i="15"/>
  <c r="AV40" i="15"/>
  <c r="AU40" i="15"/>
  <c r="AT40" i="15"/>
  <c r="AX39" i="15"/>
  <c r="AV39" i="15"/>
  <c r="AU39" i="15"/>
  <c r="AT39" i="15"/>
  <c r="AX38" i="15"/>
  <c r="AV38" i="15"/>
  <c r="AU38" i="15"/>
  <c r="AT38" i="15"/>
  <c r="AX37" i="15"/>
  <c r="AV37" i="15"/>
  <c r="AU37" i="15"/>
  <c r="AT37" i="15"/>
  <c r="AX36" i="15"/>
  <c r="AV36" i="15"/>
  <c r="AU36" i="15"/>
  <c r="AT36" i="15"/>
  <c r="AX35" i="15"/>
  <c r="AV35" i="15"/>
  <c r="AU35" i="15"/>
  <c r="AT35" i="15"/>
  <c r="AX34" i="15"/>
  <c r="AV34" i="15"/>
  <c r="AU34" i="15"/>
  <c r="AT34" i="15"/>
  <c r="AX33" i="15"/>
  <c r="AV33" i="15"/>
  <c r="AU33" i="15"/>
  <c r="AT33" i="15"/>
  <c r="AX32" i="15"/>
  <c r="AV32" i="15"/>
  <c r="AU32" i="15"/>
  <c r="AT32" i="15"/>
  <c r="AX31" i="15"/>
  <c r="AV31" i="15"/>
  <c r="AU31" i="15"/>
  <c r="AT31" i="15"/>
  <c r="AX30" i="15"/>
  <c r="AV30" i="15"/>
  <c r="AU30" i="15"/>
  <c r="AT30" i="15"/>
  <c r="AX29" i="15"/>
  <c r="AV29" i="15"/>
  <c r="AU29" i="15"/>
  <c r="AT29" i="15"/>
  <c r="AX28" i="15"/>
  <c r="AV28" i="15"/>
  <c r="AU28" i="15"/>
  <c r="AT28" i="15"/>
  <c r="AX27" i="15"/>
  <c r="AV27" i="15"/>
  <c r="AU27" i="15"/>
  <c r="AT27" i="15"/>
  <c r="AX26" i="15"/>
  <c r="AV26" i="15"/>
  <c r="AU26" i="15"/>
  <c r="AT26" i="15"/>
  <c r="AX25" i="15"/>
  <c r="AV25" i="15"/>
  <c r="AU25" i="15"/>
  <c r="AT25" i="15"/>
  <c r="AX24" i="15"/>
  <c r="AV24" i="15"/>
  <c r="AU24" i="15"/>
  <c r="AT24" i="15"/>
  <c r="AX23" i="15"/>
  <c r="AV23" i="15"/>
  <c r="AU23" i="15"/>
  <c r="AT23" i="15"/>
  <c r="AX22" i="15"/>
  <c r="AV22" i="15"/>
  <c r="AU22" i="15"/>
  <c r="AT22" i="15"/>
  <c r="AX21" i="15"/>
  <c r="AV21" i="15"/>
  <c r="AU21" i="15"/>
  <c r="AT21" i="15"/>
  <c r="AX20" i="15"/>
  <c r="AV20" i="15"/>
  <c r="AU20" i="15"/>
  <c r="AT20" i="15"/>
  <c r="AX19" i="15"/>
  <c r="AV19" i="15"/>
  <c r="AU19" i="15"/>
  <c r="AT19" i="15"/>
  <c r="AX18" i="15"/>
  <c r="AV18" i="15"/>
  <c r="AU18" i="15"/>
  <c r="AT18" i="15"/>
  <c r="AX17" i="15"/>
  <c r="AV17" i="15"/>
  <c r="AU17" i="15"/>
  <c r="AT17" i="15"/>
  <c r="AX16" i="15"/>
  <c r="AV16" i="15"/>
  <c r="AU16" i="15"/>
  <c r="AT16" i="15"/>
  <c r="AX15" i="15"/>
  <c r="AV15" i="15"/>
  <c r="AU15" i="15"/>
  <c r="AT15" i="15"/>
  <c r="AX14" i="15"/>
  <c r="AV14" i="15"/>
  <c r="AU14" i="15"/>
  <c r="AT14" i="15"/>
  <c r="AX13" i="15"/>
  <c r="AV13" i="15"/>
  <c r="AU13" i="15"/>
  <c r="AT13" i="15"/>
  <c r="AX12" i="15"/>
  <c r="AV12" i="15"/>
  <c r="AU12" i="15"/>
  <c r="AT12" i="15"/>
  <c r="AX11" i="15"/>
  <c r="AV11" i="15"/>
  <c r="AU11" i="15"/>
  <c r="AT11" i="15"/>
  <c r="AX10" i="15"/>
  <c r="AV10" i="15"/>
  <c r="AU10" i="15"/>
  <c r="AT10" i="15"/>
  <c r="AX9" i="15"/>
  <c r="AV9" i="15"/>
  <c r="AU9" i="15"/>
  <c r="AT9" i="15"/>
  <c r="AX8" i="15"/>
  <c r="AV8" i="15"/>
  <c r="AU8" i="15"/>
  <c r="AT8" i="15"/>
  <c r="AX7" i="15"/>
  <c r="AV7" i="15"/>
  <c r="AU7" i="15"/>
  <c r="AT7" i="15"/>
  <c r="AX6" i="15"/>
  <c r="AV6" i="15"/>
  <c r="AU6" i="15"/>
  <c r="AT6" i="15"/>
  <c r="AX5" i="15"/>
  <c r="AV5" i="15"/>
  <c r="AU5" i="15"/>
  <c r="AT5" i="15"/>
  <c r="AX4" i="15"/>
  <c r="AV4" i="15"/>
  <c r="AU4" i="15"/>
  <c r="AT4" i="15"/>
  <c r="AX3" i="15"/>
  <c r="AV3" i="15"/>
  <c r="AU3" i="15"/>
  <c r="AT3" i="15"/>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M7" i="21" l="1"/>
  <c r="AM13" i="21"/>
  <c r="AM19" i="21"/>
  <c r="AM25" i="21"/>
  <c r="AM31" i="21"/>
  <c r="AM37" i="21"/>
  <c r="AM43" i="21"/>
  <c r="AM49" i="21"/>
  <c r="AM55" i="21"/>
  <c r="AM61" i="21"/>
  <c r="AM67" i="21"/>
  <c r="AM76" i="21"/>
  <c r="AM82" i="21"/>
  <c r="AM88" i="21"/>
  <c r="AM94" i="21"/>
  <c r="AM100" i="21"/>
  <c r="AM106" i="21"/>
  <c r="AM112" i="21"/>
  <c r="AM118" i="21"/>
  <c r="AM124" i="21"/>
  <c r="AM130" i="21"/>
  <c r="AM136" i="21"/>
  <c r="AM142" i="21"/>
  <c r="AM148" i="21"/>
  <c r="AM154" i="21"/>
  <c r="AM160" i="21"/>
  <c r="AM166" i="21"/>
  <c r="AM172" i="21"/>
  <c r="AM175" i="21"/>
  <c r="AM181" i="21"/>
  <c r="AM187" i="21"/>
  <c r="AM193" i="21"/>
  <c r="AM199" i="21"/>
  <c r="AM205" i="21"/>
  <c r="AM211" i="21"/>
  <c r="AM217" i="21"/>
  <c r="AM223" i="21"/>
  <c r="AM229" i="21"/>
  <c r="AM235" i="21"/>
  <c r="AM241" i="21"/>
  <c r="AM247" i="21"/>
  <c r="AM253" i="21"/>
  <c r="AM259" i="21"/>
  <c r="AM265" i="21"/>
  <c r="AM271" i="21"/>
  <c r="AM277" i="21"/>
  <c r="AM283" i="21"/>
  <c r="AM289" i="21"/>
  <c r="AM295" i="21"/>
  <c r="AM301" i="21"/>
  <c r="AM307" i="21"/>
  <c r="AM313" i="21"/>
  <c r="AM319" i="21"/>
  <c r="AM325" i="21"/>
  <c r="AM331" i="21"/>
  <c r="AM337" i="21"/>
  <c r="AM343" i="21"/>
  <c r="AM349" i="21"/>
  <c r="AM355" i="21"/>
  <c r="AM361" i="21"/>
  <c r="AM367" i="21"/>
  <c r="AM373" i="21"/>
  <c r="AM379" i="21"/>
  <c r="AM385" i="21"/>
  <c r="AM391" i="21"/>
  <c r="AM397" i="21"/>
  <c r="AM403" i="21"/>
  <c r="AM409" i="21"/>
  <c r="AM415" i="21"/>
  <c r="AM421" i="21"/>
  <c r="AM427" i="21"/>
  <c r="AM433" i="21"/>
  <c r="AM439" i="21"/>
  <c r="AM445" i="21"/>
  <c r="AM451" i="21"/>
  <c r="AM463" i="21"/>
  <c r="AM514" i="21"/>
  <c r="AM5" i="21"/>
  <c r="AM11" i="21"/>
  <c r="AM20" i="21"/>
  <c r="AM29" i="21"/>
  <c r="AM38" i="21"/>
  <c r="AM47" i="21"/>
  <c r="AM56" i="21"/>
  <c r="AM65" i="21"/>
  <c r="AM74" i="21"/>
  <c r="AM83" i="21"/>
  <c r="AM92" i="21"/>
  <c r="AM101" i="21"/>
  <c r="AM110" i="21"/>
  <c r="AM119" i="21"/>
  <c r="AM128" i="21"/>
  <c r="AM137" i="21"/>
  <c r="AM146" i="21"/>
  <c r="AM155" i="21"/>
  <c r="AM164" i="21"/>
  <c r="AM173" i="21"/>
  <c r="AM182" i="21"/>
  <c r="AM191" i="21"/>
  <c r="AM200" i="21"/>
  <c r="AM209" i="21"/>
  <c r="AM218" i="21"/>
  <c r="AM227" i="21"/>
  <c r="AM236" i="21"/>
  <c r="AM245" i="21"/>
  <c r="AM254" i="21"/>
  <c r="AM263" i="21"/>
  <c r="AM272" i="21"/>
  <c r="AM281" i="21"/>
  <c r="AM290" i="21"/>
  <c r="AM299" i="21"/>
  <c r="AM308" i="21"/>
  <c r="AM314" i="21"/>
  <c r="AM323" i="21"/>
  <c r="AM332" i="21"/>
  <c r="AM344" i="21"/>
  <c r="AM8" i="21"/>
  <c r="AM17" i="21"/>
  <c r="AM26" i="21"/>
  <c r="AM35" i="21"/>
  <c r="AM44" i="21"/>
  <c r="AM53" i="21"/>
  <c r="AM62" i="21"/>
  <c r="AM71" i="21"/>
  <c r="AM80" i="21"/>
  <c r="AM89" i="21"/>
  <c r="AM98" i="21"/>
  <c r="AM107" i="21"/>
  <c r="AM116" i="21"/>
  <c r="AM125" i="21"/>
  <c r="AM134" i="21"/>
  <c r="AM143" i="21"/>
  <c r="AM152" i="21"/>
  <c r="AM161" i="21"/>
  <c r="AM170" i="21"/>
  <c r="AM179" i="21"/>
  <c r="AM188" i="21"/>
  <c r="AM197" i="21"/>
  <c r="AM206" i="21"/>
  <c r="AM215" i="21"/>
  <c r="AM224" i="21"/>
  <c r="AM233" i="21"/>
  <c r="AM242" i="21"/>
  <c r="AM251" i="21"/>
  <c r="AM260" i="21"/>
  <c r="AM269" i="21"/>
  <c r="AM278" i="21"/>
  <c r="AM287" i="21"/>
  <c r="AM296" i="21"/>
  <c r="AM305" i="21"/>
  <c r="AM311" i="21"/>
  <c r="AM320" i="21"/>
  <c r="AM326" i="21"/>
  <c r="AM335" i="21"/>
  <c r="AM338" i="21"/>
  <c r="AM347" i="21"/>
  <c r="AM14" i="21"/>
  <c r="AM23" i="21"/>
  <c r="AM32" i="21"/>
  <c r="AM41" i="21"/>
  <c r="AM50" i="21"/>
  <c r="AM59" i="21"/>
  <c r="AM68" i="21"/>
  <c r="AM77" i="21"/>
  <c r="AM86" i="21"/>
  <c r="AM95" i="21"/>
  <c r="AM104" i="21"/>
  <c r="AM113" i="21"/>
  <c r="AM122" i="21"/>
  <c r="AM131" i="21"/>
  <c r="AM140" i="21"/>
  <c r="AM149" i="21"/>
  <c r="AM158" i="21"/>
  <c r="AM167" i="21"/>
  <c r="AM176" i="21"/>
  <c r="AM185" i="21"/>
  <c r="AM194" i="21"/>
  <c r="AM203" i="21"/>
  <c r="AM212" i="21"/>
  <c r="AM221" i="21"/>
  <c r="AM230" i="21"/>
  <c r="AM239" i="21"/>
  <c r="AM248" i="21"/>
  <c r="AM257" i="21"/>
  <c r="AM266" i="21"/>
  <c r="AM275" i="21"/>
  <c r="AM284" i="21"/>
  <c r="AM293" i="21"/>
  <c r="AM302" i="21"/>
  <c r="AM317" i="21"/>
  <c r="AM329" i="21"/>
  <c r="AM341" i="21"/>
  <c r="AM350" i="21"/>
  <c r="AM6" i="21"/>
  <c r="AM15" i="21"/>
  <c r="AM24" i="21"/>
  <c r="AM33" i="21"/>
  <c r="AM42" i="21"/>
  <c r="AM51" i="21"/>
  <c r="AM60" i="21"/>
  <c r="AM69" i="21"/>
  <c r="AM78" i="21"/>
  <c r="AM87" i="21"/>
  <c r="AM96" i="21"/>
  <c r="AM105" i="21"/>
  <c r="AM114" i="21"/>
  <c r="AM123" i="21"/>
  <c r="AM132" i="21"/>
  <c r="AM141" i="21"/>
  <c r="AM150" i="21"/>
  <c r="AM156" i="21"/>
  <c r="AM165" i="21"/>
  <c r="AM174" i="21"/>
  <c r="AM186" i="21"/>
  <c r="AM192" i="21"/>
  <c r="AM204" i="21"/>
  <c r="AM216" i="21"/>
  <c r="AM225" i="21"/>
  <c r="AM234" i="21"/>
  <c r="AM240" i="21"/>
  <c r="AM249" i="21"/>
  <c r="AM258" i="21"/>
  <c r="AM267" i="21"/>
  <c r="AM276" i="21"/>
  <c r="AM285" i="21"/>
  <c r="AM297" i="21"/>
  <c r="AM306" i="21"/>
  <c r="AM318" i="21"/>
  <c r="AM327" i="21"/>
  <c r="AM336" i="21"/>
  <c r="AM345" i="21"/>
  <c r="AM354" i="21"/>
  <c r="AM363" i="21"/>
  <c r="AM372" i="21"/>
  <c r="AM381" i="21"/>
  <c r="AM396" i="21"/>
  <c r="AM438" i="21"/>
  <c r="AM9" i="21"/>
  <c r="AM18" i="21"/>
  <c r="AM27" i="21"/>
  <c r="AM36" i="21"/>
  <c r="AM45" i="21"/>
  <c r="AM54" i="21"/>
  <c r="AM63" i="21"/>
  <c r="AM72" i="21"/>
  <c r="AM81" i="21"/>
  <c r="AM90" i="21"/>
  <c r="AM99" i="21"/>
  <c r="AM108" i="21"/>
  <c r="AM117" i="21"/>
  <c r="AM126" i="21"/>
  <c r="AM135" i="21"/>
  <c r="AM144" i="21"/>
  <c r="AM153" i="21"/>
  <c r="AM162" i="21"/>
  <c r="AM171" i="21"/>
  <c r="AM180" i="21"/>
  <c r="AM189" i="21"/>
  <c r="AM198" i="21"/>
  <c r="AM207" i="21"/>
  <c r="AM213" i="21"/>
  <c r="AM222" i="21"/>
  <c r="AM231" i="21"/>
  <c r="AM243" i="21"/>
  <c r="AM252" i="21"/>
  <c r="AM261" i="21"/>
  <c r="AM270" i="21"/>
  <c r="AM279" i="21"/>
  <c r="AM291" i="21"/>
  <c r="AM300" i="21"/>
  <c r="AM309" i="21"/>
  <c r="AM315" i="21"/>
  <c r="AM324" i="21"/>
  <c r="AM333" i="21"/>
  <c r="AM342" i="21"/>
  <c r="AM351" i="21"/>
  <c r="AM360" i="21"/>
  <c r="AM369" i="21"/>
  <c r="AM378" i="21"/>
  <c r="AM387" i="21"/>
  <c r="AM393" i="21"/>
  <c r="AM402" i="21"/>
  <c r="AM408" i="21"/>
  <c r="AM414" i="21"/>
  <c r="AM435" i="21"/>
  <c r="AM3" i="21"/>
  <c r="AM12" i="21"/>
  <c r="AM21" i="21"/>
  <c r="AM30" i="21"/>
  <c r="AM39" i="21"/>
  <c r="AM48" i="21"/>
  <c r="AM57" i="21"/>
  <c r="AM66" i="21"/>
  <c r="AM75" i="21"/>
  <c r="AM84" i="21"/>
  <c r="AM93" i="21"/>
  <c r="AM102" i="21"/>
  <c r="AM111" i="21"/>
  <c r="AM120" i="21"/>
  <c r="AM129" i="21"/>
  <c r="AM138" i="21"/>
  <c r="AM147" i="21"/>
  <c r="AM159" i="21"/>
  <c r="AM168" i="21"/>
  <c r="AM177" i="21"/>
  <c r="AM183" i="21"/>
  <c r="AM195" i="21"/>
  <c r="AM201" i="21"/>
  <c r="AM210" i="21"/>
  <c r="AM219" i="21"/>
  <c r="AM228" i="21"/>
  <c r="AM237" i="21"/>
  <c r="AM246" i="21"/>
  <c r="AM255" i="21"/>
  <c r="AM264" i="21"/>
  <c r="AM273" i="21"/>
  <c r="AM282" i="21"/>
  <c r="AM288" i="21"/>
  <c r="AM294" i="21"/>
  <c r="AM303" i="21"/>
  <c r="AM312" i="21"/>
  <c r="AM321" i="21"/>
  <c r="AM330" i="21"/>
  <c r="AM339" i="21"/>
  <c r="AM348" i="21"/>
  <c r="AM357" i="21"/>
  <c r="AM366" i="21"/>
  <c r="AM375" i="21"/>
  <c r="AM384" i="21"/>
  <c r="AM390" i="21"/>
  <c r="AM399" i="21"/>
  <c r="AM405" i="21"/>
  <c r="AM411" i="21"/>
  <c r="AM417" i="21"/>
  <c r="AM420" i="21"/>
  <c r="AM423" i="21"/>
  <c r="AM426" i="21"/>
  <c r="AM429" i="21"/>
  <c r="AM432" i="21"/>
  <c r="AM441" i="21"/>
  <c r="AM4" i="21"/>
  <c r="AM10" i="21"/>
  <c r="AM16" i="21"/>
  <c r="AM22" i="21"/>
  <c r="AM28" i="21"/>
  <c r="AM34" i="21"/>
  <c r="AM40" i="21"/>
  <c r="AM46" i="21"/>
  <c r="AM52" i="21"/>
  <c r="AM58" i="21"/>
  <c r="AM64" i="21"/>
  <c r="AM70" i="21"/>
  <c r="AM73" i="21"/>
  <c r="AM79" i="21"/>
  <c r="AM85" i="21"/>
  <c r="AM91" i="21"/>
  <c r="AM97" i="21"/>
  <c r="AM103" i="21"/>
  <c r="AM109" i="21"/>
  <c r="AM115" i="21"/>
  <c r="AM121" i="21"/>
  <c r="AM127" i="21"/>
  <c r="AM133" i="21"/>
  <c r="AM139" i="21"/>
  <c r="AM145" i="21"/>
  <c r="AM151" i="21"/>
  <c r="AM157" i="21"/>
  <c r="AM163" i="21"/>
  <c r="AM169" i="21"/>
  <c r="AM178" i="21"/>
  <c r="AM184" i="21"/>
  <c r="AM190" i="21"/>
  <c r="AM196" i="21"/>
  <c r="AM202" i="21"/>
  <c r="AM208" i="21"/>
  <c r="AM214" i="21"/>
  <c r="AM220" i="21"/>
  <c r="AM226" i="21"/>
  <c r="AM232" i="21"/>
  <c r="AM238" i="21"/>
  <c r="AM244" i="21"/>
  <c r="AM250" i="21"/>
  <c r="AM256" i="21"/>
  <c r="AM262" i="21"/>
  <c r="AM268" i="21"/>
  <c r="AM274" i="21"/>
  <c r="AM280" i="21"/>
  <c r="AM286" i="21"/>
  <c r="AM292" i="21"/>
  <c r="AM298" i="21"/>
  <c r="AM304" i="21"/>
  <c r="AM310" i="21"/>
  <c r="AM316" i="21"/>
  <c r="AM322" i="21"/>
  <c r="AM328" i="21"/>
  <c r="AM334" i="21"/>
  <c r="AM340" i="21"/>
  <c r="AM346" i="21"/>
  <c r="AM352" i="21"/>
  <c r="AM358" i="21"/>
  <c r="AM364" i="21"/>
  <c r="AM370" i="21"/>
  <c r="AM376" i="21"/>
  <c r="AM382" i="21"/>
  <c r="AM388" i="21"/>
  <c r="AM394" i="21"/>
  <c r="AM400" i="21"/>
  <c r="AM406" i="21"/>
  <c r="AM412" i="21"/>
  <c r="AM418" i="21"/>
  <c r="AM424" i="21"/>
  <c r="AM430" i="21"/>
  <c r="AM436" i="21"/>
  <c r="AM442" i="21"/>
  <c r="AM448" i="21"/>
  <c r="AM454" i="21"/>
  <c r="AM457" i="21"/>
  <c r="AM460" i="21"/>
  <c r="AM466" i="21"/>
  <c r="AM469" i="21"/>
  <c r="AM472" i="21"/>
  <c r="AM475" i="21"/>
  <c r="AM478" i="21"/>
  <c r="AM481" i="21"/>
  <c r="AM484" i="21"/>
  <c r="AM487" i="21"/>
  <c r="AM490" i="21"/>
  <c r="AM493" i="21"/>
  <c r="AM496" i="21"/>
  <c r="AM499" i="21"/>
  <c r="AM502" i="21"/>
  <c r="AM505" i="21"/>
  <c r="AM508" i="21"/>
  <c r="AM511" i="21"/>
  <c r="AM517" i="21"/>
  <c r="AM520" i="21"/>
  <c r="AM529" i="21"/>
  <c r="AM550" i="21"/>
  <c r="AM556" i="21"/>
  <c r="AM562" i="21"/>
  <c r="AM565" i="21"/>
  <c r="AM571" i="21"/>
  <c r="AM577" i="21"/>
  <c r="AM586" i="21"/>
  <c r="AM592" i="21"/>
  <c r="AM598" i="21"/>
  <c r="AM604" i="21"/>
  <c r="AM610" i="21"/>
  <c r="AM616" i="21"/>
  <c r="AM622" i="21"/>
  <c r="AM628" i="21"/>
  <c r="AM634" i="21"/>
  <c r="AM640" i="21"/>
  <c r="AM646" i="21"/>
  <c r="AM652" i="21"/>
  <c r="AM658" i="21"/>
  <c r="AM664" i="21"/>
  <c r="AM670" i="21"/>
  <c r="AM676" i="21"/>
  <c r="AM682" i="21"/>
  <c r="AM688" i="21"/>
  <c r="AM694" i="21"/>
  <c r="AM700" i="21"/>
  <c r="AM706" i="21"/>
  <c r="AM712" i="21"/>
  <c r="AM718" i="21"/>
  <c r="AM721" i="21"/>
  <c r="AM727" i="21"/>
  <c r="AM733" i="21"/>
  <c r="AM742" i="21"/>
  <c r="AM748" i="21"/>
  <c r="AM751" i="21"/>
  <c r="AM757" i="21"/>
  <c r="AM763" i="21"/>
  <c r="AM769" i="21"/>
  <c r="AM775" i="21"/>
  <c r="AM781" i="21"/>
  <c r="AM787" i="21"/>
  <c r="AW3" i="15"/>
  <c r="AW9" i="15"/>
  <c r="AW15" i="15"/>
  <c r="AW21" i="15"/>
  <c r="AW27" i="15"/>
  <c r="AW33" i="15"/>
  <c r="AW39" i="15"/>
  <c r="AW45" i="15"/>
  <c r="AW51" i="15"/>
  <c r="AW60" i="15"/>
  <c r="AW69" i="15"/>
  <c r="AW78" i="15"/>
  <c r="AW84" i="15"/>
  <c r="AW93" i="15"/>
  <c r="AW99" i="15"/>
  <c r="AW108" i="15"/>
  <c r="AW114" i="15"/>
  <c r="AW120" i="15"/>
  <c r="AW126" i="15"/>
  <c r="AW132" i="15"/>
  <c r="AW138" i="15"/>
  <c r="AW141" i="15"/>
  <c r="AW144" i="15"/>
  <c r="AW147" i="15"/>
  <c r="AW150" i="15"/>
  <c r="AW153" i="15"/>
  <c r="AW156" i="15"/>
  <c r="AW162" i="15"/>
  <c r="AW168" i="15"/>
  <c r="AW174" i="15"/>
  <c r="AW180" i="15"/>
  <c r="AW189" i="15"/>
  <c r="AW198" i="15"/>
  <c r="AW207" i="15"/>
  <c r="AW216" i="15"/>
  <c r="AW225" i="15"/>
  <c r="AW234" i="15"/>
  <c r="AW246" i="15"/>
  <c r="AW255" i="15"/>
  <c r="AW264" i="15"/>
  <c r="AW273" i="15"/>
  <c r="AW282" i="15"/>
  <c r="AW291" i="15"/>
  <c r="AW300" i="15"/>
  <c r="AW309" i="15"/>
  <c r="AW318" i="15"/>
  <c r="AW327" i="15"/>
  <c r="AW336" i="15"/>
  <c r="AW342" i="15"/>
  <c r="AW351" i="15"/>
  <c r="AW360" i="15"/>
  <c r="AW369" i="15"/>
  <c r="AW378" i="15"/>
  <c r="AW387" i="15"/>
  <c r="AW396" i="15"/>
  <c r="AW405" i="15"/>
  <c r="AW414" i="15"/>
  <c r="AW423" i="15"/>
  <c r="AW432" i="15"/>
  <c r="AW441" i="15"/>
  <c r="AW450" i="15"/>
  <c r="AW459" i="15"/>
  <c r="AW468" i="15"/>
  <c r="AW477" i="15"/>
  <c r="AW483" i="15"/>
  <c r="AW492" i="15"/>
  <c r="AW501" i="15"/>
  <c r="AW510" i="15"/>
  <c r="AW516" i="15"/>
  <c r="AW525" i="15"/>
  <c r="AW531" i="15"/>
  <c r="AW537" i="15"/>
  <c r="AW63" i="15"/>
  <c r="AW72" i="15"/>
  <c r="AW81" i="15"/>
  <c r="AW90" i="15"/>
  <c r="AW105" i="15"/>
  <c r="AW183" i="15"/>
  <c r="AW195" i="15"/>
  <c r="AW204" i="15"/>
  <c r="AW213" i="15"/>
  <c r="AW222" i="15"/>
  <c r="AW231" i="15"/>
  <c r="AW240" i="15"/>
  <c r="AW249" i="15"/>
  <c r="AW258" i="15"/>
  <c r="AW267" i="15"/>
  <c r="AW276" i="15"/>
  <c r="AW285" i="15"/>
  <c r="AW294" i="15"/>
  <c r="AW306" i="15"/>
  <c r="AW315" i="15"/>
  <c r="AW324" i="15"/>
  <c r="AW333" i="15"/>
  <c r="AW345" i="15"/>
  <c r="AW354" i="15"/>
  <c r="AW363" i="15"/>
  <c r="AW372" i="15"/>
  <c r="AW381" i="15"/>
  <c r="AW390" i="15"/>
  <c r="AW399" i="15"/>
  <c r="AW408" i="15"/>
  <c r="AW417" i="15"/>
  <c r="AW426" i="15"/>
  <c r="AW435" i="15"/>
  <c r="AW447" i="15"/>
  <c r="AW456" i="15"/>
  <c r="AW465" i="15"/>
  <c r="AW474" i="15"/>
  <c r="AW486" i="15"/>
  <c r="AW495" i="15"/>
  <c r="AW504" i="15"/>
  <c r="AW519" i="15"/>
  <c r="AM353" i="21"/>
  <c r="AM362" i="21"/>
  <c r="AM371" i="21"/>
  <c r="AM386" i="21"/>
  <c r="AM395" i="21"/>
  <c r="AM404" i="21"/>
  <c r="AM413" i="21"/>
  <c r="AM422" i="21"/>
  <c r="AM431" i="21"/>
  <c r="AM440" i="21"/>
  <c r="AM449" i="21"/>
  <c r="AM458" i="21"/>
  <c r="AM467" i="21"/>
  <c r="AM476" i="21"/>
  <c r="AM482" i="21"/>
  <c r="AM491" i="21"/>
  <c r="AM500" i="21"/>
  <c r="AM506" i="21"/>
  <c r="AM515" i="21"/>
  <c r="AM524" i="21"/>
  <c r="AM533" i="21"/>
  <c r="AM542" i="21"/>
  <c r="AM551" i="21"/>
  <c r="AM560" i="21"/>
  <c r="AM569" i="21"/>
  <c r="AM578" i="21"/>
  <c r="AM587" i="21"/>
  <c r="AM596" i="21"/>
  <c r="AM605" i="21"/>
  <c r="AM614" i="21"/>
  <c r="AM623" i="21"/>
  <c r="AM632" i="21"/>
  <c r="AM641" i="21"/>
  <c r="AM650" i="21"/>
  <c r="AM659" i="21"/>
  <c r="AM665" i="21"/>
  <c r="AM674" i="21"/>
  <c r="AM683" i="21"/>
  <c r="AM692" i="21"/>
  <c r="AM701" i="21"/>
  <c r="AM710" i="21"/>
  <c r="AM719" i="21"/>
  <c r="AM728" i="21"/>
  <c r="AM737" i="21"/>
  <c r="AM743" i="21"/>
  <c r="AM752" i="21"/>
  <c r="AM761" i="21"/>
  <c r="AM770" i="21"/>
  <c r="AM779" i="21"/>
  <c r="AM788" i="21"/>
  <c r="AW7" i="15"/>
  <c r="AW10" i="15"/>
  <c r="AW19" i="15"/>
  <c r="AW28" i="15"/>
  <c r="AW37" i="15"/>
  <c r="AW46" i="15"/>
  <c r="AW55" i="15"/>
  <c r="AW64" i="15"/>
  <c r="AW73" i="15"/>
  <c r="AW82" i="15"/>
  <c r="AW88" i="15"/>
  <c r="AW97" i="15"/>
  <c r="AW103" i="15"/>
  <c r="AW112" i="15"/>
  <c r="AW118" i="15"/>
  <c r="AW127" i="15"/>
  <c r="AW133" i="15"/>
  <c r="AW139" i="15"/>
  <c r="AW145" i="15"/>
  <c r="AW154" i="15"/>
  <c r="AW163" i="15"/>
  <c r="AW172" i="15"/>
  <c r="AW181" i="15"/>
  <c r="AW187" i="15"/>
  <c r="AW196" i="15"/>
  <c r="AW205" i="15"/>
  <c r="AW214" i="15"/>
  <c r="AW223" i="15"/>
  <c r="AW232" i="15"/>
  <c r="AW241" i="15"/>
  <c r="AW250" i="15"/>
  <c r="AW259" i="15"/>
  <c r="AW268" i="15"/>
  <c r="AW277" i="15"/>
  <c r="AW286" i="15"/>
  <c r="AW292" i="15"/>
  <c r="AW301" i="15"/>
  <c r="AW310" i="15"/>
  <c r="AW319" i="15"/>
  <c r="AW328" i="15"/>
  <c r="AW337" i="15"/>
  <c r="AW346" i="15"/>
  <c r="AW355" i="15"/>
  <c r="AW364" i="15"/>
  <c r="AW373" i="15"/>
  <c r="AW382" i="15"/>
  <c r="AW391" i="15"/>
  <c r="AW397" i="15"/>
  <c r="AW406" i="15"/>
  <c r="AW415" i="15"/>
  <c r="AW424" i="15"/>
  <c r="AW433" i="15"/>
  <c r="AW442" i="15"/>
  <c r="AW451" i="15"/>
  <c r="AW460" i="15"/>
  <c r="AW469" i="15"/>
  <c r="AW478" i="15"/>
  <c r="AW487" i="15"/>
  <c r="AW496" i="15"/>
  <c r="AW505" i="15"/>
  <c r="AW514" i="15"/>
  <c r="AW523" i="15"/>
  <c r="AW529" i="15"/>
  <c r="AW538" i="15"/>
  <c r="AW544" i="15"/>
  <c r="AW547" i="15"/>
  <c r="AW574" i="15"/>
  <c r="AW577" i="15"/>
  <c r="AW580" i="15"/>
  <c r="AW583" i="15"/>
  <c r="AW643" i="15"/>
  <c r="AW646" i="15"/>
  <c r="AW649" i="15"/>
  <c r="AW652" i="15"/>
  <c r="AW655" i="15"/>
  <c r="AW658" i="15"/>
  <c r="AW661" i="15"/>
  <c r="AW664" i="15"/>
  <c r="AW667" i="15"/>
  <c r="AW670" i="15"/>
  <c r="AW673" i="15"/>
  <c r="AW676" i="15"/>
  <c r="AW679" i="15"/>
  <c r="AW682" i="15"/>
  <c r="AW685" i="15"/>
  <c r="AW688" i="15"/>
  <c r="AW691" i="15"/>
  <c r="AW694" i="15"/>
  <c r="AW697" i="15"/>
  <c r="AW700" i="15"/>
  <c r="AW703" i="15"/>
  <c r="AW706" i="15"/>
  <c r="AW709" i="15"/>
  <c r="AW712" i="15"/>
  <c r="AW715" i="15"/>
  <c r="AW718" i="15"/>
  <c r="AW721" i="15"/>
  <c r="AW724" i="15"/>
  <c r="AW727" i="15"/>
  <c r="AW730" i="15"/>
  <c r="AW733" i="15"/>
  <c r="AW736" i="15"/>
  <c r="AW739" i="15"/>
  <c r="AW742" i="15"/>
  <c r="AW745" i="15"/>
  <c r="AW748" i="15"/>
  <c r="AW751" i="15"/>
  <c r="AW754" i="15"/>
  <c r="AW757" i="15"/>
  <c r="AW760" i="15"/>
  <c r="AW763" i="15"/>
  <c r="AW766" i="15"/>
  <c r="AW769" i="15"/>
  <c r="AW772" i="15"/>
  <c r="AW775" i="15"/>
  <c r="AW778" i="15"/>
  <c r="AW781" i="15"/>
  <c r="AW784" i="15"/>
  <c r="AW787" i="15"/>
  <c r="AW790" i="15"/>
  <c r="AM356" i="21"/>
  <c r="AM365" i="21"/>
  <c r="AM374" i="21"/>
  <c r="AM380" i="21"/>
  <c r="AM389" i="21"/>
  <c r="AM398" i="21"/>
  <c r="AM407" i="21"/>
  <c r="AM416" i="21"/>
  <c r="AM425" i="21"/>
  <c r="AM434" i="21"/>
  <c r="AM443" i="21"/>
  <c r="AM452" i="21"/>
  <c r="AM461" i="21"/>
  <c r="AM470" i="21"/>
  <c r="AM479" i="21"/>
  <c r="AM488" i="21"/>
  <c r="AM497" i="21"/>
  <c r="AM509" i="21"/>
  <c r="AM521" i="21"/>
  <c r="AM530" i="21"/>
  <c r="AM539" i="21"/>
  <c r="AM548" i="21"/>
  <c r="AM557" i="21"/>
  <c r="AM563" i="21"/>
  <c r="AM572" i="21"/>
  <c r="AM581" i="21"/>
  <c r="AM590" i="21"/>
  <c r="AM599" i="21"/>
  <c r="AM608" i="21"/>
  <c r="AM617" i="21"/>
  <c r="AM626" i="21"/>
  <c r="AM635" i="21"/>
  <c r="AM644" i="21"/>
  <c r="AM653" i="21"/>
  <c r="AM662" i="21"/>
  <c r="AM671" i="21"/>
  <c r="AM680" i="21"/>
  <c r="AM689" i="21"/>
  <c r="AM695" i="21"/>
  <c r="AM704" i="21"/>
  <c r="AM713" i="21"/>
  <c r="AM722" i="21"/>
  <c r="AM731" i="21"/>
  <c r="AM740" i="21"/>
  <c r="AM749" i="21"/>
  <c r="AM758" i="21"/>
  <c r="AM767" i="21"/>
  <c r="AM776" i="21"/>
  <c r="AM785" i="21"/>
  <c r="AW4" i="15"/>
  <c r="AW16" i="15"/>
  <c r="AW25" i="15"/>
  <c r="AW34" i="15"/>
  <c r="AW43" i="15"/>
  <c r="AW52" i="15"/>
  <c r="AW61" i="15"/>
  <c r="AW70" i="15"/>
  <c r="AW79" i="15"/>
  <c r="AW91" i="15"/>
  <c r="AW100" i="15"/>
  <c r="AW109" i="15"/>
  <c r="AW115" i="15"/>
  <c r="AW124" i="15"/>
  <c r="AW130" i="15"/>
  <c r="AW136" i="15"/>
  <c r="AW142" i="15"/>
  <c r="AW151" i="15"/>
  <c r="AW160" i="15"/>
  <c r="AW169" i="15"/>
  <c r="AW178" i="15"/>
  <c r="AW190" i="15"/>
  <c r="AW202" i="15"/>
  <c r="AW211" i="15"/>
  <c r="AW220" i="15"/>
  <c r="AW235" i="15"/>
  <c r="AW244" i="15"/>
  <c r="AW253" i="15"/>
  <c r="AW262" i="15"/>
  <c r="AW271" i="15"/>
  <c r="AW280" i="15"/>
  <c r="AW295" i="15"/>
  <c r="AW304" i="15"/>
  <c r="AW313" i="15"/>
  <c r="AW322" i="15"/>
  <c r="AW334" i="15"/>
  <c r="AW343" i="15"/>
  <c r="AW352" i="15"/>
  <c r="AW361" i="15"/>
  <c r="AW370" i="15"/>
  <c r="AW379" i="15"/>
  <c r="AW388" i="15"/>
  <c r="AW400" i="15"/>
  <c r="AW409" i="15"/>
  <c r="AW418" i="15"/>
  <c r="AW427" i="15"/>
  <c r="AW436" i="15"/>
  <c r="AW445" i="15"/>
  <c r="AW454" i="15"/>
  <c r="AW463" i="15"/>
  <c r="AW472" i="15"/>
  <c r="AW481" i="15"/>
  <c r="AW490" i="15"/>
  <c r="AW499" i="15"/>
  <c r="AW508" i="15"/>
  <c r="AW520" i="15"/>
  <c r="AW532" i="15"/>
  <c r="AM359" i="21"/>
  <c r="AM368" i="21"/>
  <c r="AM377" i="21"/>
  <c r="AM383" i="21"/>
  <c r="AM392" i="21"/>
  <c r="AM401" i="21"/>
  <c r="AM410" i="21"/>
  <c r="AM419" i="21"/>
  <c r="AM428" i="21"/>
  <c r="AM437" i="21"/>
  <c r="AM446" i="21"/>
  <c r="AM455" i="21"/>
  <c r="AM464" i="21"/>
  <c r="AM473" i="21"/>
  <c r="AM485" i="21"/>
  <c r="AM494" i="21"/>
  <c r="AM503" i="21"/>
  <c r="AM512" i="21"/>
  <c r="AM518" i="21"/>
  <c r="AM527" i="21"/>
  <c r="AM536" i="21"/>
  <c r="AM545" i="21"/>
  <c r="AM554" i="21"/>
  <c r="AM566" i="21"/>
  <c r="AM575" i="21"/>
  <c r="AM584" i="21"/>
  <c r="AM593" i="21"/>
  <c r="AM602" i="21"/>
  <c r="AM611" i="21"/>
  <c r="AM620" i="21"/>
  <c r="AM629" i="21"/>
  <c r="AM638" i="21"/>
  <c r="AM647" i="21"/>
  <c r="AM656" i="21"/>
  <c r="AM668" i="21"/>
  <c r="AM677" i="21"/>
  <c r="AM686" i="21"/>
  <c r="AM698" i="21"/>
  <c r="AM707" i="21"/>
  <c r="AM716" i="21"/>
  <c r="AM725" i="21"/>
  <c r="AM734" i="21"/>
  <c r="AM746" i="21"/>
  <c r="AM755" i="21"/>
  <c r="AM764" i="21"/>
  <c r="AM773" i="21"/>
  <c r="AM782" i="21"/>
  <c r="AM791" i="21"/>
  <c r="AW13" i="15"/>
  <c r="AW22" i="15"/>
  <c r="AW31" i="15"/>
  <c r="AW40" i="15"/>
  <c r="AW49" i="15"/>
  <c r="AW58" i="15"/>
  <c r="AW67" i="15"/>
  <c r="AW76" i="15"/>
  <c r="AW85" i="15"/>
  <c r="AW94" i="15"/>
  <c r="AW106" i="15"/>
  <c r="AW121" i="15"/>
  <c r="AW148" i="15"/>
  <c r="AW157" i="15"/>
  <c r="AW166" i="15"/>
  <c r="AW175" i="15"/>
  <c r="AW184" i="15"/>
  <c r="AW193" i="15"/>
  <c r="AW199" i="15"/>
  <c r="AW208" i="15"/>
  <c r="AW217" i="15"/>
  <c r="AW226" i="15"/>
  <c r="AW229" i="15"/>
  <c r="AW238" i="15"/>
  <c r="AW247" i="15"/>
  <c r="AW256" i="15"/>
  <c r="AW265" i="15"/>
  <c r="AW274" i="15"/>
  <c r="AW283" i="15"/>
  <c r="AW289" i="15"/>
  <c r="AW298" i="15"/>
  <c r="AW307" i="15"/>
  <c r="AW316" i="15"/>
  <c r="AW325" i="15"/>
  <c r="AW331" i="15"/>
  <c r="AW340" i="15"/>
  <c r="AW349" i="15"/>
  <c r="AW358" i="15"/>
  <c r="AW367" i="15"/>
  <c r="AW376" i="15"/>
  <c r="AW385" i="15"/>
  <c r="AW394" i="15"/>
  <c r="AW403" i="15"/>
  <c r="AW412" i="15"/>
  <c r="AW421" i="15"/>
  <c r="AW430" i="15"/>
  <c r="AW439" i="15"/>
  <c r="AW448" i="15"/>
  <c r="AW457" i="15"/>
  <c r="AW466" i="15"/>
  <c r="AW475" i="15"/>
  <c r="AW484" i="15"/>
  <c r="AW493" i="15"/>
  <c r="AW502" i="15"/>
  <c r="AW511" i="15"/>
  <c r="AW517" i="15"/>
  <c r="AW526" i="15"/>
  <c r="AW535" i="15"/>
  <c r="AW541" i="15"/>
  <c r="AM447" i="21"/>
  <c r="AM456" i="21"/>
  <c r="AM465" i="21"/>
  <c r="AM474" i="21"/>
  <c r="AM483" i="21"/>
  <c r="AM492" i="21"/>
  <c r="AM501" i="21"/>
  <c r="AM510" i="21"/>
  <c r="AM519" i="21"/>
  <c r="AM528" i="21"/>
  <c r="AM537" i="21"/>
  <c r="AM546" i="21"/>
  <c r="AM555" i="21"/>
  <c r="AM564" i="21"/>
  <c r="AM573" i="21"/>
  <c r="AM579" i="21"/>
  <c r="AM588" i="21"/>
  <c r="AM594" i="21"/>
  <c r="AM600" i="21"/>
  <c r="AM606" i="21"/>
  <c r="AM612" i="21"/>
  <c r="AM621" i="21"/>
  <c r="AM633" i="21"/>
  <c r="AM642" i="21"/>
  <c r="AM651" i="21"/>
  <c r="AM660" i="21"/>
  <c r="AM669" i="21"/>
  <c r="AM678" i="21"/>
  <c r="AM687" i="21"/>
  <c r="AM696" i="21"/>
  <c r="AM705" i="21"/>
  <c r="AM714" i="21"/>
  <c r="AM723" i="21"/>
  <c r="AM732" i="21"/>
  <c r="AM741" i="21"/>
  <c r="AM750" i="21"/>
  <c r="AM759" i="21"/>
  <c r="AM768" i="21"/>
  <c r="AM780" i="21"/>
  <c r="AM789" i="21"/>
  <c r="AW8" i="15"/>
  <c r="AW17" i="15"/>
  <c r="AW26" i="15"/>
  <c r="AW35" i="15"/>
  <c r="AW44" i="15"/>
  <c r="AW53" i="15"/>
  <c r="AW62" i="15"/>
  <c r="AW68" i="15"/>
  <c r="AW77" i="15"/>
  <c r="AW83" i="15"/>
  <c r="AW92" i="15"/>
  <c r="AW101" i="15"/>
  <c r="AW107" i="15"/>
  <c r="AW113" i="15"/>
  <c r="AW116" i="15"/>
  <c r="AW122" i="15"/>
  <c r="AW128" i="15"/>
  <c r="AW134" i="15"/>
  <c r="AW140" i="15"/>
  <c r="AW146" i="15"/>
  <c r="AW152" i="15"/>
  <c r="AW158" i="15"/>
  <c r="AW164" i="15"/>
  <c r="AW173" i="15"/>
  <c r="AW182" i="15"/>
  <c r="AW194" i="15"/>
  <c r="AW221" i="15"/>
  <c r="AW230" i="15"/>
  <c r="AW239" i="15"/>
  <c r="AW248" i="15"/>
  <c r="AW254" i="15"/>
  <c r="AW263" i="15"/>
  <c r="AW269" i="15"/>
  <c r="AW275" i="15"/>
  <c r="AW281" i="15"/>
  <c r="AW287" i="15"/>
  <c r="AW293" i="15"/>
  <c r="AW299" i="15"/>
  <c r="AW305" i="15"/>
  <c r="AW311" i="15"/>
  <c r="AW317" i="15"/>
  <c r="AW323" i="15"/>
  <c r="AW329" i="15"/>
  <c r="AW335" i="15"/>
  <c r="AW344" i="15"/>
  <c r="AW353" i="15"/>
  <c r="AW362" i="15"/>
  <c r="AW371" i="15"/>
  <c r="AW380" i="15"/>
  <c r="AW392" i="15"/>
  <c r="AW404" i="15"/>
  <c r="AW413" i="15"/>
  <c r="AW422" i="15"/>
  <c r="AW431" i="15"/>
  <c r="AW440" i="15"/>
  <c r="AW449" i="15"/>
  <c r="AW458" i="15"/>
  <c r="AW467" i="15"/>
  <c r="AW476" i="15"/>
  <c r="AW485" i="15"/>
  <c r="AW491" i="15"/>
  <c r="AW503" i="15"/>
  <c r="AW512" i="15"/>
  <c r="AW518" i="15"/>
  <c r="AW524" i="15"/>
  <c r="AW533" i="15"/>
  <c r="AW536" i="15"/>
  <c r="AW545" i="15"/>
  <c r="AW548" i="15"/>
  <c r="AW557" i="15"/>
  <c r="AW560" i="15"/>
  <c r="AW563" i="15"/>
  <c r="AW566" i="15"/>
  <c r="AW569" i="15"/>
  <c r="AW686" i="15"/>
  <c r="AW689" i="15"/>
  <c r="AW692" i="15"/>
  <c r="AW695" i="15"/>
  <c r="AW698" i="15"/>
  <c r="AW701" i="15"/>
  <c r="AW704" i="15"/>
  <c r="AW707" i="15"/>
  <c r="AW710" i="15"/>
  <c r="AW713" i="15"/>
  <c r="AW716" i="15"/>
  <c r="AW719" i="15"/>
  <c r="AW722" i="15"/>
  <c r="AW725" i="15"/>
  <c r="AW728" i="15"/>
  <c r="AW731" i="15"/>
  <c r="AW734" i="15"/>
  <c r="AW737" i="15"/>
  <c r="AW740" i="15"/>
  <c r="AW743" i="15"/>
  <c r="AW746" i="15"/>
  <c r="AW749" i="15"/>
  <c r="AW752" i="15"/>
  <c r="AW755" i="15"/>
  <c r="AW758" i="15"/>
  <c r="AW761" i="15"/>
  <c r="AW764" i="15"/>
  <c r="AW767" i="15"/>
  <c r="AW770" i="15"/>
  <c r="AW773" i="15"/>
  <c r="AW776" i="15"/>
  <c r="AW779" i="15"/>
  <c r="AW782" i="15"/>
  <c r="AW785" i="15"/>
  <c r="AW788" i="15"/>
  <c r="AW791" i="15"/>
  <c r="AM444" i="21"/>
  <c r="AM453" i="21"/>
  <c r="AM462" i="21"/>
  <c r="AM471" i="21"/>
  <c r="AM480" i="21"/>
  <c r="AM489" i="21"/>
  <c r="AM498" i="21"/>
  <c r="AM507" i="21"/>
  <c r="AM516" i="21"/>
  <c r="AM525" i="21"/>
  <c r="AM534" i="21"/>
  <c r="AM543" i="21"/>
  <c r="AM552" i="21"/>
  <c r="AM561" i="21"/>
  <c r="AM570" i="21"/>
  <c r="AM585" i="21"/>
  <c r="AM618" i="21"/>
  <c r="AM627" i="21"/>
  <c r="AM636" i="21"/>
  <c r="AM645" i="21"/>
  <c r="AM654" i="21"/>
  <c r="AM663" i="21"/>
  <c r="AM672" i="21"/>
  <c r="AM681" i="21"/>
  <c r="AM690" i="21"/>
  <c r="AM699" i="21"/>
  <c r="AM708" i="21"/>
  <c r="AM717" i="21"/>
  <c r="AM726" i="21"/>
  <c r="AM735" i="21"/>
  <c r="AM744" i="21"/>
  <c r="AM753" i="21"/>
  <c r="AM762" i="21"/>
  <c r="AM771" i="21"/>
  <c r="AM777" i="21"/>
  <c r="AM786" i="21"/>
  <c r="AW5" i="15"/>
  <c r="AW14" i="15"/>
  <c r="AW23" i="15"/>
  <c r="AW32" i="15"/>
  <c r="AW41" i="15"/>
  <c r="AW50" i="15"/>
  <c r="AW59" i="15"/>
  <c r="AW71" i="15"/>
  <c r="AW89" i="15"/>
  <c r="AW170" i="15"/>
  <c r="AW179" i="15"/>
  <c r="AW188" i="15"/>
  <c r="AW233" i="15"/>
  <c r="AW242" i="15"/>
  <c r="AW257" i="15"/>
  <c r="AW332" i="15"/>
  <c r="AW341" i="15"/>
  <c r="AW347" i="15"/>
  <c r="AW356" i="15"/>
  <c r="AW365" i="15"/>
  <c r="AW374" i="15"/>
  <c r="AW383" i="15"/>
  <c r="AW389" i="15"/>
  <c r="AW398" i="15"/>
  <c r="AW407" i="15"/>
  <c r="AW416" i="15"/>
  <c r="AW425" i="15"/>
  <c r="AW434" i="15"/>
  <c r="AW443" i="15"/>
  <c r="AW452" i="15"/>
  <c r="AW461" i="15"/>
  <c r="AW470" i="15"/>
  <c r="AW479" i="15"/>
  <c r="AW488" i="15"/>
  <c r="AW497" i="15"/>
  <c r="AW500" i="15"/>
  <c r="AW509" i="15"/>
  <c r="AW521" i="15"/>
  <c r="AW530" i="15"/>
  <c r="AM450" i="21"/>
  <c r="AM459" i="21"/>
  <c r="AM468" i="21"/>
  <c r="AM477" i="21"/>
  <c r="AM486" i="21"/>
  <c r="AM495" i="21"/>
  <c r="AM504" i="21"/>
  <c r="AM513" i="21"/>
  <c r="AM522" i="21"/>
  <c r="AM531" i="21"/>
  <c r="AM540" i="21"/>
  <c r="AM549" i="21"/>
  <c r="AM558" i="21"/>
  <c r="AM567" i="21"/>
  <c r="AM576" i="21"/>
  <c r="AM582" i="21"/>
  <c r="AM591" i="21"/>
  <c r="AM597" i="21"/>
  <c r="AM603" i="21"/>
  <c r="AM609" i="21"/>
  <c r="AM615" i="21"/>
  <c r="AM624" i="21"/>
  <c r="AM630" i="21"/>
  <c r="AM639" i="21"/>
  <c r="AM648" i="21"/>
  <c r="AM657" i="21"/>
  <c r="AM666" i="21"/>
  <c r="AM675" i="21"/>
  <c r="AM684" i="21"/>
  <c r="AM693" i="21"/>
  <c r="AM702" i="21"/>
  <c r="AM711" i="21"/>
  <c r="AM720" i="21"/>
  <c r="AM729" i="21"/>
  <c r="AM738" i="21"/>
  <c r="AM747" i="21"/>
  <c r="AM756" i="21"/>
  <c r="AM765" i="21"/>
  <c r="AM774" i="21"/>
  <c r="AM783" i="21"/>
  <c r="AM792" i="21"/>
  <c r="AW11" i="15"/>
  <c r="AW20" i="15"/>
  <c r="AW29" i="15"/>
  <c r="AW38" i="15"/>
  <c r="AW47" i="15"/>
  <c r="AW56" i="15"/>
  <c r="AW65" i="15"/>
  <c r="AW74" i="15"/>
  <c r="AW80" i="15"/>
  <c r="AW86" i="15"/>
  <c r="AW95" i="15"/>
  <c r="AW98" i="15"/>
  <c r="AW104" i="15"/>
  <c r="AW110" i="15"/>
  <c r="AW119" i="15"/>
  <c r="AW125" i="15"/>
  <c r="AW131" i="15"/>
  <c r="AW137" i="15"/>
  <c r="AW143" i="15"/>
  <c r="AW149" i="15"/>
  <c r="AW155" i="15"/>
  <c r="AW161" i="15"/>
  <c r="AW167" i="15"/>
  <c r="AW176" i="15"/>
  <c r="AW185" i="15"/>
  <c r="AW191" i="15"/>
  <c r="AW197" i="15"/>
  <c r="AW200" i="15"/>
  <c r="AW203" i="15"/>
  <c r="AW206" i="15"/>
  <c r="AW209" i="15"/>
  <c r="AW212" i="15"/>
  <c r="AW215" i="15"/>
  <c r="AW218" i="15"/>
  <c r="AW224" i="15"/>
  <c r="AW227" i="15"/>
  <c r="AW236" i="15"/>
  <c r="AW245" i="15"/>
  <c r="AW251" i="15"/>
  <c r="AW260" i="15"/>
  <c r="AW266" i="15"/>
  <c r="AW272" i="15"/>
  <c r="AW278" i="15"/>
  <c r="AW284" i="15"/>
  <c r="AW290" i="15"/>
  <c r="AW296" i="15"/>
  <c r="AW302" i="15"/>
  <c r="AW308" i="15"/>
  <c r="AW314" i="15"/>
  <c r="AW320" i="15"/>
  <c r="AW326" i="15"/>
  <c r="AW338" i="15"/>
  <c r="AW350" i="15"/>
  <c r="AW359" i="15"/>
  <c r="AW368" i="15"/>
  <c r="AW377" i="15"/>
  <c r="AW386" i="15"/>
  <c r="AW395" i="15"/>
  <c r="AW401" i="15"/>
  <c r="AW410" i="15"/>
  <c r="AW419" i="15"/>
  <c r="AW428" i="15"/>
  <c r="AW437" i="15"/>
  <c r="AW446" i="15"/>
  <c r="AW455" i="15"/>
  <c r="AW464" i="15"/>
  <c r="AW473" i="15"/>
  <c r="AW482" i="15"/>
  <c r="AW494" i="15"/>
  <c r="AW506" i="15"/>
  <c r="AW515" i="15"/>
  <c r="AW527" i="15"/>
  <c r="AM523" i="21"/>
  <c r="AM526" i="21"/>
  <c r="AM532" i="21"/>
  <c r="AM535" i="21"/>
  <c r="AM538" i="21"/>
  <c r="AM541" i="21"/>
  <c r="AM544" i="21"/>
  <c r="AM547" i="21"/>
  <c r="AM553" i="21"/>
  <c r="AM559" i="21"/>
  <c r="AM568" i="21"/>
  <c r="AM574" i="21"/>
  <c r="AM580" i="21"/>
  <c r="AM583" i="21"/>
  <c r="AM589" i="21"/>
  <c r="AM595" i="21"/>
  <c r="AM601" i="21"/>
  <c r="AM607" i="21"/>
  <c r="AM613" i="21"/>
  <c r="AM619" i="21"/>
  <c r="AM625" i="21"/>
  <c r="AM631" i="21"/>
  <c r="AM637" i="21"/>
  <c r="AM643" i="21"/>
  <c r="AM649" i="21"/>
  <c r="AM655" i="21"/>
  <c r="AM661" i="21"/>
  <c r="AM667" i="21"/>
  <c r="AM673" i="21"/>
  <c r="AM679" i="21"/>
  <c r="AM685" i="21"/>
  <c r="AM691" i="21"/>
  <c r="AM697" i="21"/>
  <c r="AM703" i="21"/>
  <c r="AM709" i="21"/>
  <c r="AM715" i="21"/>
  <c r="AM724" i="21"/>
  <c r="AM730" i="21"/>
  <c r="AM736" i="21"/>
  <c r="AM739" i="21"/>
  <c r="AM745" i="21"/>
  <c r="AM754" i="21"/>
  <c r="AM760" i="21"/>
  <c r="AM766" i="21"/>
  <c r="AM772" i="21"/>
  <c r="AM778" i="21"/>
  <c r="AM784" i="21"/>
  <c r="AM790" i="21"/>
  <c r="AW6" i="15"/>
  <c r="AW12" i="15"/>
  <c r="AW18" i="15"/>
  <c r="AW24" i="15"/>
  <c r="AW30" i="15"/>
  <c r="AW36" i="15"/>
  <c r="AW42" i="15"/>
  <c r="AW48" i="15"/>
  <c r="AW57" i="15"/>
  <c r="AW66" i="15"/>
  <c r="AW75" i="15"/>
  <c r="AW87" i="15"/>
  <c r="AW96" i="15"/>
  <c r="AW102" i="15"/>
  <c r="AW111" i="15"/>
  <c r="AW117" i="15"/>
  <c r="AW123" i="15"/>
  <c r="AW129" i="15"/>
  <c r="AW135" i="15"/>
  <c r="AW159" i="15"/>
  <c r="AW165" i="15"/>
  <c r="AW171" i="15"/>
  <c r="AW177" i="15"/>
  <c r="AW186" i="15"/>
  <c r="AW192" i="15"/>
  <c r="AW201" i="15"/>
  <c r="AW210" i="15"/>
  <c r="AW219" i="15"/>
  <c r="AW228" i="15"/>
  <c r="AW237" i="15"/>
  <c r="AW243" i="15"/>
  <c r="AW252" i="15"/>
  <c r="AW261" i="15"/>
  <c r="AW270" i="15"/>
  <c r="AW279" i="15"/>
  <c r="AW288" i="15"/>
  <c r="AW297" i="15"/>
  <c r="AW303" i="15"/>
  <c r="AW312" i="15"/>
  <c r="AW321" i="15"/>
  <c r="AW330" i="15"/>
  <c r="AW339" i="15"/>
  <c r="AW348" i="15"/>
  <c r="AW357" i="15"/>
  <c r="AW366" i="15"/>
  <c r="AW375" i="15"/>
  <c r="AW384" i="15"/>
  <c r="AW393" i="15"/>
  <c r="AW402" i="15"/>
  <c r="AW411" i="15"/>
  <c r="AW420" i="15"/>
  <c r="AW429" i="15"/>
  <c r="AW438" i="15"/>
  <c r="AW444" i="15"/>
  <c r="AW453" i="15"/>
  <c r="AW462" i="15"/>
  <c r="AW471" i="15"/>
  <c r="AW480" i="15"/>
  <c r="AW489" i="15"/>
  <c r="AW498" i="15"/>
  <c r="AW507" i="15"/>
  <c r="AW513" i="15"/>
  <c r="AW522" i="15"/>
  <c r="AW528" i="15"/>
  <c r="AW534" i="15"/>
  <c r="AW540" i="15"/>
  <c r="AW561" i="15"/>
  <c r="AW564" i="15"/>
  <c r="AW567" i="15"/>
  <c r="AW573" i="15"/>
  <c r="AW585" i="15"/>
  <c r="AP247" i="2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S618" i="21"/>
  <c r="AO647" i="21"/>
  <c r="AS759" i="21"/>
  <c r="AQ727" i="21"/>
  <c r="AQ113" i="21"/>
  <c r="AQ659" i="21"/>
  <c r="AP66" i="21"/>
  <c r="AQ295" i="21"/>
  <c r="AS498" i="21"/>
  <c r="AP707" i="21"/>
  <c r="AQ789" i="21"/>
  <c r="AS707" i="21"/>
  <c r="AO33" i="21"/>
  <c r="AS558" i="21"/>
  <c r="AO58" i="21"/>
  <c r="AP242" i="21"/>
  <c r="AO749" i="21"/>
  <c r="AO293" i="21"/>
  <c r="AO46" i="21"/>
  <c r="AP162" i="21"/>
  <c r="AO145" i="21"/>
  <c r="AP250" i="21"/>
  <c r="AP365" i="21"/>
  <c r="AP519" i="21"/>
  <c r="AS42" i="21"/>
  <c r="AS231" i="21"/>
  <c r="AO295" i="21"/>
  <c r="AS443" i="21"/>
  <c r="AS621" i="21"/>
  <c r="AQ638" i="21"/>
  <c r="AO657" i="21"/>
  <c r="AQ771" i="21"/>
  <c r="AQ751" i="21"/>
  <c r="AO783" i="21"/>
  <c r="AQ599" i="21"/>
  <c r="AO217" i="21"/>
  <c r="AO226" i="21"/>
  <c r="AO312" i="21"/>
  <c r="AS588" i="21"/>
  <c r="AP619" i="21"/>
  <c r="AO636" i="21"/>
  <c r="AS655" i="21"/>
  <c r="AS743" i="21"/>
  <c r="AO278" i="21"/>
  <c r="AS306" i="21"/>
  <c r="AP62" i="21"/>
  <c r="AS94" i="21"/>
  <c r="AS312" i="21"/>
  <c r="AQ332" i="21"/>
  <c r="AO45" i="21"/>
  <c r="AP535" i="21"/>
  <c r="AS105" i="21"/>
  <c r="AS314" i="21"/>
  <c r="AS34" i="21"/>
  <c r="AS293" i="21"/>
  <c r="AP332" i="21"/>
  <c r="AO355" i="21"/>
  <c r="AP17" i="21"/>
  <c r="AO57" i="21"/>
  <c r="AP26" i="21"/>
  <c r="AQ57" i="21"/>
  <c r="AS97" i="21"/>
  <c r="AS301" i="21"/>
  <c r="AS332" i="21"/>
  <c r="AP376" i="21"/>
  <c r="AQ495" i="21"/>
  <c r="AO631" i="21"/>
  <c r="AO650" i="21"/>
  <c r="AO729" i="21"/>
  <c r="AP74" i="21"/>
  <c r="AP296" i="21"/>
  <c r="AO353" i="21"/>
  <c r="AQ376" i="21"/>
  <c r="AS495" i="21"/>
  <c r="AS46" i="21"/>
  <c r="AQ77" i="21"/>
  <c r="AO250" i="21"/>
  <c r="AS296" i="21"/>
  <c r="AP631" i="21"/>
  <c r="AO662" i="21"/>
  <c r="AO682" i="21"/>
  <c r="AO746" i="21"/>
  <c r="AO754" i="21"/>
  <c r="AP662" i="21"/>
  <c r="AQ35" i="21"/>
  <c r="AP41" i="21"/>
  <c r="AQ662" i="21"/>
  <c r="AQ785" i="21"/>
  <c r="AQ13" i="21"/>
  <c r="AS478" i="21"/>
  <c r="AS5" i="21"/>
  <c r="AQ46" i="21"/>
  <c r="AQ149" i="21"/>
  <c r="AS235" i="21"/>
  <c r="AO246" i="21"/>
  <c r="AP301" i="21"/>
  <c r="AP340" i="21"/>
  <c r="AO401" i="21"/>
  <c r="AO470" i="21"/>
  <c r="AQ605" i="21"/>
  <c r="AQ621" i="21"/>
  <c r="AP655" i="21"/>
  <c r="AO221" i="21"/>
  <c r="AO359" i="21"/>
  <c r="AS527" i="21"/>
  <c r="AS13" i="21"/>
  <c r="AO54" i="21"/>
  <c r="AQ54" i="21"/>
  <c r="AO70" i="21"/>
  <c r="AO309" i="21"/>
  <c r="AO349" i="21"/>
  <c r="AO393" i="21"/>
  <c r="AO404" i="21"/>
  <c r="AP129" i="21"/>
  <c r="AQ129" i="21"/>
  <c r="AP221" i="21"/>
  <c r="AP238" i="21"/>
  <c r="AQ73" i="21"/>
  <c r="AP78" i="21"/>
  <c r="AQ233" i="21"/>
  <c r="AQ299" i="21"/>
  <c r="AO304" i="21"/>
  <c r="AQ309" i="21"/>
  <c r="AO316" i="21"/>
  <c r="AS385" i="21"/>
  <c r="AS396" i="21"/>
  <c r="AP404" i="21"/>
  <c r="AP436" i="21"/>
  <c r="AP608" i="21"/>
  <c r="AP643" i="21"/>
  <c r="AQ650" i="21"/>
  <c r="AS714" i="21"/>
  <c r="AS727" i="21"/>
  <c r="AQ763" i="21"/>
  <c r="AP381" i="21"/>
  <c r="AP22" i="21"/>
  <c r="AO266" i="21"/>
  <c r="AO14" i="21"/>
  <c r="AO42" i="21"/>
  <c r="AP90" i="21"/>
  <c r="AP133" i="21"/>
  <c r="AP197" i="21"/>
  <c r="AS233" i="21"/>
  <c r="AQ255" i="21"/>
  <c r="AS309" i="21"/>
  <c r="AO314" i="21"/>
  <c r="AP316" i="21"/>
  <c r="AO380" i="21"/>
  <c r="AO419" i="21"/>
  <c r="AQ436" i="21"/>
  <c r="AQ462" i="21"/>
  <c r="AQ589" i="21"/>
  <c r="AO638" i="21"/>
  <c r="AQ643" i="21"/>
  <c r="AS650" i="21"/>
  <c r="AS763" i="21"/>
  <c r="AP478" i="21"/>
  <c r="AP42" i="21"/>
  <c r="AQ133" i="21"/>
  <c r="AS197" i="21"/>
  <c r="AQ314" i="21"/>
  <c r="AP698" i="21"/>
  <c r="AO717" i="21"/>
  <c r="AQ725" i="21"/>
  <c r="AS698" i="21"/>
  <c r="AP723" i="21"/>
  <c r="AO761" i="21"/>
  <c r="AQ723" i="21"/>
  <c r="AO331" i="21"/>
  <c r="AO339" i="21"/>
  <c r="AP353" i="21"/>
  <c r="AQ400" i="21"/>
  <c r="AP495" i="21"/>
  <c r="AS535" i="21"/>
  <c r="AO659" i="21"/>
  <c r="AO707" i="21"/>
  <c r="AP715" i="21"/>
  <c r="AS723" i="21"/>
  <c r="AO751" i="21"/>
  <c r="AQ759" i="21"/>
  <c r="AS69" i="21"/>
  <c r="AP94" i="21"/>
  <c r="AP226" i="21"/>
  <c r="AS259" i="21"/>
  <c r="AP293" i="21"/>
  <c r="AQ308" i="21"/>
  <c r="AO320" i="21"/>
  <c r="AO376" i="21"/>
  <c r="AS389" i="21"/>
  <c r="AP443" i="21"/>
  <c r="AQ93" i="21"/>
  <c r="AQ125" i="21"/>
  <c r="AQ302" i="21"/>
  <c r="AO447" i="21"/>
  <c r="AP682" i="21"/>
  <c r="AQ11" i="21"/>
  <c r="AP245" i="21"/>
  <c r="AO357" i="21"/>
  <c r="AS368" i="21"/>
  <c r="AO460" i="21"/>
  <c r="AP487" i="21"/>
  <c r="AP511" i="21"/>
  <c r="AP9" i="21"/>
  <c r="AQ30" i="21"/>
  <c r="AP85" i="21"/>
  <c r="AS98" i="21"/>
  <c r="AP109" i="21"/>
  <c r="AQ173" i="21"/>
  <c r="AO190" i="21"/>
  <c r="AQ195" i="21"/>
  <c r="AP214" i="21"/>
  <c r="AS221" i="21"/>
  <c r="AS295" i="21"/>
  <c r="AO400" i="21"/>
  <c r="AQ404" i="21"/>
  <c r="AP424" i="21"/>
  <c r="AP442" i="21"/>
  <c r="AP447" i="21"/>
  <c r="AO498" i="21"/>
  <c r="AP503" i="21"/>
  <c r="AO517" i="21"/>
  <c r="AO534" i="21"/>
  <c r="AS570" i="21"/>
  <c r="AQ631" i="21"/>
  <c r="AP82" i="21"/>
  <c r="AQ9" i="21"/>
  <c r="AS30" i="21"/>
  <c r="AO65" i="21"/>
  <c r="AS85" i="21"/>
  <c r="AQ109" i="21"/>
  <c r="AP117" i="21"/>
  <c r="AS173" i="21"/>
  <c r="AS219" i="21"/>
  <c r="AP341" i="21"/>
  <c r="AO363" i="21"/>
  <c r="AO395" i="21"/>
  <c r="AP400" i="21"/>
  <c r="AS424" i="21"/>
  <c r="AQ447" i="21"/>
  <c r="AS452" i="21"/>
  <c r="AQ498" i="21"/>
  <c r="AS503" i="21"/>
  <c r="AP551" i="21"/>
  <c r="AQ595" i="21"/>
  <c r="AP614" i="21"/>
  <c r="AQ634" i="21"/>
  <c r="AQ705" i="21"/>
  <c r="AP754" i="21"/>
  <c r="AO627" i="21"/>
  <c r="AQ642" i="21"/>
  <c r="AQ721" i="21"/>
  <c r="AP742" i="21"/>
  <c r="AQ747" i="21"/>
  <c r="AQ752" i="21"/>
  <c r="AQ754" i="21"/>
  <c r="AS778" i="21"/>
  <c r="AS440" i="21"/>
  <c r="AP450" i="21"/>
  <c r="AQ477" i="21"/>
  <c r="AS551" i="21"/>
  <c r="AQ627" i="21"/>
  <c r="AO654" i="21"/>
  <c r="AQ661" i="21"/>
  <c r="AP731" i="21"/>
  <c r="AS742" i="21"/>
  <c r="AO773" i="21"/>
  <c r="AO588" i="21"/>
  <c r="AQ654" i="21"/>
  <c r="AO666" i="21"/>
  <c r="AP703" i="21"/>
  <c r="AS731" i="21"/>
  <c r="AO776" i="21"/>
  <c r="AQ65" i="21"/>
  <c r="AS14" i="21"/>
  <c r="AS45" i="21"/>
  <c r="AP70" i="21"/>
  <c r="AP393" i="21"/>
  <c r="AP427" i="21"/>
  <c r="AQ33" i="21"/>
  <c r="AS393" i="21"/>
  <c r="AS450" i="21"/>
  <c r="AQ17" i="21"/>
  <c r="AS33" i="21"/>
  <c r="AQ58" i="21"/>
  <c r="AP105" i="21"/>
  <c r="AP213" i="21"/>
  <c r="AQ215" i="21"/>
  <c r="AP257" i="21"/>
  <c r="AO286" i="21"/>
  <c r="AS427" i="21"/>
  <c r="AQ666" i="21"/>
  <c r="AO737" i="21"/>
  <c r="AQ776" i="21"/>
  <c r="AS9" i="21"/>
  <c r="AQ551" i="21"/>
  <c r="AQ217" i="21"/>
  <c r="AQ427" i="21"/>
  <c r="AQ5" i="21"/>
  <c r="AO81" i="21"/>
  <c r="AQ97" i="21"/>
  <c r="AQ105" i="21"/>
  <c r="AP113" i="21"/>
  <c r="AQ121" i="21"/>
  <c r="AQ191" i="21"/>
  <c r="AQ213" i="21"/>
  <c r="AS215" i="21"/>
  <c r="AS257" i="21"/>
  <c r="AP337" i="21"/>
  <c r="AP396" i="21"/>
  <c r="AP475" i="21"/>
  <c r="AQ480" i="21"/>
  <c r="AQ527" i="21"/>
  <c r="AO727" i="21"/>
  <c r="AQ753" i="21"/>
  <c r="AO763" i="21"/>
  <c r="AO779" i="21"/>
  <c r="AP787"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O74" i="21"/>
  <c r="AP93" i="21"/>
  <c r="AS102" i="21"/>
  <c r="AQ117" i="21"/>
  <c r="AP125" i="21"/>
  <c r="AP178" i="21"/>
  <c r="AS193" i="21"/>
  <c r="AP217" i="21"/>
  <c r="AQ219" i="21"/>
  <c r="AQ253" i="21"/>
  <c r="AS253" i="21"/>
  <c r="AO499" i="21"/>
  <c r="AP499" i="21"/>
  <c r="AS499" i="21"/>
  <c r="AS546" i="21"/>
  <c r="AO546" i="21"/>
  <c r="AS582" i="21"/>
  <c r="AQ582" i="21"/>
  <c r="AO582" i="21"/>
  <c r="AP689" i="21"/>
  <c r="AQ689" i="21"/>
  <c r="AO689" i="21"/>
  <c r="AP261" i="21"/>
  <c r="AO261" i="21"/>
  <c r="AQ22" i="21"/>
  <c r="AQ81" i="21"/>
  <c r="AS321" i="21"/>
  <c r="AP321" i="21"/>
  <c r="AO321" i="21"/>
  <c r="AS336" i="21"/>
  <c r="AP459" i="21"/>
  <c r="AP515" i="21"/>
  <c r="AP598" i="21"/>
  <c r="AP292" i="21"/>
  <c r="AO292" i="21"/>
  <c r="AP473" i="21"/>
  <c r="AS473" i="21"/>
  <c r="AS521" i="21"/>
  <c r="AO521" i="21"/>
  <c r="AO16" i="21"/>
  <c r="AO18" i="21"/>
  <c r="AQ74" i="21"/>
  <c r="AS93" i="21"/>
  <c r="AO12" i="21"/>
  <c r="AS18" i="21"/>
  <c r="AO38" i="21"/>
  <c r="AO53" i="21"/>
  <c r="AO61" i="21"/>
  <c r="AP144" i="21"/>
  <c r="AP153" i="21"/>
  <c r="AO169" i="21"/>
  <c r="AQ181" i="21"/>
  <c r="AO201" i="21"/>
  <c r="AO209" i="21"/>
  <c r="AQ211" i="21"/>
  <c r="AQ237" i="21"/>
  <c r="AP344"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Q38" i="21"/>
  <c r="AQ53" i="21"/>
  <c r="AQ61" i="21"/>
  <c r="AQ89" i="21"/>
  <c r="AP101" i="21"/>
  <c r="AS153" i="21"/>
  <c r="AO177" i="21"/>
  <c r="AS201" i="21"/>
  <c r="AS209" i="21"/>
  <c r="AS282" i="21"/>
  <c r="AO282" i="21"/>
  <c r="AP290" i="21"/>
  <c r="AS290" i="21"/>
  <c r="AQ290" i="21"/>
  <c r="AO290" i="21"/>
  <c r="AS455" i="21"/>
  <c r="AQ455" i="21"/>
  <c r="AO455" i="21"/>
  <c r="AO457" i="21"/>
  <c r="AS525" i="21"/>
  <c r="AO525" i="21"/>
  <c r="AQ572" i="21"/>
  <c r="AS572" i="21"/>
  <c r="AP572" i="21"/>
  <c r="AO572" i="21"/>
  <c r="AP687" i="21"/>
  <c r="AO687" i="21"/>
  <c r="AS687" i="21"/>
  <c r="AQ687" i="21"/>
  <c r="AP53" i="21"/>
  <c r="AP89" i="21"/>
  <c r="AS144" i="21"/>
  <c r="AQ153" i="21"/>
  <c r="AO21" i="21"/>
  <c r="AO25" i="21"/>
  <c r="AP21" i="21"/>
  <c r="AS25" i="21"/>
  <c r="AO30" i="21"/>
  <c r="AS36" i="21"/>
  <c r="AO49" i="21"/>
  <c r="AS57" i="21"/>
  <c r="AP73" i="21"/>
  <c r="AS89" i="21"/>
  <c r="AQ101" i="21"/>
  <c r="AP121" i="21"/>
  <c r="AO149" i="21"/>
  <c r="AS167" i="21"/>
  <c r="AP177" i="21"/>
  <c r="AS199" i="21"/>
  <c r="AO222" i="21"/>
  <c r="AS241" i="21"/>
  <c r="AP241" i="21"/>
  <c r="AO241" i="21"/>
  <c r="AQ261" i="21"/>
  <c r="AQ321"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S149" i="21"/>
  <c r="AS262" i="21"/>
  <c r="AO262" i="21"/>
  <c r="AQ389" i="21"/>
  <c r="AP389" i="21"/>
  <c r="AS420" i="21"/>
  <c r="AO420" i="21"/>
  <c r="AP448" i="21"/>
  <c r="AQ448" i="21"/>
  <c r="AP461" i="21"/>
  <c r="AS461" i="21"/>
  <c r="AS509" i="21"/>
  <c r="AO509" i="21"/>
  <c r="AS587" i="21"/>
  <c r="AO587" i="21"/>
  <c r="AQ21" i="21"/>
  <c r="AP49" i="21"/>
  <c r="AQ49" i="21"/>
  <c r="AS147" i="21"/>
  <c r="AO165" i="21"/>
  <c r="AP170" i="21"/>
  <c r="AS175" i="21"/>
  <c r="AO11" i="21"/>
  <c r="AO13" i="21"/>
  <c r="AS17" i="21"/>
  <c r="AO28" i="21"/>
  <c r="AO43" i="21"/>
  <c r="AP69" i="21"/>
  <c r="AQ85" i="21"/>
  <c r="AP97" i="21"/>
  <c r="AP106" i="21"/>
  <c r="AO17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P357" i="21"/>
  <c r="AS401" i="21"/>
  <c r="AP470" i="21"/>
  <c r="AS666" i="21"/>
  <c r="AO678" i="21"/>
  <c r="AO735" i="21"/>
  <c r="AQ755" i="21"/>
  <c r="AP762" i="21"/>
  <c r="AP783" i="21"/>
  <c r="AQ306" i="21"/>
  <c r="AO340" i="21"/>
  <c r="AS357" i="21"/>
  <c r="AO365" i="21"/>
  <c r="AO442" i="21"/>
  <c r="AQ468" i="21"/>
  <c r="AS470" i="21"/>
  <c r="AO475" i="21"/>
  <c r="AO511" i="21"/>
  <c r="AO513" i="21"/>
  <c r="AO549" i="21"/>
  <c r="AP559" i="21"/>
  <c r="AO603" i="21"/>
  <c r="AO633" i="21"/>
  <c r="AP639" i="21"/>
  <c r="AS656" i="21"/>
  <c r="AP678" i="21"/>
  <c r="AO702" i="21"/>
  <c r="AP722" i="21"/>
  <c r="AP726" i="21"/>
  <c r="AS758" i="21"/>
  <c r="AS762" i="21"/>
  <c r="AP603" i="21"/>
  <c r="AQ633" i="21"/>
  <c r="AQ639" i="21"/>
  <c r="AO676" i="21"/>
  <c r="AQ678" i="21"/>
  <c r="AP702" i="21"/>
  <c r="AO718" i="21"/>
  <c r="AS722" i="21"/>
  <c r="AO738" i="21"/>
  <c r="AO740" i="21"/>
  <c r="AO747" i="21"/>
  <c r="AQ749" i="21"/>
  <c r="AP779" i="21"/>
  <c r="AQ304" i="21"/>
  <c r="AQ340" i="21"/>
  <c r="AS365" i="21"/>
  <c r="AP419" i="21"/>
  <c r="AQ442" i="21"/>
  <c r="AQ511" i="21"/>
  <c r="AP594" i="21"/>
  <c r="AQ603" i="21"/>
  <c r="AS639" i="21"/>
  <c r="AP683" i="21"/>
  <c r="AQ702" i="21"/>
  <c r="AO709" i="21"/>
  <c r="AO714" i="21"/>
  <c r="AP718" i="21"/>
  <c r="AP738" i="21"/>
  <c r="AP747" i="21"/>
  <c r="AO767" i="21"/>
  <c r="AQ779" i="21"/>
  <c r="AS304" i="21"/>
  <c r="AS353" i="21"/>
  <c r="AQ419" i="21"/>
  <c r="AQ683" i="21"/>
  <c r="AQ709" i="21"/>
  <c r="AP714" i="21"/>
  <c r="AQ718" i="21"/>
  <c r="AQ738" i="21"/>
  <c r="AP767" i="21"/>
  <c r="AO233" i="21"/>
  <c r="AQ259" i="21"/>
  <c r="AP278" i="21"/>
  <c r="AQ296" i="21"/>
  <c r="AP368" i="21"/>
  <c r="AO387" i="21"/>
  <c r="AO391" i="21"/>
  <c r="AO462" i="21"/>
  <c r="AO478" i="21"/>
  <c r="AO487" i="21"/>
  <c r="AO503" i="21"/>
  <c r="AO505" i="21"/>
  <c r="AO519" i="21"/>
  <c r="AO545" i="21"/>
  <c r="AS589" i="21"/>
  <c r="AP599" i="21"/>
  <c r="AO608" i="21"/>
  <c r="AQ618" i="21"/>
  <c r="AP627" i="21"/>
  <c r="AO655" i="21"/>
  <c r="AO661" i="21"/>
  <c r="AO698" i="21"/>
  <c r="AO705" i="21"/>
  <c r="AO743" i="21"/>
  <c r="AO752" i="21"/>
  <c r="AQ767" i="21"/>
  <c r="AO775" i="21"/>
  <c r="AP782" i="21"/>
  <c r="AP743" i="21"/>
  <c r="AS782" i="21"/>
  <c r="AS431" i="21"/>
  <c r="AS460" i="21"/>
  <c r="AS487" i="21"/>
  <c r="AP527" i="21"/>
  <c r="AS599" i="21"/>
  <c r="AS608" i="21"/>
  <c r="AO634" i="21"/>
  <c r="AP638" i="21"/>
  <c r="AQ657" i="21"/>
  <c r="AP659" i="21"/>
  <c r="AO721" i="21"/>
  <c r="AO725" i="21"/>
  <c r="AQ729" i="21"/>
  <c r="AQ761" i="21"/>
  <c r="AO787" i="21"/>
  <c r="AQ787" i="21"/>
  <c r="AQ312" i="21"/>
  <c r="AS436" i="21"/>
  <c r="AP588" i="21"/>
  <c r="AS623" i="21"/>
  <c r="AQ682" i="21"/>
  <c r="AQ713" i="21"/>
  <c r="AO732" i="21"/>
  <c r="AO766" i="21"/>
  <c r="AO771" i="21"/>
  <c r="AQ732" i="21"/>
  <c r="AP141" i="21"/>
  <c r="AS141" i="21"/>
  <c r="AQ154" i="21"/>
  <c r="AS154" i="21"/>
  <c r="AO154" i="21"/>
  <c r="AS234" i="21"/>
  <c r="AP234" i="21"/>
  <c r="AO234" i="21"/>
  <c r="AS258" i="21"/>
  <c r="AP258" i="21"/>
  <c r="AO258" i="21"/>
  <c r="AP267" i="21"/>
  <c r="AQ267" i="21"/>
  <c r="AS267" i="21"/>
  <c r="AO26" i="21"/>
  <c r="AQ28" i="21"/>
  <c r="AO51" i="21"/>
  <c r="AO73" i="21"/>
  <c r="AP98" i="21"/>
  <c r="AS103" i="21"/>
  <c r="AQ103" i="21"/>
  <c r="AS134" i="21"/>
  <c r="AQ134" i="21"/>
  <c r="AO134" i="21"/>
  <c r="AP172" i="21"/>
  <c r="AP202" i="21"/>
  <c r="AO202" i="21"/>
  <c r="AP207" i="21"/>
  <c r="AQ207" i="21"/>
  <c r="AP23" i="21"/>
  <c r="AO23" i="21"/>
  <c r="AQ110" i="21"/>
  <c r="AP110" i="21"/>
  <c r="AQ122" i="21"/>
  <c r="AP122" i="21"/>
  <c r="AP137" i="21"/>
  <c r="AS137" i="21"/>
  <c r="AO150" i="21"/>
  <c r="AQ150" i="21"/>
  <c r="AP150" i="21"/>
  <c r="AS189" i="21"/>
  <c r="AQ189" i="21"/>
  <c r="AO189" i="21"/>
  <c r="AP154" i="21"/>
  <c r="AO161" i="21"/>
  <c r="AS230" i="21"/>
  <c r="AP230" i="21"/>
  <c r="AO230" i="21"/>
  <c r="AP311" i="21"/>
  <c r="AS311" i="21"/>
  <c r="AQ311" i="21"/>
  <c r="AO311" i="21"/>
  <c r="AQ345" i="21"/>
  <c r="AP345" i="21"/>
  <c r="AS345" i="21"/>
  <c r="AO345" i="21"/>
  <c r="AS99" i="21"/>
  <c r="AQ99"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O41" i="21"/>
  <c r="AQ41" i="21"/>
  <c r="AQ55" i="21"/>
  <c r="AS65" i="21"/>
  <c r="AO6" i="21"/>
  <c r="AO8" i="21"/>
  <c r="AQ23" i="21"/>
  <c r="AP25" i="21"/>
  <c r="AO29" i="21"/>
  <c r="AO50" i="21"/>
  <c r="AO62" i="21"/>
  <c r="AQ62" i="21"/>
  <c r="AS90" i="21"/>
  <c r="AS110" i="21"/>
  <c r="AQ118" i="21"/>
  <c r="AP118" i="21"/>
  <c r="AS122" i="21"/>
  <c r="AQ130" i="21"/>
  <c r="AS130" i="21"/>
  <c r="AP130" i="21"/>
  <c r="AQ141" i="21"/>
  <c r="AS150" i="21"/>
  <c r="AQ161" i="21"/>
  <c r="AP189" i="21"/>
  <c r="AO205" i="21"/>
  <c r="AS334" i="21"/>
  <c r="AQ334" i="21"/>
  <c r="AQ592" i="21"/>
  <c r="AS592" i="21"/>
  <c r="AO592" i="21"/>
  <c r="AP592" i="21"/>
  <c r="AQ384" i="21"/>
  <c r="AS384" i="21"/>
  <c r="AP384" i="21"/>
  <c r="AO384" i="21"/>
  <c r="AS81" i="21"/>
  <c r="AS95" i="21"/>
  <c r="AQ95" i="21"/>
  <c r="AP6" i="21"/>
  <c r="AO10" i="21"/>
  <c r="AP24" i="21"/>
  <c r="AQ24" i="21"/>
  <c r="AP29" i="21"/>
  <c r="AO37" i="21"/>
  <c r="AP39" i="21"/>
  <c r="AO39" i="21"/>
  <c r="AS39" i="21"/>
  <c r="AQ50" i="21"/>
  <c r="AP86" i="21"/>
  <c r="AS91" i="21"/>
  <c r="AQ91" i="21"/>
  <c r="AS111" i="21"/>
  <c r="AQ111" i="21"/>
  <c r="AS123" i="21"/>
  <c r="AQ123" i="21"/>
  <c r="AO137" i="21"/>
  <c r="AO157" i="21"/>
  <c r="AS185" i="21"/>
  <c r="AP185" i="21"/>
  <c r="AO185" i="21"/>
  <c r="AQ205" i="21"/>
  <c r="AS115" i="21"/>
  <c r="AQ115" i="21"/>
  <c r="AS127" i="21"/>
  <c r="AQ127" i="21"/>
  <c r="AQ6" i="21"/>
  <c r="AS86" i="21"/>
  <c r="AP157" i="21"/>
  <c r="AS205" i="21"/>
  <c r="AP223" i="21"/>
  <c r="AS223" i="21"/>
  <c r="AQ223" i="21"/>
  <c r="AS322" i="21"/>
  <c r="AQ322" i="21"/>
  <c r="AQ361" i="21"/>
  <c r="AS361" i="21"/>
  <c r="AP361" i="21"/>
  <c r="AO361" i="21"/>
  <c r="AS87" i="21"/>
  <c r="AQ87" i="21"/>
  <c r="AP140" i="21"/>
  <c r="AQ155" i="21"/>
  <c r="AQ157" i="21"/>
  <c r="AP183" i="21"/>
  <c r="AQ183" i="21"/>
  <c r="AS203" i="21"/>
  <c r="AS274" i="21"/>
  <c r="AP274" i="21"/>
  <c r="AO274" i="21"/>
  <c r="AS403" i="21"/>
  <c r="AO403" i="21"/>
  <c r="AS412" i="21"/>
  <c r="AQ412" i="21"/>
  <c r="AO412" i="21"/>
  <c r="AP412" i="21"/>
  <c r="AS467" i="21"/>
  <c r="AQ467" i="21"/>
  <c r="AP467" i="21"/>
  <c r="AO467" i="21"/>
  <c r="AP10" i="21"/>
  <c r="AP37" i="21"/>
  <c r="AS50" i="21"/>
  <c r="AS29" i="21"/>
  <c r="AO34" i="21"/>
  <c r="AQ34" i="21"/>
  <c r="AP45" i="21"/>
  <c r="AQ66" i="21"/>
  <c r="AQ78" i="21"/>
  <c r="AS82" i="21"/>
  <c r="AS106" i="21"/>
  <c r="AQ114" i="21"/>
  <c r="AP114" i="21"/>
  <c r="AQ126" i="21"/>
  <c r="AP126" i="21"/>
  <c r="AS131" i="21"/>
  <c r="AQ131" i="21"/>
  <c r="AQ140" i="21"/>
  <c r="AP145" i="21"/>
  <c r="AS145" i="21"/>
  <c r="AS165" i="21"/>
  <c r="AQ165" i="21"/>
  <c r="AP169" i="21"/>
  <c r="AO325" i="21"/>
  <c r="AS325" i="21"/>
  <c r="AP325" i="21"/>
  <c r="AQ325" i="21"/>
  <c r="AS399" i="21"/>
  <c r="AO399" i="21"/>
  <c r="AO40" i="21"/>
  <c r="AS40" i="21"/>
  <c r="AQ10" i="21"/>
  <c r="AQ37" i="21"/>
  <c r="AP14" i="21"/>
  <c r="AP18" i="21"/>
  <c r="AQ70" i="21"/>
  <c r="AP77" i="21"/>
  <c r="AS77" i="21"/>
  <c r="AP5" i="21"/>
  <c r="AO24" i="21"/>
  <c r="AQ39" i="21"/>
  <c r="AS66" i="21"/>
  <c r="AS78" i="21"/>
  <c r="AP102" i="21"/>
  <c r="AS107" i="21"/>
  <c r="AQ107" i="21"/>
  <c r="AS119" i="21"/>
  <c r="AQ119" i="21"/>
  <c r="AS140" i="21"/>
  <c r="AQ169" i="21"/>
  <c r="AP179" i="21"/>
  <c r="AS179" i="21"/>
  <c r="AQ179" i="21"/>
  <c r="AQ185"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P222" i="21"/>
  <c r="AQ235" i="21"/>
  <c r="AP246" i="21"/>
  <c r="AS255" i="21"/>
  <c r="AQ257" i="21"/>
  <c r="AP286" i="21"/>
  <c r="AS289" i="21"/>
  <c r="AP289" i="21"/>
  <c r="AO289" i="21"/>
  <c r="AS379" i="21"/>
  <c r="AO379" i="21"/>
  <c r="AP469" i="21"/>
  <c r="AS469" i="21"/>
  <c r="AQ469" i="21"/>
  <c r="AO469" i="21"/>
  <c r="AP471" i="21"/>
  <c r="AO471" i="21"/>
  <c r="AO502" i="21"/>
  <c r="AS502" i="21"/>
  <c r="AP502" i="21"/>
  <c r="AO563" i="21"/>
  <c r="AS563" i="21"/>
  <c r="AQ563" i="21"/>
  <c r="AQ575" i="21"/>
  <c r="AO575" i="21"/>
  <c r="AP575" i="21"/>
  <c r="AP601" i="21"/>
  <c r="AO601" i="21"/>
  <c r="AS601" i="21"/>
  <c r="AP697" i="21"/>
  <c r="AQ697" i="21"/>
  <c r="AO697" i="21"/>
  <c r="AP699" i="21"/>
  <c r="AO699" i="21"/>
  <c r="AQ699" i="21"/>
  <c r="AS699"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S285" i="21"/>
  <c r="AP285" i="21"/>
  <c r="AP307" i="21"/>
  <c r="AS307" i="21"/>
  <c r="AO307" i="21"/>
  <c r="AQ364" i="21"/>
  <c r="AP364" i="21"/>
  <c r="AO364" i="21"/>
  <c r="AP428" i="21"/>
  <c r="AO428" i="21"/>
  <c r="AQ435" i="21"/>
  <c r="AS435" i="21"/>
  <c r="AO435" i="21"/>
  <c r="AQ526" i="21"/>
  <c r="AP526" i="21"/>
  <c r="AS526" i="21"/>
  <c r="AO531" i="21"/>
  <c r="AQ531" i="21"/>
  <c r="AP531" i="21"/>
  <c r="AS541" i="21"/>
  <c r="AO541" i="21"/>
  <c r="AP690" i="21"/>
  <c r="AO690" i="21"/>
  <c r="AQ690" i="21"/>
  <c r="AS690" i="21"/>
  <c r="AP283" i="21"/>
  <c r="AS283" i="21"/>
  <c r="AQ297" i="21"/>
  <c r="AP297" i="21"/>
  <c r="AO297" i="21"/>
  <c r="AS305" i="21"/>
  <c r="AQ305" i="21"/>
  <c r="AP305" i="21"/>
  <c r="AQ397" i="21"/>
  <c r="AS397" i="21"/>
  <c r="AO397" i="21"/>
  <c r="AP444" i="21"/>
  <c r="AQ444" i="21"/>
  <c r="AQ463" i="21"/>
  <c r="AO463" i="21"/>
  <c r="AP463" i="21"/>
  <c r="AS474" i="21"/>
  <c r="AQ474" i="21"/>
  <c r="AP474" i="21"/>
  <c r="AQ502" i="21"/>
  <c r="AP563" i="21"/>
  <c r="AS571" i="21"/>
  <c r="AQ571" i="21"/>
  <c r="AO571" i="21"/>
  <c r="AP573" i="21"/>
  <c r="AQ573" i="21"/>
  <c r="AS573" i="21"/>
  <c r="AS575" i="21"/>
  <c r="AP578" i="21"/>
  <c r="AO578" i="21"/>
  <c r="AQ601" i="21"/>
  <c r="AQ620" i="21"/>
  <c r="AP620" i="21"/>
  <c r="AS620" i="21"/>
  <c r="AP665" i="21"/>
  <c r="AS665" i="21"/>
  <c r="AO665" i="21"/>
  <c r="AO181" i="21"/>
  <c r="AQ243" i="21"/>
  <c r="AQ245" i="21"/>
  <c r="AP254" i="21"/>
  <c r="AS281" i="21"/>
  <c r="AP281" i="21"/>
  <c r="AS292" i="21"/>
  <c r="AQ292" i="21"/>
  <c r="AS313" i="21"/>
  <c r="AQ313" i="21"/>
  <c r="AP313" i="21"/>
  <c r="AS316" i="21"/>
  <c r="AQ344" i="21"/>
  <c r="AS344" i="21"/>
  <c r="AO348" i="21"/>
  <c r="AS350" i="21"/>
  <c r="AO439" i="21"/>
  <c r="AP446" i="21"/>
  <c r="AS451" i="21"/>
  <c r="AQ451" i="21"/>
  <c r="AO451" i="21"/>
  <c r="AS471" i="21"/>
  <c r="AS484" i="21"/>
  <c r="AQ554" i="21"/>
  <c r="AP554" i="21"/>
  <c r="AO554" i="21"/>
  <c r="AS554" i="21"/>
  <c r="AQ583" i="21"/>
  <c r="AP583" i="21"/>
  <c r="AO583" i="21"/>
  <c r="AS583" i="21"/>
  <c r="AO624" i="21"/>
  <c r="AP674" i="21"/>
  <c r="AO674" i="21"/>
  <c r="AQ674" i="21"/>
  <c r="AS674" i="21"/>
  <c r="AS686" i="21"/>
  <c r="AP686" i="21"/>
  <c r="AO686" i="21"/>
  <c r="AQ686"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P164" i="21"/>
  <c r="AO193" i="21"/>
  <c r="AO197" i="21"/>
  <c r="AQ227" i="21"/>
  <c r="AP229" i="21"/>
  <c r="AO238" i="21"/>
  <c r="AS249" i="21"/>
  <c r="AQ251" i="21"/>
  <c r="AO253"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P397" i="21"/>
  <c r="AQ415" i="21"/>
  <c r="AS428" i="21"/>
  <c r="AP435" i="21"/>
  <c r="AP445" i="21"/>
  <c r="AO445" i="21"/>
  <c r="AS510" i="21"/>
  <c r="AQ510" i="21"/>
  <c r="AP510"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Q550" i="21"/>
  <c r="AP550" i="21"/>
  <c r="AS550" i="21"/>
  <c r="AO555" i="21"/>
  <c r="AQ555" i="21"/>
  <c r="AP555" i="21"/>
  <c r="AS565" i="21"/>
  <c r="AQ565" i="21"/>
  <c r="AO565" i="21"/>
  <c r="AO607" i="21"/>
  <c r="AS607" i="21"/>
  <c r="AP607" i="21"/>
  <c r="AQ12" i="21"/>
  <c r="AO109" i="21"/>
  <c r="AO113" i="21"/>
  <c r="AO117" i="21"/>
  <c r="AO121" i="21"/>
  <c r="AO125" i="21"/>
  <c r="AO129" i="21"/>
  <c r="AO133" i="21"/>
  <c r="AQ147" i="21"/>
  <c r="AO158" i="21"/>
  <c r="AS162" i="21"/>
  <c r="AQ170" i="21"/>
  <c r="AQ178" i="21"/>
  <c r="AS191" i="21"/>
  <c r="AS195" i="21"/>
  <c r="AQ199" i="21"/>
  <c r="AQ231" i="21"/>
  <c r="AO242" i="21"/>
  <c r="AP262" i="21"/>
  <c r="AP266" i="21"/>
  <c r="AS269" i="21"/>
  <c r="AQ269" i="21"/>
  <c r="AP310" i="21"/>
  <c r="AS310" i="21"/>
  <c r="AO310" i="21"/>
  <c r="AO352" i="21"/>
  <c r="AS352" i="21"/>
  <c r="AP352" i="21"/>
  <c r="AO360" i="21"/>
  <c r="AO371" i="21"/>
  <c r="AS416" i="21"/>
  <c r="AQ416" i="21"/>
  <c r="AP416" i="21"/>
  <c r="AO416" i="21"/>
  <c r="AQ458" i="21"/>
  <c r="AS458" i="21"/>
  <c r="AO458" i="21"/>
  <c r="AO472" i="21"/>
  <c r="AO486" i="21"/>
  <c r="AS486" i="21"/>
  <c r="AP486" i="21"/>
  <c r="AQ490" i="21"/>
  <c r="AS506" i="21"/>
  <c r="AQ506" i="21"/>
  <c r="AO506" i="21"/>
  <c r="AP539" i="21"/>
  <c r="AQ569" i="21"/>
  <c r="AQ579" i="21"/>
  <c r="AP579" i="21"/>
  <c r="AS579" i="21"/>
  <c r="AQ611" i="21"/>
  <c r="AP645" i="21"/>
  <c r="AQ645" i="21"/>
  <c r="AQ431" i="21"/>
  <c r="AS515" i="21"/>
  <c r="AS519" i="21"/>
  <c r="AP567" i="21"/>
  <c r="AS567" i="21"/>
  <c r="AS670" i="21"/>
  <c r="AQ670" i="21"/>
  <c r="AO670" i="21"/>
  <c r="AS691" i="21"/>
  <c r="AP691" i="21"/>
  <c r="AQ711" i="21"/>
  <c r="AO711" i="21"/>
  <c r="AS497" i="21"/>
  <c r="AO497" i="21"/>
  <c r="AP591" i="21"/>
  <c r="AO591" i="21"/>
  <c r="AS591" i="21"/>
  <c r="AO610" i="21"/>
  <c r="AQ610" i="21"/>
  <c r="AP617" i="21"/>
  <c r="AS617" i="21"/>
  <c r="AO617" i="21"/>
  <c r="AO619" i="21"/>
  <c r="AQ619" i="21"/>
  <c r="AS658" i="21"/>
  <c r="AQ658" i="21"/>
  <c r="AP658" i="21"/>
  <c r="AP685" i="21"/>
  <c r="AO685" i="21"/>
  <c r="AQ538" i="21"/>
  <c r="AP538" i="21"/>
  <c r="AQ562" i="21"/>
  <c r="AP562" i="21"/>
  <c r="AQ587" i="21"/>
  <c r="AP587" i="21"/>
  <c r="AP602" i="21"/>
  <c r="AQ602" i="21"/>
  <c r="AS642" i="21"/>
  <c r="AP642" i="21"/>
  <c r="AO646" i="21"/>
  <c r="AQ646" i="21"/>
  <c r="AO299" i="21"/>
  <c r="AO302" i="21"/>
  <c r="AO328" i="21"/>
  <c r="AO337" i="21"/>
  <c r="AO341" i="21"/>
  <c r="AO343" i="21"/>
  <c r="AO347" i="21"/>
  <c r="AO368" i="21"/>
  <c r="AP377" i="21"/>
  <c r="AO381" i="21"/>
  <c r="AO383" i="21"/>
  <c r="AO396" i="21"/>
  <c r="AP401" i="21"/>
  <c r="AS405" i="21"/>
  <c r="AO411" i="21"/>
  <c r="AP420" i="21"/>
  <c r="AO424" i="21"/>
  <c r="AO443" i="21"/>
  <c r="AO448" i="21"/>
  <c r="AO450" i="21"/>
  <c r="AP455" i="21"/>
  <c r="AQ460" i="21"/>
  <c r="AP462" i="21"/>
  <c r="AS476" i="21"/>
  <c r="AP483" i="21"/>
  <c r="AO533" i="21"/>
  <c r="AQ53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S337" i="21"/>
  <c r="AS341" i="21"/>
  <c r="AO351" i="21"/>
  <c r="AS381" i="21"/>
  <c r="AS448" i="21"/>
  <c r="AQ457" i="21"/>
  <c r="AS464" i="21"/>
  <c r="AS485" i="21"/>
  <c r="AQ489" i="21"/>
  <c r="AO493" i="21"/>
  <c r="AO501" i="21"/>
  <c r="AO529" i="21"/>
  <c r="AO553" i="21"/>
  <c r="AQ591" i="21"/>
  <c r="AS595" i="21"/>
  <c r="AP610" i="21"/>
  <c r="AQ617" i="21"/>
  <c r="AP623" i="21"/>
  <c r="AO668" i="21"/>
  <c r="AS675" i="21"/>
  <c r="AP675" i="21"/>
  <c r="AP677" i="21"/>
  <c r="AQ677" i="21"/>
  <c r="AS734" i="21"/>
  <c r="AQ734" i="21"/>
  <c r="AP734" i="21"/>
  <c r="AO734" i="21"/>
  <c r="AP667" i="21"/>
  <c r="AO667" i="21"/>
  <c r="AQ667" i="21"/>
  <c r="AS683" i="21"/>
  <c r="AQ688" i="21"/>
  <c r="AO688" i="21"/>
  <c r="AS694" i="21"/>
  <c r="AQ703" i="21"/>
  <c r="AO614" i="21"/>
  <c r="AQ614"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S475" i="21"/>
  <c r="AS523" i="21"/>
  <c r="AQ546" i="21"/>
  <c r="AP546" i="21"/>
  <c r="AS547" i="21"/>
  <c r="AS635" i="21"/>
  <c r="AQ635" i="21"/>
  <c r="AO635" i="21"/>
  <c r="AQ675" i="21"/>
  <c r="AS710" i="21"/>
  <c r="AS730" i="21"/>
  <c r="AQ739" i="21"/>
  <c r="AQ741" i="21"/>
  <c r="AQ750" i="21"/>
  <c r="AS755" i="21"/>
  <c r="AQ768" i="21"/>
  <c r="AQ770" i="21"/>
  <c r="AO774" i="21"/>
  <c r="AQ781" i="21"/>
  <c r="AQ788" i="21"/>
  <c r="AS739" i="21"/>
  <c r="AS750" i="21"/>
  <c r="AS770" i="21"/>
  <c r="AP774" i="21"/>
  <c r="AQ774" i="21"/>
  <c r="AQ745" i="21"/>
  <c r="AO758" i="21"/>
  <c r="AQ765" i="21"/>
  <c r="AO778" i="21"/>
  <c r="AQ783" i="21"/>
  <c r="AS792" i="21"/>
  <c r="AP758" i="21"/>
  <c r="AP778" i="21"/>
  <c r="AO713" i="21"/>
  <c r="AO722" i="21"/>
  <c r="AO731" i="21"/>
  <c r="AO742" i="21"/>
  <c r="AQ756" i="21"/>
  <c r="AO762" i="21"/>
  <c r="AQ769" i="21"/>
  <c r="AO782" i="21"/>
  <c r="AO789" i="21"/>
  <c r="AO715" i="21"/>
  <c r="AO726" i="21"/>
  <c r="AQ733" i="21"/>
  <c r="AQ740" i="21"/>
  <c r="AP751" i="21"/>
  <c r="AP771" i="21"/>
  <c r="AQ773" i="21"/>
  <c r="AQ780" i="21"/>
  <c r="AO786" i="21"/>
  <c r="AO791" i="21"/>
  <c r="AP786" i="21"/>
  <c r="AP791" i="21"/>
  <c r="AO710" i="21"/>
  <c r="AQ715" i="21"/>
  <c r="AQ717" i="21"/>
  <c r="AQ726" i="21"/>
  <c r="AO730" i="21"/>
  <c r="AP735" i="21"/>
  <c r="AQ737" i="21"/>
  <c r="AO744" i="21"/>
  <c r="AP746" i="21"/>
  <c r="AO755" i="21"/>
  <c r="AO764" i="21"/>
  <c r="AP766" i="21"/>
  <c r="AP775" i="21"/>
  <c r="AQ786" i="21"/>
  <c r="AQ791" i="21"/>
  <c r="AP710" i="21"/>
  <c r="AP730" i="21"/>
  <c r="AQ735" i="21"/>
  <c r="AO739" i="21"/>
  <c r="AQ744" i="21"/>
  <c r="AQ746" i="21"/>
  <c r="AO750" i="21"/>
  <c r="AQ757" i="21"/>
  <c r="AQ764" i="21"/>
  <c r="AQ766" i="21"/>
  <c r="AO770" i="21"/>
  <c r="AQ775" i="21"/>
  <c r="AQ777" i="21"/>
  <c r="AS63" i="21"/>
  <c r="AP63" i="21"/>
  <c r="AO63" i="21"/>
  <c r="AS79" i="21"/>
  <c r="AP79" i="21"/>
  <c r="AO79" i="21"/>
  <c r="AP135" i="21"/>
  <c r="AS135" i="21"/>
  <c r="AQ135" i="21"/>
  <c r="AO135" i="21"/>
  <c r="AS166" i="21"/>
  <c r="AQ166" i="21"/>
  <c r="AP166" i="21"/>
  <c r="AO166" i="21"/>
  <c r="AS374" i="21"/>
  <c r="AP374" i="21"/>
  <c r="AO374" i="21"/>
  <c r="AQ374" i="21"/>
  <c r="AQ8" i="21"/>
  <c r="AQ20" i="21"/>
  <c r="AQ32" i="21"/>
  <c r="AS60" i="21"/>
  <c r="AQ60" i="21"/>
  <c r="AP60" i="21"/>
  <c r="AO60" i="21"/>
  <c r="AS8" i="21"/>
  <c r="AS11" i="21"/>
  <c r="AS20" i="21"/>
  <c r="AS23" i="21"/>
  <c r="AS32" i="21"/>
  <c r="AS35" i="21"/>
  <c r="AS67" i="21"/>
  <c r="AP67" i="21"/>
  <c r="AO67" i="21"/>
  <c r="AS182" i="21"/>
  <c r="AQ182" i="21"/>
  <c r="AP182" i="21"/>
  <c r="AO182"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S71" i="21"/>
  <c r="AP71" i="21"/>
  <c r="AO71" i="21"/>
  <c r="AS138" i="21"/>
  <c r="AP138" i="21"/>
  <c r="AO138" i="21"/>
  <c r="AQ7" i="21"/>
  <c r="AS4" i="21"/>
  <c r="AS7" i="21"/>
  <c r="AS16" i="21"/>
  <c r="AS19" i="21"/>
  <c r="AS28" i="21"/>
  <c r="AS31" i="21"/>
  <c r="AQ67" i="21"/>
  <c r="AS142" i="21"/>
  <c r="AQ142" i="21"/>
  <c r="AP142" i="21"/>
  <c r="AO142" i="21"/>
  <c r="AO15" i="21"/>
  <c r="AO27" i="21"/>
  <c r="AO47" i="21"/>
  <c r="AS59" i="21"/>
  <c r="AP59" i="21"/>
  <c r="AO59" i="21"/>
  <c r="AS75" i="21"/>
  <c r="AP75" i="21"/>
  <c r="AO75"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P143" i="21"/>
  <c r="AS143" i="21"/>
  <c r="AO143"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Q315" i="21"/>
  <c r="AP315" i="21"/>
  <c r="AS323" i="21"/>
  <c r="AQ323" i="21"/>
  <c r="AP323" i="21"/>
  <c r="AQ222" i="21"/>
  <c r="AQ226" i="21"/>
  <c r="AQ230" i="21"/>
  <c r="AQ234" i="21"/>
  <c r="AQ238" i="21"/>
  <c r="AQ242" i="21"/>
  <c r="AQ246" i="21"/>
  <c r="AQ250" i="21"/>
  <c r="AQ254" i="21"/>
  <c r="AQ258" i="21"/>
  <c r="AQ262" i="21"/>
  <c r="AQ266" i="21"/>
  <c r="AQ270" i="21"/>
  <c r="AQ274" i="21"/>
  <c r="AQ278" i="21"/>
  <c r="AQ282" i="21"/>
  <c r="AQ286" i="21"/>
  <c r="AP342" i="21"/>
  <c r="AO342" i="21"/>
  <c r="AP358" i="21"/>
  <c r="AO358" i="21"/>
  <c r="AS378" i="21"/>
  <c r="AP378" i="21"/>
  <c r="AO378" i="21"/>
  <c r="AS422" i="21"/>
  <c r="AP422" i="21"/>
  <c r="AO422" i="21"/>
  <c r="AO269" i="21"/>
  <c r="AO273" i="21"/>
  <c r="AO277" i="21"/>
  <c r="AO281" i="21"/>
  <c r="AO285" i="21"/>
  <c r="AQ298" i="21"/>
  <c r="AQ310" i="21"/>
  <c r="AQ338" i="21"/>
  <c r="AQ354" i="21"/>
  <c r="AS398" i="21"/>
  <c r="AP398" i="21"/>
  <c r="AO398" i="21"/>
  <c r="AS338" i="21"/>
  <c r="AS354" i="21"/>
  <c r="AS382" i="21"/>
  <c r="AP382" i="21"/>
  <c r="AO382" i="21"/>
  <c r="AS426" i="21"/>
  <c r="AP426" i="21"/>
  <c r="AO426" i="21"/>
  <c r="AQ285" i="21"/>
  <c r="AO318" i="21"/>
  <c r="AP330" i="21"/>
  <c r="AO330" i="21"/>
  <c r="AP346" i="21"/>
  <c r="AO346" i="21"/>
  <c r="AP362" i="21"/>
  <c r="AO362" i="21"/>
  <c r="AO280" i="21"/>
  <c r="AO284" i="21"/>
  <c r="AO288" i="21"/>
  <c r="AO291" i="21"/>
  <c r="AO294" i="21"/>
  <c r="AO303" i="21"/>
  <c r="AO306" i="21"/>
  <c r="AO315" i="21"/>
  <c r="AQ318" i="21"/>
  <c r="AO323" i="21"/>
  <c r="AS327" i="21"/>
  <c r="AQ327" i="21"/>
  <c r="AP327" i="21"/>
  <c r="AQ342" i="21"/>
  <c r="AQ358" i="21"/>
  <c r="AQ378" i="21"/>
  <c r="AS386" i="21"/>
  <c r="AP386" i="21"/>
  <c r="AO386"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S319" i="21"/>
  <c r="AQ319" i="21"/>
  <c r="AP319" i="21"/>
  <c r="AP334" i="21"/>
  <c r="AO334"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Q330" i="21"/>
  <c r="AQ346" i="21"/>
  <c r="AQ362" i="21"/>
  <c r="AS390" i="21"/>
  <c r="AP390" i="21"/>
  <c r="AO390" i="21"/>
  <c r="AS438" i="21"/>
  <c r="AP438" i="21"/>
  <c r="AO438" i="21"/>
  <c r="AS346" i="21"/>
  <c r="AS362" i="21"/>
  <c r="AS370" i="21"/>
  <c r="AP370" i="21"/>
  <c r="AO370" i="21"/>
  <c r="AQ386" i="21"/>
  <c r="AQ402" i="21"/>
  <c r="AQ406" i="21"/>
  <c r="AS414" i="21"/>
  <c r="AP414" i="21"/>
  <c r="AO414" i="21"/>
  <c r="AQ430"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P405" i="21"/>
  <c r="AP409" i="21"/>
  <c r="AP413" i="21"/>
  <c r="AP417" i="21"/>
  <c r="AP421" i="21"/>
  <c r="AP425" i="21"/>
  <c r="AP429" i="21"/>
  <c r="AP433" i="21"/>
  <c r="AP437"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P625" i="21"/>
  <c r="AS625" i="21"/>
  <c r="AP660" i="21"/>
  <c r="AS660" i="21"/>
  <c r="AP724" i="21"/>
  <c r="AS724" i="21"/>
  <c r="AP640" i="21"/>
  <c r="AS640" i="21"/>
  <c r="AP696" i="21"/>
  <c r="AS696" i="21"/>
  <c r="AQ696" i="21"/>
  <c r="AO648" i="21"/>
  <c r="AP672" i="21"/>
  <c r="AS672" i="21"/>
  <c r="AP684" i="21"/>
  <c r="AS684" i="21"/>
  <c r="AO692" i="21"/>
  <c r="AP712" i="21"/>
  <c r="AS712" i="21"/>
  <c r="AO581" i="21"/>
  <c r="AO597" i="21"/>
  <c r="AO613" i="21"/>
  <c r="AP632" i="21"/>
  <c r="AQ632" i="21"/>
  <c r="AQ648" i="21"/>
  <c r="AP652" i="21"/>
  <c r="AS652"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O696"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S584" i="21"/>
  <c r="AP590" i="21"/>
  <c r="AO593" i="21"/>
  <c r="AS600" i="21"/>
  <c r="AP606" i="21"/>
  <c r="AO609" i="21"/>
  <c r="AS616" i="21"/>
  <c r="AP622" i="21"/>
  <c r="AP624" i="21"/>
  <c r="AS624" i="21"/>
  <c r="AQ625" i="21"/>
  <c r="AQ640"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Q684"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S632" i="21"/>
  <c r="AP636" i="21"/>
  <c r="AS636" i="21"/>
  <c r="AQ652" i="21"/>
  <c r="AO700" i="21"/>
  <c r="AP704" i="21"/>
  <c r="AS704" i="21"/>
  <c r="AQ704" i="21"/>
  <c r="AO728" i="21"/>
  <c r="AO573" i="21"/>
  <c r="AS580" i="21"/>
  <c r="AO589" i="21"/>
  <c r="AS596" i="21"/>
  <c r="AO605" i="21"/>
  <c r="AS612" i="21"/>
  <c r="AO621" i="21"/>
  <c r="AO629" i="21"/>
  <c r="AO644" i="21"/>
  <c r="AO664" i="21"/>
  <c r="AP668" i="21"/>
  <c r="AQ668"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O733" i="21"/>
  <c r="AO745" i="21"/>
  <c r="AO757" i="21"/>
  <c r="AO760" i="21"/>
  <c r="AO769" i="21"/>
  <c r="AO772" i="21"/>
  <c r="AO781" i="21"/>
  <c r="AO784" i="21"/>
  <c r="AO792" i="21"/>
  <c r="AP792" i="21"/>
  <c r="Q242" i="12" l="1"/>
  <c r="P242" i="12"/>
  <c r="AL497" i="9"/>
  <c r="P173" i="12"/>
  <c r="AL455" i="12"/>
  <c r="Q206" i="12"/>
  <c r="AL445" i="12"/>
  <c r="Q300" i="12"/>
  <c r="Q140" i="12"/>
  <c r="Q332" i="12"/>
  <c r="O179" i="9"/>
  <c r="Q148" i="9"/>
  <c r="AL411" i="9"/>
  <c r="Q222" i="9"/>
  <c r="Q133" i="9"/>
  <c r="Q319" i="9"/>
  <c r="Q113" i="9"/>
  <c r="AL470" i="9"/>
  <c r="AL471" i="9"/>
  <c r="P179" i="12"/>
  <c r="Q176" i="12"/>
  <c r="Q309" i="12"/>
  <c r="Q326" i="12"/>
  <c r="AL444" i="12"/>
  <c r="Q321" i="12"/>
  <c r="AL422" i="12"/>
  <c r="AL494" i="12"/>
  <c r="Q342" i="12"/>
  <c r="AL458" i="12"/>
  <c r="Q201" i="9"/>
  <c r="Q179" i="12"/>
  <c r="O299" i="12"/>
  <c r="O300" i="12"/>
  <c r="P300" i="12" s="1"/>
  <c r="Q147" i="12"/>
  <c r="AL431" i="12"/>
  <c r="O189" i="9"/>
  <c r="Q141" i="12"/>
  <c r="AL470" i="12"/>
  <c r="Q335" i="12"/>
  <c r="AL492" i="12"/>
  <c r="Q206" i="9"/>
  <c r="Q101" i="12"/>
  <c r="Q299" i="12"/>
  <c r="AL440" i="12"/>
  <c r="Q303" i="12"/>
  <c r="Q145" i="12"/>
  <c r="AL429" i="12"/>
  <c r="AL449" i="12"/>
  <c r="Q149" i="12"/>
  <c r="AL471" i="12"/>
  <c r="Q334" i="12"/>
  <c r="AL447" i="12"/>
  <c r="Q304" i="9"/>
  <c r="Q342" i="9"/>
  <c r="Q326" i="9"/>
  <c r="Q327" i="9"/>
  <c r="Q217" i="12"/>
  <c r="Q173" i="12"/>
  <c r="Q174" i="12" s="1"/>
  <c r="Q93" i="12"/>
  <c r="O296" i="12"/>
  <c r="O173" i="9"/>
  <c r="Q96" i="12"/>
  <c r="Q133" i="12"/>
  <c r="AL414" i="12"/>
  <c r="AL497" i="12"/>
  <c r="Q126" i="12"/>
  <c r="Q185" i="12"/>
  <c r="Q327" i="12"/>
  <c r="Q103" i="9"/>
  <c r="AL481" i="12"/>
  <c r="AL493" i="12"/>
  <c r="AL425" i="12"/>
  <c r="AL480" i="9"/>
  <c r="AL463" i="9"/>
  <c r="AL423" i="9"/>
  <c r="AL479" i="9"/>
  <c r="AL421" i="9"/>
  <c r="AL480" i="12"/>
  <c r="AL463" i="12"/>
  <c r="AL423" i="12"/>
  <c r="AL462" i="9"/>
  <c r="AL479" i="12"/>
  <c r="AL462" i="12"/>
  <c r="AL413" i="12"/>
  <c r="AL478" i="9"/>
  <c r="AL461" i="9"/>
  <c r="AL413" i="9"/>
  <c r="AK413" i="9" s="1"/>
  <c r="AL478" i="12"/>
  <c r="AL461" i="12"/>
  <c r="AL421" i="12"/>
  <c r="AL477" i="12"/>
  <c r="AL457" i="12"/>
  <c r="AL476" i="9"/>
  <c r="AL456" i="9"/>
  <c r="AL475" i="9"/>
  <c r="AL442" i="9"/>
  <c r="AL474" i="9"/>
  <c r="AL436" i="9"/>
  <c r="AL472" i="9"/>
  <c r="AL477" i="9"/>
  <c r="AL476" i="12"/>
  <c r="AL456" i="12"/>
  <c r="AL428" i="9"/>
  <c r="AL425" i="9"/>
  <c r="AL475" i="12"/>
  <c r="AL442" i="12"/>
  <c r="AL474" i="12"/>
  <c r="AL436" i="12"/>
  <c r="AL473" i="9"/>
  <c r="AL432" i="9"/>
  <c r="AL473" i="12"/>
  <c r="AL432" i="12"/>
  <c r="AL496" i="9"/>
  <c r="AL481" i="9"/>
  <c r="AJ481" i="9" s="1"/>
  <c r="AL472" i="12"/>
  <c r="AL428" i="12"/>
  <c r="AL495" i="9"/>
  <c r="AL466" i="9"/>
  <c r="AL427" i="9"/>
  <c r="AL457" i="9"/>
  <c r="AL496" i="12"/>
  <c r="AL427" i="12"/>
  <c r="AL493" i="9"/>
  <c r="AL465" i="9"/>
  <c r="AL426" i="9"/>
  <c r="AL495" i="12"/>
  <c r="AL426" i="12"/>
  <c r="AL464" i="9"/>
  <c r="AL446" i="9"/>
  <c r="AL494" i="9"/>
  <c r="Q145" i="9"/>
  <c r="Q117" i="9"/>
  <c r="Q221" i="9"/>
  <c r="Q119" i="9"/>
  <c r="Q99" i="12"/>
  <c r="Q296" i="12"/>
  <c r="O94" i="9"/>
  <c r="Q224" i="12"/>
  <c r="Q131" i="12"/>
  <c r="AL410" i="12"/>
  <c r="Q104" i="12"/>
  <c r="Q118" i="12"/>
  <c r="Q304" i="12"/>
  <c r="Q319" i="12"/>
  <c r="AL438" i="12"/>
  <c r="P182" i="12"/>
  <c r="O313" i="12"/>
  <c r="P313" i="12" s="1"/>
  <c r="O304" i="12"/>
  <c r="P304" i="12" s="1"/>
  <c r="O303" i="12"/>
  <c r="P303" i="12" s="1"/>
  <c r="O302" i="12"/>
  <c r="P302" i="12" s="1"/>
  <c r="O297" i="12"/>
  <c r="P297" i="12" s="1"/>
  <c r="P192" i="12"/>
  <c r="P242" i="9"/>
  <c r="O313" i="9"/>
  <c r="P313" i="9" s="1"/>
  <c r="O304" i="9"/>
  <c r="P304" i="9" s="1"/>
  <c r="P192" i="9"/>
  <c r="O303" i="9"/>
  <c r="P303" i="9" s="1"/>
  <c r="Q361" i="9"/>
  <c r="Q363" i="9" s="1"/>
  <c r="P248" i="9"/>
  <c r="O361" i="9"/>
  <c r="O302" i="9"/>
  <c r="P302" i="9" s="1"/>
  <c r="P182" i="9"/>
  <c r="O297" i="9"/>
  <c r="P297" i="9" s="1"/>
  <c r="P245" i="9"/>
  <c r="Q344" i="9"/>
  <c r="Q207" i="9"/>
  <c r="Q212" i="9"/>
  <c r="Q220" i="12"/>
  <c r="Q218" i="12"/>
  <c r="O96" i="9"/>
  <c r="P96" i="9" s="1"/>
  <c r="Q216" i="12"/>
  <c r="Q119" i="12"/>
  <c r="Q94" i="12"/>
  <c r="Q114" i="12"/>
  <c r="Q103" i="12"/>
  <c r="Q148" i="12"/>
  <c r="AL430" i="12"/>
  <c r="Q225" i="9"/>
  <c r="Q215" i="9"/>
  <c r="Q208" i="9"/>
  <c r="AL410" i="9"/>
  <c r="Q141" i="9"/>
  <c r="Q118" i="9"/>
  <c r="Q341" i="9"/>
  <c r="AL416" i="9"/>
  <c r="Q224" i="9"/>
  <c r="Q147" i="9"/>
  <c r="Q132" i="9"/>
  <c r="AL435" i="12"/>
  <c r="AL443" i="12"/>
  <c r="AL441" i="12"/>
  <c r="Q142" i="12"/>
  <c r="Q221" i="12"/>
  <c r="Q115" i="12"/>
  <c r="Q222" i="12"/>
  <c r="AL439" i="12"/>
  <c r="Q95" i="12"/>
  <c r="Q146" i="12"/>
  <c r="AL415" i="12"/>
  <c r="Q328" i="9"/>
  <c r="AL449" i="9"/>
  <c r="Q114" i="9"/>
  <c r="AL412" i="9"/>
  <c r="Q146" i="9"/>
  <c r="Q185" i="9"/>
  <c r="Q208" i="12"/>
  <c r="Q124" i="12"/>
  <c r="Q215" i="12"/>
  <c r="AL437" i="12"/>
  <c r="Q223" i="12"/>
  <c r="AL411" i="12"/>
  <c r="AL458" i="9"/>
  <c r="Q140" i="9"/>
  <c r="AL414" i="9"/>
  <c r="Q124" i="9"/>
  <c r="Q223" i="9"/>
  <c r="O308" i="12"/>
  <c r="AL459" i="12"/>
  <c r="Q345" i="12"/>
  <c r="Q320" i="12"/>
  <c r="Q226" i="12"/>
  <c r="Q182" i="12"/>
  <c r="Q183" i="12" s="1"/>
  <c r="Q151" i="12"/>
  <c r="Q127" i="12"/>
  <c r="Q343" i="12"/>
  <c r="Q313" i="12"/>
  <c r="Q219" i="12"/>
  <c r="Q150" i="12"/>
  <c r="Q125" i="12"/>
  <c r="Q340" i="12"/>
  <c r="Q213" i="12"/>
  <c r="O182" i="12"/>
  <c r="Q144" i="12"/>
  <c r="Q122" i="12"/>
  <c r="Q143" i="12"/>
  <c r="Q339" i="12"/>
  <c r="Q210" i="12"/>
  <c r="Q338" i="12"/>
  <c r="Q209" i="12"/>
  <c r="Q163" i="12"/>
  <c r="Q139" i="12"/>
  <c r="Q120" i="12"/>
  <c r="Q161" i="12"/>
  <c r="Q128" i="12"/>
  <c r="Q333" i="12"/>
  <c r="Q302" i="12"/>
  <c r="Q205" i="12"/>
  <c r="Q162" i="12"/>
  <c r="Q138" i="12"/>
  <c r="Q116" i="12"/>
  <c r="Q105" i="12"/>
  <c r="Q330" i="12"/>
  <c r="Q204" i="12"/>
  <c r="Q137" i="12"/>
  <c r="Q329" i="12"/>
  <c r="Q297" i="12"/>
  <c r="Q203" i="12"/>
  <c r="Q160" i="12"/>
  <c r="Q135" i="12"/>
  <c r="O15" i="12"/>
  <c r="P15" i="12" s="1"/>
  <c r="Q152" i="12"/>
  <c r="Q349" i="12"/>
  <c r="Q325" i="12"/>
  <c r="Q202" i="12"/>
  <c r="Q159" i="12"/>
  <c r="Q134" i="12"/>
  <c r="Q348" i="12"/>
  <c r="Q324" i="12"/>
  <c r="Q229" i="12"/>
  <c r="Q200" i="12"/>
  <c r="Q158" i="12"/>
  <c r="Q130" i="12"/>
  <c r="Q227" i="12"/>
  <c r="Q347" i="12"/>
  <c r="Q323" i="12"/>
  <c r="Q228" i="12"/>
  <c r="Q192" i="12"/>
  <c r="Q193" i="12" s="1"/>
  <c r="Q153" i="12"/>
  <c r="Q129" i="12"/>
  <c r="Q346" i="12"/>
  <c r="Q322" i="12"/>
  <c r="Q121" i="12"/>
  <c r="Q385" i="9"/>
  <c r="Q372" i="9"/>
  <c r="Q347" i="9"/>
  <c r="Q323" i="9"/>
  <c r="Q285" i="9"/>
  <c r="Q273" i="9"/>
  <c r="Q260" i="9"/>
  <c r="Q242" i="9"/>
  <c r="Q204" i="9"/>
  <c r="Q163" i="9"/>
  <c r="Q139" i="9"/>
  <c r="Q120" i="9"/>
  <c r="Q384" i="9"/>
  <c r="Q371" i="9"/>
  <c r="Q346" i="9"/>
  <c r="Q322" i="9"/>
  <c r="Q284" i="9"/>
  <c r="Q272" i="9"/>
  <c r="Q259" i="9"/>
  <c r="Q203" i="9"/>
  <c r="Q162" i="9"/>
  <c r="Q138" i="9"/>
  <c r="Q116" i="9"/>
  <c r="Q395" i="9"/>
  <c r="Q383" i="9"/>
  <c r="Q370" i="9"/>
  <c r="Q345" i="9"/>
  <c r="Q320" i="9"/>
  <c r="Q283" i="9"/>
  <c r="Q271" i="9"/>
  <c r="Q258" i="9"/>
  <c r="O242" i="9"/>
  <c r="Q202" i="9"/>
  <c r="Q161" i="9"/>
  <c r="Q137" i="9"/>
  <c r="Q105" i="9"/>
  <c r="Q394" i="9"/>
  <c r="Q382" i="9"/>
  <c r="Q369" i="9"/>
  <c r="Q343" i="9"/>
  <c r="Q313" i="9"/>
  <c r="Q282" i="9"/>
  <c r="Q270" i="9"/>
  <c r="Q257" i="9"/>
  <c r="Q229" i="9"/>
  <c r="Q200" i="9"/>
  <c r="Q160" i="9"/>
  <c r="Q135" i="9"/>
  <c r="Q393" i="9"/>
  <c r="Q381" i="9"/>
  <c r="Q368" i="9"/>
  <c r="Q340" i="9"/>
  <c r="Q281" i="9"/>
  <c r="Q269" i="9"/>
  <c r="Q256" i="9"/>
  <c r="Q228" i="9"/>
  <c r="Q192" i="9"/>
  <c r="Q193" i="9" s="1"/>
  <c r="Q159" i="9"/>
  <c r="Q134" i="9"/>
  <c r="Q392" i="9"/>
  <c r="Q380" i="9"/>
  <c r="Q367" i="9"/>
  <c r="Q339" i="9"/>
  <c r="Q280" i="9"/>
  <c r="Q268" i="9"/>
  <c r="Q255" i="9"/>
  <c r="Q227" i="9"/>
  <c r="Q158" i="9"/>
  <c r="Q130" i="9"/>
  <c r="Q391" i="9"/>
  <c r="Q379" i="9"/>
  <c r="Q366" i="9"/>
  <c r="Q338" i="9"/>
  <c r="Q279" i="9"/>
  <c r="Q266" i="9"/>
  <c r="Q248" i="9"/>
  <c r="Q226" i="9"/>
  <c r="O192" i="9"/>
  <c r="Q153" i="9"/>
  <c r="Q129" i="9"/>
  <c r="Q390" i="9"/>
  <c r="Q377" i="9"/>
  <c r="Q333" i="9"/>
  <c r="Q302" i="9"/>
  <c r="Q278" i="9"/>
  <c r="Q265" i="9"/>
  <c r="Q219" i="9"/>
  <c r="Q182" i="9"/>
  <c r="Q183" i="9" s="1"/>
  <c r="Q152" i="9"/>
  <c r="Q128" i="9"/>
  <c r="Q389" i="9"/>
  <c r="Q376" i="9"/>
  <c r="Q330" i="9"/>
  <c r="Q277" i="9"/>
  <c r="Q264" i="9"/>
  <c r="O248" i="9"/>
  <c r="Q213" i="9"/>
  <c r="Q151" i="9"/>
  <c r="Q127" i="9"/>
  <c r="Q388" i="9"/>
  <c r="Q375" i="9"/>
  <c r="Q329" i="9"/>
  <c r="Q297" i="9"/>
  <c r="Q276" i="9"/>
  <c r="Q263" i="9"/>
  <c r="Q245" i="9"/>
  <c r="Q210" i="9"/>
  <c r="O182" i="9"/>
  <c r="Q150" i="9"/>
  <c r="Q125" i="9"/>
  <c r="Q387" i="9"/>
  <c r="Q374" i="9"/>
  <c r="Q349" i="9"/>
  <c r="Q325" i="9"/>
  <c r="Q275" i="9"/>
  <c r="Q262" i="9"/>
  <c r="Q209" i="9"/>
  <c r="Q144" i="9"/>
  <c r="Q122" i="9"/>
  <c r="Q386" i="9"/>
  <c r="Q373" i="9"/>
  <c r="Q348" i="9"/>
  <c r="Q324" i="9"/>
  <c r="Q274" i="9"/>
  <c r="Q261" i="9"/>
  <c r="O245" i="9"/>
  <c r="Q205" i="9"/>
  <c r="Q143" i="9"/>
  <c r="Q121" i="9"/>
  <c r="O176" i="12"/>
  <c r="O17" i="12"/>
  <c r="O8" i="12"/>
  <c r="O94" i="12"/>
  <c r="O96" i="12"/>
  <c r="O101" i="12"/>
  <c r="O95" i="12"/>
  <c r="P95" i="12" s="1"/>
  <c r="O9" i="12"/>
  <c r="O173" i="12"/>
  <c r="P175" i="12" s="1"/>
  <c r="O99" i="12"/>
  <c r="O189" i="12"/>
  <c r="O179" i="12"/>
  <c r="O7" i="12"/>
  <c r="O6" i="12"/>
  <c r="Q212" i="12"/>
  <c r="AL448" i="12"/>
  <c r="Q214" i="12"/>
  <c r="Q132" i="12"/>
  <c r="Q115" i="9"/>
  <c r="Q189" i="12"/>
  <c r="O101" i="9"/>
  <c r="Q308" i="12"/>
  <c r="P308" i="12" s="1"/>
  <c r="Q337" i="12"/>
  <c r="Q225" i="12"/>
  <c r="AL424" i="12"/>
  <c r="Q207" i="12"/>
  <c r="Q117" i="12"/>
  <c r="AL438" i="9"/>
  <c r="Q199" i="9"/>
  <c r="Q334" i="9"/>
  <c r="AL454" i="9"/>
  <c r="Q303" i="9"/>
  <c r="AL429" i="9"/>
  <c r="Q131" i="9"/>
  <c r="Q335" i="9"/>
  <c r="P189" i="12"/>
  <c r="O95" i="9"/>
  <c r="Q298" i="12"/>
  <c r="O301" i="12"/>
  <c r="Q341" i="12"/>
  <c r="AL454" i="12"/>
  <c r="Q201" i="12"/>
  <c r="AL416" i="12"/>
  <c r="O176" i="9"/>
  <c r="Q199" i="12"/>
  <c r="Q113" i="12"/>
  <c r="Q321" i="9"/>
  <c r="AL459" i="9"/>
  <c r="Q216" i="9"/>
  <c r="Q214" i="9"/>
  <c r="AL422" i="9"/>
  <c r="Q82" i="9"/>
  <c r="Q336" i="9"/>
  <c r="AL445" i="9"/>
  <c r="Q126" i="9"/>
  <c r="Q149" i="9"/>
  <c r="P176" i="12"/>
  <c r="O309" i="12"/>
  <c r="O298" i="12"/>
  <c r="Q301" i="12"/>
  <c r="Q328" i="12"/>
  <c r="AL446" i="12"/>
  <c r="Q336" i="12"/>
  <c r="AL412" i="12"/>
  <c r="O99" i="9"/>
  <c r="Q344" i="12"/>
  <c r="AL460" i="12"/>
  <c r="Q101" i="9"/>
  <c r="AL439" i="9"/>
  <c r="Q296" i="9"/>
  <c r="O296" i="9"/>
  <c r="Q96" i="9"/>
  <c r="Q337" i="9"/>
  <c r="AL430" i="9"/>
  <c r="AL415" i="9"/>
  <c r="Q301" i="9"/>
  <c r="O301" i="9"/>
  <c r="Q176" i="9"/>
  <c r="P176" i="9"/>
  <c r="Q179" i="9"/>
  <c r="P179" i="9"/>
  <c r="Q189" i="9"/>
  <c r="P189" i="9"/>
  <c r="Q94" i="9"/>
  <c r="Q173" i="9"/>
  <c r="P173" i="9"/>
  <c r="Q104" i="9"/>
  <c r="AL492" i="9"/>
  <c r="Q99" i="9"/>
  <c r="Q93" i="9"/>
  <c r="AL443" i="9"/>
  <c r="Q220" i="9"/>
  <c r="Q217" i="9"/>
  <c r="Q299" i="9"/>
  <c r="O299" i="9"/>
  <c r="AL455" i="9"/>
  <c r="AL431" i="9"/>
  <c r="AL440" i="9"/>
  <c r="AL424" i="9"/>
  <c r="AL437" i="9"/>
  <c r="AL460" i="9"/>
  <c r="Q309" i="9"/>
  <c r="O309" i="9"/>
  <c r="Q95" i="9"/>
  <c r="AL444" i="9"/>
  <c r="Q300" i="9"/>
  <c r="O300" i="9"/>
  <c r="AL435" i="9"/>
  <c r="Q332" i="9"/>
  <c r="AL441" i="9"/>
  <c r="Q218" i="9"/>
  <c r="AL447" i="9"/>
  <c r="Q308" i="9"/>
  <c r="O308" i="9"/>
  <c r="Q142" i="9"/>
  <c r="Q298" i="9"/>
  <c r="O298" i="9"/>
  <c r="AL448" i="9"/>
  <c r="Q180" i="12"/>
  <c r="Q22" i="9"/>
  <c r="Q11" i="9"/>
  <c r="Q6" i="9"/>
  <c r="Q31" i="9"/>
  <c r="O17" i="9"/>
  <c r="Q10" i="9"/>
  <c r="Q33" i="9"/>
  <c r="Q12" i="9"/>
  <c r="O7" i="9"/>
  <c r="Q38" i="9"/>
  <c r="P38" i="9" s="1"/>
  <c r="Q44" i="9"/>
  <c r="Q46" i="9"/>
  <c r="Q35" i="9"/>
  <c r="O15" i="9"/>
  <c r="Q51" i="9"/>
  <c r="Q57" i="9"/>
  <c r="Q59" i="9"/>
  <c r="Q48" i="9"/>
  <c r="Q7" i="9"/>
  <c r="Q64" i="9"/>
  <c r="Q70" i="9"/>
  <c r="Q76" i="9"/>
  <c r="Q61" i="9"/>
  <c r="Q15" i="9"/>
  <c r="Q81" i="9"/>
  <c r="Q5" i="9"/>
  <c r="O11" i="9"/>
  <c r="P11" i="9" s="1"/>
  <c r="O12" i="9"/>
  <c r="P12" i="9" s="1"/>
  <c r="Q78" i="9"/>
  <c r="Q37" i="9"/>
  <c r="Q55" i="9"/>
  <c r="O10" i="9"/>
  <c r="P10" i="9" s="1"/>
  <c r="Q32" i="9"/>
  <c r="Q34" i="9"/>
  <c r="P34" i="9" s="1"/>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Q70" i="12"/>
  <c r="Q5" i="12"/>
  <c r="Q7" i="12"/>
  <c r="O11" i="12"/>
  <c r="P11" i="12" s="1"/>
  <c r="O10" i="12"/>
  <c r="P10" i="12" s="1"/>
  <c r="Q44" i="12"/>
  <c r="Q78" i="12"/>
  <c r="Q32" i="12"/>
  <c r="Q60" i="12"/>
  <c r="Q65" i="12"/>
  <c r="Q61" i="12"/>
  <c r="Q37" i="12"/>
  <c r="Q79" i="12"/>
  <c r="Q76" i="12"/>
  <c r="Q63" i="12"/>
  <c r="Q38" i="12"/>
  <c r="P38" i="12" s="1"/>
  <c r="Q33" i="12"/>
  <c r="Q52" i="12"/>
  <c r="Q47" i="12"/>
  <c r="Q51" i="12"/>
  <c r="Q42" i="12"/>
  <c r="Q15" i="12"/>
  <c r="Q12" i="12"/>
  <c r="Q49" i="12"/>
  <c r="Q21" i="12"/>
  <c r="Q81" i="12"/>
  <c r="Q77" i="12"/>
  <c r="Q75" i="12"/>
  <c r="Q35" i="12"/>
  <c r="Q82" i="12"/>
  <c r="Q55" i="12"/>
  <c r="Q48" i="12"/>
  <c r="Q46" i="12"/>
  <c r="Q8" i="12"/>
  <c r="Q31" i="12"/>
  <c r="Q56" i="12"/>
  <c r="Q23" i="12"/>
  <c r="O12" i="12"/>
  <c r="P12" i="12" s="1"/>
  <c r="Q6" i="12"/>
  <c r="Q68" i="12"/>
  <c r="Q34" i="12"/>
  <c r="P34" i="12" s="1"/>
  <c r="Q66" i="12"/>
  <c r="Q40" i="12"/>
  <c r="P40" i="12" s="1"/>
  <c r="Q80" i="12"/>
  <c r="Q64" i="12"/>
  <c r="Q71" i="12"/>
  <c r="Q9" i="12"/>
  <c r="Q10" i="12"/>
  <c r="Q59" i="12"/>
  <c r="Q53" i="12"/>
  <c r="Q58" i="12"/>
  <c r="Q45" i="12"/>
  <c r="Q17" i="12"/>
  <c r="Q62" i="12"/>
  <c r="Q57" i="12"/>
  <c r="Q50" i="12"/>
  <c r="Q11" i="12"/>
  <c r="Q22" i="12"/>
  <c r="Q43" i="12"/>
  <c r="Q39" i="12"/>
  <c r="P39" i="12" s="1"/>
  <c r="Q67" i="12"/>
  <c r="Q36" i="12"/>
  <c r="Q177" i="12" l="1"/>
  <c r="P17" i="12"/>
  <c r="P309" i="12"/>
  <c r="P181" i="9"/>
  <c r="P299" i="12"/>
  <c r="P8" i="12"/>
  <c r="Q186" i="12"/>
  <c r="Q195" i="12" s="1"/>
  <c r="Q106" i="9"/>
  <c r="O114" i="9" s="1"/>
  <c r="P101" i="9"/>
  <c r="P296" i="12"/>
  <c r="P8" i="9"/>
  <c r="P9" i="12"/>
  <c r="P178" i="9"/>
  <c r="P99" i="9"/>
  <c r="Q136" i="9"/>
  <c r="P96" i="12"/>
  <c r="O97" i="9"/>
  <c r="P160" i="9" s="1"/>
  <c r="O160" i="9" s="1"/>
  <c r="Q123" i="9"/>
  <c r="P308" i="9"/>
  <c r="Q190" i="12"/>
  <c r="P298" i="12"/>
  <c r="P7" i="12"/>
  <c r="Q211" i="9"/>
  <c r="Q331" i="9"/>
  <c r="AL467" i="9"/>
  <c r="O305" i="12"/>
  <c r="P178" i="12"/>
  <c r="Q123" i="12"/>
  <c r="Q305" i="12"/>
  <c r="Q310" i="12" s="1"/>
  <c r="Q315" i="12" s="1"/>
  <c r="Q154" i="9"/>
  <c r="P95" i="9"/>
  <c r="Q249" i="9"/>
  <c r="P251" i="9"/>
  <c r="Q350" i="9"/>
  <c r="O13" i="12"/>
  <c r="Q350" i="12"/>
  <c r="Q243" i="9"/>
  <c r="Q230" i="12"/>
  <c r="P181" i="12"/>
  <c r="P94" i="12"/>
  <c r="O97" i="12"/>
  <c r="Q106" i="12"/>
  <c r="O114" i="12" s="1"/>
  <c r="P301" i="12"/>
  <c r="Q378" i="9"/>
  <c r="P101" i="12"/>
  <c r="AL482" i="9"/>
  <c r="Q180" i="9"/>
  <c r="Q396" i="9"/>
  <c r="P396" i="9" s="1"/>
  <c r="Q97" i="12"/>
  <c r="Q251" i="9"/>
  <c r="Q246" i="9"/>
  <c r="Q164" i="9"/>
  <c r="O363" i="9"/>
  <c r="P363" i="9" s="1"/>
  <c r="P361" i="9"/>
  <c r="P300" i="9"/>
  <c r="Q164" i="12"/>
  <c r="Q136" i="12"/>
  <c r="P99" i="12"/>
  <c r="Q154" i="12"/>
  <c r="O186" i="9"/>
  <c r="P186" i="12"/>
  <c r="P195" i="12" s="1"/>
  <c r="Q211" i="12"/>
  <c r="O186" i="12"/>
  <c r="Q267" i="9"/>
  <c r="Q331" i="12"/>
  <c r="Q286" i="9"/>
  <c r="P17" i="9"/>
  <c r="Q186" i="9"/>
  <c r="Q177" i="9"/>
  <c r="Q230" i="9"/>
  <c r="P309" i="9"/>
  <c r="O305" i="9"/>
  <c r="P296" i="9"/>
  <c r="P202" i="9"/>
  <c r="P186" i="9"/>
  <c r="P175" i="9"/>
  <c r="Q174" i="9"/>
  <c r="P9" i="9"/>
  <c r="Q97" i="9"/>
  <c r="P94" i="9"/>
  <c r="P301" i="9"/>
  <c r="P7" i="9"/>
  <c r="P298" i="9"/>
  <c r="P299" i="9"/>
  <c r="Q190" i="9"/>
  <c r="Q305" i="9"/>
  <c r="Q310" i="9" s="1"/>
  <c r="Q315" i="9" s="1"/>
  <c r="Q24" i="12"/>
  <c r="O32" i="12" s="1"/>
  <c r="Q72" i="9"/>
  <c r="Q54" i="9"/>
  <c r="Q41" i="9"/>
  <c r="Q13" i="9"/>
  <c r="P15" i="9"/>
  <c r="Q24" i="9"/>
  <c r="O32" i="9" s="1"/>
  <c r="O13" i="9"/>
  <c r="P6" i="9"/>
  <c r="Q41" i="12"/>
  <c r="Q54" i="12"/>
  <c r="Q72" i="12"/>
  <c r="Q13" i="12"/>
  <c r="Q83" i="12"/>
  <c r="P6" i="12"/>
  <c r="A99" i="9"/>
  <c r="Q232" i="12" l="1"/>
  <c r="Q156" i="9"/>
  <c r="Q252" i="9"/>
  <c r="P97" i="9"/>
  <c r="Q74" i="12"/>
  <c r="P104" i="9"/>
  <c r="P103" i="9"/>
  <c r="O109" i="9"/>
  <c r="P105" i="9"/>
  <c r="O106" i="9"/>
  <c r="P106" i="9" s="1"/>
  <c r="Q352" i="9"/>
  <c r="P352" i="9" s="1"/>
  <c r="Q232" i="9"/>
  <c r="P187" i="12"/>
  <c r="P331" i="9"/>
  <c r="P305" i="12"/>
  <c r="P350" i="12"/>
  <c r="O310" i="12"/>
  <c r="O315" i="12" s="1"/>
  <c r="P315" i="12" s="1"/>
  <c r="Q352" i="12"/>
  <c r="P352" i="12" s="1"/>
  <c r="O106" i="12"/>
  <c r="P106" i="12" s="1"/>
  <c r="P105" i="12"/>
  <c r="P104" i="12"/>
  <c r="P103" i="12"/>
  <c r="O109" i="12"/>
  <c r="P97" i="12"/>
  <c r="Q156" i="12"/>
  <c r="Q288" i="9"/>
  <c r="P288" i="9" s="1"/>
  <c r="P286" i="9"/>
  <c r="Q187" i="12"/>
  <c r="O113" i="12"/>
  <c r="Q109" i="12"/>
  <c r="P136" i="12" s="1"/>
  <c r="P267" i="9"/>
  <c r="Q398" i="9"/>
  <c r="P378" i="9"/>
  <c r="Q27" i="9"/>
  <c r="P72" i="9" s="1"/>
  <c r="P331" i="12"/>
  <c r="P230" i="12"/>
  <c r="Q234" i="12"/>
  <c r="Q196" i="12"/>
  <c r="P211" i="12"/>
  <c r="O113" i="9"/>
  <c r="Q109" i="9"/>
  <c r="Q187" i="9"/>
  <c r="Q195" i="9"/>
  <c r="P305" i="9"/>
  <c r="O310" i="9"/>
  <c r="P350" i="9"/>
  <c r="P195" i="9"/>
  <c r="P187" i="9"/>
  <c r="P232" i="12"/>
  <c r="P21" i="9"/>
  <c r="P13" i="9"/>
  <c r="P23" i="9"/>
  <c r="O27" i="9"/>
  <c r="P22" i="9"/>
  <c r="Q74" i="9"/>
  <c r="O31" i="9"/>
  <c r="O24" i="9"/>
  <c r="O31" i="12"/>
  <c r="Q27" i="12"/>
  <c r="P21" i="12"/>
  <c r="P13" i="12"/>
  <c r="P23" i="12"/>
  <c r="P22" i="12"/>
  <c r="O27" i="12"/>
  <c r="O24" i="12"/>
  <c r="AN792" i="15"/>
  <c r="AM792" i="15" s="1"/>
  <c r="AL792" i="15"/>
  <c r="AK792" i="15"/>
  <c r="AJ792" i="15"/>
  <c r="AN791" i="15"/>
  <c r="AL791" i="15"/>
  <c r="AK791" i="15"/>
  <c r="AJ791" i="15"/>
  <c r="AN790" i="15"/>
  <c r="AM790" i="15" s="1"/>
  <c r="AL790" i="15"/>
  <c r="AK790" i="15"/>
  <c r="AJ790" i="15"/>
  <c r="AN789" i="15"/>
  <c r="AM789" i="15" s="1"/>
  <c r="AL789" i="15"/>
  <c r="AK789" i="15"/>
  <c r="AJ789" i="15"/>
  <c r="AN788" i="15"/>
  <c r="AM788" i="15" s="1"/>
  <c r="AL788" i="15"/>
  <c r="AK788" i="15"/>
  <c r="AJ788" i="15"/>
  <c r="AN787" i="15"/>
  <c r="AL787" i="15"/>
  <c r="AK787" i="15"/>
  <c r="AJ787" i="15"/>
  <c r="AN786" i="15"/>
  <c r="AM786" i="15" s="1"/>
  <c r="AL786" i="15"/>
  <c r="AK786" i="15"/>
  <c r="AJ786" i="15"/>
  <c r="AN785" i="15"/>
  <c r="AM785" i="15" s="1"/>
  <c r="AL785" i="15"/>
  <c r="AK785" i="15"/>
  <c r="AJ785" i="15"/>
  <c r="AN784" i="15"/>
  <c r="AM784" i="15" s="1"/>
  <c r="AL784" i="15"/>
  <c r="AK784" i="15"/>
  <c r="AJ784" i="15"/>
  <c r="AN783" i="15"/>
  <c r="AM783" i="15" s="1"/>
  <c r="AL783" i="15"/>
  <c r="AK783" i="15"/>
  <c r="AJ783" i="15"/>
  <c r="AN782" i="15"/>
  <c r="AM782" i="15" s="1"/>
  <c r="AL782" i="15"/>
  <c r="AK782" i="15"/>
  <c r="AJ782" i="15"/>
  <c r="AN781" i="15"/>
  <c r="AM781" i="15" s="1"/>
  <c r="AL781" i="15"/>
  <c r="AK781" i="15"/>
  <c r="AJ781" i="15"/>
  <c r="AN780" i="15"/>
  <c r="AM780" i="15" s="1"/>
  <c r="AL780" i="15"/>
  <c r="AK780" i="15"/>
  <c r="AJ780" i="15"/>
  <c r="AN779" i="15"/>
  <c r="AM779" i="15" s="1"/>
  <c r="AL779" i="15"/>
  <c r="AK779" i="15"/>
  <c r="AJ779" i="15"/>
  <c r="AN778" i="15"/>
  <c r="AM778" i="15" s="1"/>
  <c r="AL778" i="15"/>
  <c r="AK778" i="15"/>
  <c r="AJ778" i="15"/>
  <c r="AN777" i="15"/>
  <c r="AM777" i="15" s="1"/>
  <c r="AL777" i="15"/>
  <c r="AK777" i="15"/>
  <c r="AJ777" i="15"/>
  <c r="AN776" i="15"/>
  <c r="AM776" i="15" s="1"/>
  <c r="AL776" i="15"/>
  <c r="AK776" i="15"/>
  <c r="AJ776" i="15"/>
  <c r="AN775" i="15"/>
  <c r="AM775" i="15" s="1"/>
  <c r="AL775" i="15"/>
  <c r="AK775" i="15"/>
  <c r="AJ775" i="15"/>
  <c r="AN774" i="15"/>
  <c r="AM774" i="15" s="1"/>
  <c r="AL774" i="15"/>
  <c r="AK774" i="15"/>
  <c r="AJ774" i="15"/>
  <c r="AN773" i="15"/>
  <c r="AM773" i="15" s="1"/>
  <c r="AL773" i="15"/>
  <c r="AK773" i="15"/>
  <c r="AJ773" i="15"/>
  <c r="AN772" i="15"/>
  <c r="AM772" i="15" s="1"/>
  <c r="AL772" i="15"/>
  <c r="AK772" i="15"/>
  <c r="AJ772" i="15"/>
  <c r="AN771" i="15"/>
  <c r="AM771" i="15" s="1"/>
  <c r="AL771" i="15"/>
  <c r="AK771" i="15"/>
  <c r="AJ771" i="15"/>
  <c r="AN770" i="15"/>
  <c r="AM770" i="15" s="1"/>
  <c r="AL770" i="15"/>
  <c r="AK770" i="15"/>
  <c r="AJ770" i="15"/>
  <c r="AN769" i="15"/>
  <c r="AM769" i="15" s="1"/>
  <c r="AL769" i="15"/>
  <c r="AK769" i="15"/>
  <c r="AJ769" i="15"/>
  <c r="AN768" i="15"/>
  <c r="AM768" i="15" s="1"/>
  <c r="AL768" i="15"/>
  <c r="AK768" i="15"/>
  <c r="AJ768" i="15"/>
  <c r="AN767" i="15"/>
  <c r="AM767" i="15" s="1"/>
  <c r="AL767" i="15"/>
  <c r="AK767" i="15"/>
  <c r="AJ767" i="15"/>
  <c r="AN766" i="15"/>
  <c r="AM766" i="15" s="1"/>
  <c r="AL766" i="15"/>
  <c r="AK766" i="15"/>
  <c r="AJ766" i="15"/>
  <c r="AN765" i="15"/>
  <c r="AM765" i="15" s="1"/>
  <c r="AL765" i="15"/>
  <c r="AK765" i="15"/>
  <c r="AJ765" i="15"/>
  <c r="AN764" i="15"/>
  <c r="AM764" i="15" s="1"/>
  <c r="AL764" i="15"/>
  <c r="AK764" i="15"/>
  <c r="AJ764" i="15"/>
  <c r="AN763" i="15"/>
  <c r="AM763" i="15" s="1"/>
  <c r="AL763" i="15"/>
  <c r="AK763" i="15"/>
  <c r="AJ763" i="15"/>
  <c r="AN762" i="15"/>
  <c r="AM762" i="15" s="1"/>
  <c r="AL762" i="15"/>
  <c r="AK762" i="15"/>
  <c r="AJ762" i="15"/>
  <c r="AN761" i="15"/>
  <c r="AM761" i="15" s="1"/>
  <c r="AL761" i="15"/>
  <c r="AK761" i="15"/>
  <c r="AJ761" i="15"/>
  <c r="AN760" i="15"/>
  <c r="AM760" i="15" s="1"/>
  <c r="AL760" i="15"/>
  <c r="AK760" i="15"/>
  <c r="AJ760" i="15"/>
  <c r="AN759" i="15"/>
  <c r="AM759" i="15" s="1"/>
  <c r="AL759" i="15"/>
  <c r="AK759" i="15"/>
  <c r="AJ759" i="15"/>
  <c r="AN758" i="15"/>
  <c r="AM758" i="15" s="1"/>
  <c r="AL758" i="15"/>
  <c r="AK758" i="15"/>
  <c r="AJ758" i="15"/>
  <c r="AN757" i="15"/>
  <c r="AM757" i="15" s="1"/>
  <c r="AL757" i="15"/>
  <c r="AK757" i="15"/>
  <c r="AJ757" i="15"/>
  <c r="AN756" i="15"/>
  <c r="AM756" i="15" s="1"/>
  <c r="AL756" i="15"/>
  <c r="AK756" i="15"/>
  <c r="AJ756" i="15"/>
  <c r="AN755" i="15"/>
  <c r="AM755" i="15" s="1"/>
  <c r="AL755" i="15"/>
  <c r="AK755" i="15"/>
  <c r="AJ755" i="15"/>
  <c r="AN754" i="15"/>
  <c r="AM754" i="15" s="1"/>
  <c r="AL754" i="15"/>
  <c r="AK754" i="15"/>
  <c r="AJ754" i="15"/>
  <c r="AN753" i="15"/>
  <c r="AM753" i="15" s="1"/>
  <c r="AL753" i="15"/>
  <c r="AK753" i="15"/>
  <c r="AJ753" i="15"/>
  <c r="AN752" i="15"/>
  <c r="AM752" i="15" s="1"/>
  <c r="AL752" i="15"/>
  <c r="AK752" i="15"/>
  <c r="AJ752" i="15"/>
  <c r="AN751" i="15"/>
  <c r="AM751" i="15" s="1"/>
  <c r="AL751" i="15"/>
  <c r="AK751" i="15"/>
  <c r="AJ751" i="15"/>
  <c r="AN750" i="15"/>
  <c r="AM750" i="15" s="1"/>
  <c r="AL750" i="15"/>
  <c r="AK750" i="15"/>
  <c r="AJ750" i="15"/>
  <c r="AN749" i="15"/>
  <c r="AM749" i="15" s="1"/>
  <c r="AL749" i="15"/>
  <c r="AK749" i="15"/>
  <c r="AJ749" i="15"/>
  <c r="AN748" i="15"/>
  <c r="AM748" i="15" s="1"/>
  <c r="AL748" i="15"/>
  <c r="AK748" i="15"/>
  <c r="AJ748" i="15"/>
  <c r="AN747" i="15"/>
  <c r="AM747" i="15" s="1"/>
  <c r="AL747" i="15"/>
  <c r="AK747" i="15"/>
  <c r="AJ747" i="15"/>
  <c r="AN746" i="15"/>
  <c r="AM746" i="15" s="1"/>
  <c r="AL746" i="15"/>
  <c r="AK746" i="15"/>
  <c r="AJ746" i="15"/>
  <c r="AN745" i="15"/>
  <c r="AM745" i="15" s="1"/>
  <c r="AL745" i="15"/>
  <c r="AK745" i="15"/>
  <c r="AJ745" i="15"/>
  <c r="AN744" i="15"/>
  <c r="AM744" i="15" s="1"/>
  <c r="AL744" i="15"/>
  <c r="AK744" i="15"/>
  <c r="AJ744" i="15"/>
  <c r="AN743" i="15"/>
  <c r="AM743" i="15" s="1"/>
  <c r="AL743" i="15"/>
  <c r="AK743" i="15"/>
  <c r="AJ743" i="15"/>
  <c r="AN742" i="15"/>
  <c r="AM742" i="15" s="1"/>
  <c r="AL742" i="15"/>
  <c r="AK742" i="15"/>
  <c r="AJ742" i="15"/>
  <c r="AN741" i="15"/>
  <c r="AM741" i="15" s="1"/>
  <c r="AL741" i="15"/>
  <c r="AK741" i="15"/>
  <c r="AJ741" i="15"/>
  <c r="AN740" i="15"/>
  <c r="AM740" i="15" s="1"/>
  <c r="AL740" i="15"/>
  <c r="AK740" i="15"/>
  <c r="AJ740" i="15"/>
  <c r="AN739" i="15"/>
  <c r="AM739" i="15" s="1"/>
  <c r="AL739" i="15"/>
  <c r="AK739" i="15"/>
  <c r="AJ739" i="15"/>
  <c r="AN738" i="15"/>
  <c r="AM738" i="15" s="1"/>
  <c r="AL738" i="15"/>
  <c r="AK738" i="15"/>
  <c r="AJ738" i="15"/>
  <c r="AN737" i="15"/>
  <c r="AM737" i="15" s="1"/>
  <c r="AL737" i="15"/>
  <c r="AK737" i="15"/>
  <c r="AJ737" i="15"/>
  <c r="AN736" i="15"/>
  <c r="AM736" i="15" s="1"/>
  <c r="AL736" i="15"/>
  <c r="AK736" i="15"/>
  <c r="AJ736" i="15"/>
  <c r="AN735" i="15"/>
  <c r="AM735" i="15" s="1"/>
  <c r="AL735" i="15"/>
  <c r="AK735" i="15"/>
  <c r="AJ735" i="15"/>
  <c r="AN734" i="15"/>
  <c r="AM734" i="15" s="1"/>
  <c r="AL734" i="15"/>
  <c r="AK734" i="15"/>
  <c r="AJ734" i="15"/>
  <c r="AN733" i="15"/>
  <c r="AM733" i="15" s="1"/>
  <c r="AL733" i="15"/>
  <c r="AK733" i="15"/>
  <c r="AJ733" i="15"/>
  <c r="AN732" i="15"/>
  <c r="AM732" i="15" s="1"/>
  <c r="AL732" i="15"/>
  <c r="AK732" i="15"/>
  <c r="AJ732" i="15"/>
  <c r="AN731" i="15"/>
  <c r="AM731" i="15" s="1"/>
  <c r="AL731" i="15"/>
  <c r="AK731" i="15"/>
  <c r="AJ731" i="15"/>
  <c r="AN730" i="15"/>
  <c r="AM730" i="15" s="1"/>
  <c r="AL730" i="15"/>
  <c r="AK730" i="15"/>
  <c r="AJ730" i="15"/>
  <c r="AN729" i="15"/>
  <c r="AM729" i="15" s="1"/>
  <c r="AL729" i="15"/>
  <c r="AK729" i="15"/>
  <c r="AJ729" i="15"/>
  <c r="AN728" i="15"/>
  <c r="AM728" i="15" s="1"/>
  <c r="AL728" i="15"/>
  <c r="AK728" i="15"/>
  <c r="AJ728" i="15"/>
  <c r="AN727" i="15"/>
  <c r="AM727" i="15" s="1"/>
  <c r="AL727" i="15"/>
  <c r="AK727" i="15"/>
  <c r="AJ727" i="15"/>
  <c r="AN726" i="15"/>
  <c r="AM726" i="15" s="1"/>
  <c r="AL726" i="15"/>
  <c r="AK726" i="15"/>
  <c r="AJ726" i="15"/>
  <c r="AN725" i="15"/>
  <c r="AM725" i="15" s="1"/>
  <c r="AL725" i="15"/>
  <c r="AK725" i="15"/>
  <c r="AJ725" i="15"/>
  <c r="AN724" i="15"/>
  <c r="AM724" i="15" s="1"/>
  <c r="AL724" i="15"/>
  <c r="AK724" i="15"/>
  <c r="AJ724" i="15"/>
  <c r="AN723" i="15"/>
  <c r="AM723" i="15" s="1"/>
  <c r="AL723" i="15"/>
  <c r="AK723" i="15"/>
  <c r="AJ723" i="15"/>
  <c r="AN722" i="15"/>
  <c r="AM722" i="15" s="1"/>
  <c r="AL722" i="15"/>
  <c r="AK722" i="15"/>
  <c r="AJ722" i="15"/>
  <c r="AN721" i="15"/>
  <c r="AM721" i="15" s="1"/>
  <c r="AL721" i="15"/>
  <c r="AK721" i="15"/>
  <c r="AJ721" i="15"/>
  <c r="AN720" i="15"/>
  <c r="AM720" i="15" s="1"/>
  <c r="AL720" i="15"/>
  <c r="AK720" i="15"/>
  <c r="AJ720" i="15"/>
  <c r="AN719" i="15"/>
  <c r="AM719" i="15" s="1"/>
  <c r="AL719" i="15"/>
  <c r="AK719" i="15"/>
  <c r="AJ719" i="15"/>
  <c r="AN718" i="15"/>
  <c r="AM718" i="15" s="1"/>
  <c r="AL718" i="15"/>
  <c r="AK718" i="15"/>
  <c r="AJ718" i="15"/>
  <c r="AN717" i="15"/>
  <c r="AM717" i="15" s="1"/>
  <c r="AL717" i="15"/>
  <c r="AK717" i="15"/>
  <c r="AJ717" i="15"/>
  <c r="AN716" i="15"/>
  <c r="AM716" i="15" s="1"/>
  <c r="AL716" i="15"/>
  <c r="AK716" i="15"/>
  <c r="AJ716" i="15"/>
  <c r="AN715" i="15"/>
  <c r="AM715" i="15" s="1"/>
  <c r="AL715" i="15"/>
  <c r="AK715" i="15"/>
  <c r="AJ715" i="15"/>
  <c r="AN714" i="15"/>
  <c r="AM714" i="15" s="1"/>
  <c r="AL714" i="15"/>
  <c r="AK714" i="15"/>
  <c r="AJ714" i="15"/>
  <c r="AN713" i="15"/>
  <c r="AM713" i="15" s="1"/>
  <c r="AL713" i="15"/>
  <c r="AK713" i="15"/>
  <c r="AJ713" i="15"/>
  <c r="AN712" i="15"/>
  <c r="AM712" i="15" s="1"/>
  <c r="AL712" i="15"/>
  <c r="AK712" i="15"/>
  <c r="AJ712" i="15"/>
  <c r="AN711" i="15"/>
  <c r="AM711" i="15" s="1"/>
  <c r="AL711" i="15"/>
  <c r="AK711" i="15"/>
  <c r="AJ711" i="15"/>
  <c r="AN710" i="15"/>
  <c r="AM710" i="15" s="1"/>
  <c r="AL710" i="15"/>
  <c r="AK710" i="15"/>
  <c r="AJ710" i="15"/>
  <c r="AN709" i="15"/>
  <c r="AM709" i="15" s="1"/>
  <c r="AL709" i="15"/>
  <c r="AK709" i="15"/>
  <c r="AJ709" i="15"/>
  <c r="AN708" i="15"/>
  <c r="AM708" i="15" s="1"/>
  <c r="AL708" i="15"/>
  <c r="AK708" i="15"/>
  <c r="AJ708" i="15"/>
  <c r="AN707" i="15"/>
  <c r="AM707" i="15" s="1"/>
  <c r="AL707" i="15"/>
  <c r="AK707" i="15"/>
  <c r="AJ707" i="15"/>
  <c r="AN706" i="15"/>
  <c r="AM706" i="15" s="1"/>
  <c r="AL706" i="15"/>
  <c r="AK706" i="15"/>
  <c r="AJ706" i="15"/>
  <c r="AN705" i="15"/>
  <c r="AM705" i="15" s="1"/>
  <c r="AL705" i="15"/>
  <c r="AK705" i="15"/>
  <c r="AJ705" i="15"/>
  <c r="AN704" i="15"/>
  <c r="AM704" i="15" s="1"/>
  <c r="AL704" i="15"/>
  <c r="AK704" i="15"/>
  <c r="AJ704" i="15"/>
  <c r="AN703" i="15"/>
  <c r="AM703" i="15" s="1"/>
  <c r="AL703" i="15"/>
  <c r="AK703" i="15"/>
  <c r="AJ703" i="15"/>
  <c r="AN702" i="15"/>
  <c r="AM702" i="15" s="1"/>
  <c r="AL702" i="15"/>
  <c r="AK702" i="15"/>
  <c r="AJ702" i="15"/>
  <c r="AN701" i="15"/>
  <c r="AM701" i="15" s="1"/>
  <c r="AL701" i="15"/>
  <c r="AK701" i="15"/>
  <c r="AJ701" i="15"/>
  <c r="AN700" i="15"/>
  <c r="AM700" i="15" s="1"/>
  <c r="AL700" i="15"/>
  <c r="AK700" i="15"/>
  <c r="AJ700" i="15"/>
  <c r="AN699" i="15"/>
  <c r="AM699" i="15" s="1"/>
  <c r="AL699" i="15"/>
  <c r="AK699" i="15"/>
  <c r="AJ699" i="15"/>
  <c r="AN698" i="15"/>
  <c r="AM698" i="15" s="1"/>
  <c r="AL698" i="15"/>
  <c r="AK698" i="15"/>
  <c r="AJ698" i="15"/>
  <c r="AN697" i="15"/>
  <c r="AM697" i="15" s="1"/>
  <c r="AL697" i="15"/>
  <c r="AK697" i="15"/>
  <c r="AJ697" i="15"/>
  <c r="AN696" i="15"/>
  <c r="AM696" i="15" s="1"/>
  <c r="AL696" i="15"/>
  <c r="AK696" i="15"/>
  <c r="AJ696" i="15"/>
  <c r="AN695" i="15"/>
  <c r="AM695" i="15" s="1"/>
  <c r="AL695" i="15"/>
  <c r="AK695" i="15"/>
  <c r="AJ695" i="15"/>
  <c r="AN694" i="15"/>
  <c r="AM694" i="15" s="1"/>
  <c r="AL694" i="15"/>
  <c r="AK694" i="15"/>
  <c r="AJ694" i="15"/>
  <c r="AN693" i="15"/>
  <c r="AM693" i="15" s="1"/>
  <c r="AL693" i="15"/>
  <c r="AK693" i="15"/>
  <c r="AJ693" i="15"/>
  <c r="AN692" i="15"/>
  <c r="AM692" i="15" s="1"/>
  <c r="AL692" i="15"/>
  <c r="AK692" i="15"/>
  <c r="AJ692" i="15"/>
  <c r="AN691" i="15"/>
  <c r="AM691" i="15" s="1"/>
  <c r="AL691" i="15"/>
  <c r="AK691" i="15"/>
  <c r="AJ691" i="15"/>
  <c r="AN690" i="15"/>
  <c r="AM690" i="15" s="1"/>
  <c r="AL690" i="15"/>
  <c r="AK690" i="15"/>
  <c r="AJ690" i="15"/>
  <c r="AN689" i="15"/>
  <c r="AM689" i="15" s="1"/>
  <c r="AL689" i="15"/>
  <c r="AK689" i="15"/>
  <c r="AJ689" i="15"/>
  <c r="AN688" i="15"/>
  <c r="AM688" i="15" s="1"/>
  <c r="AL688" i="15"/>
  <c r="AK688" i="15"/>
  <c r="AJ688" i="15"/>
  <c r="AN687" i="15"/>
  <c r="AM687" i="15" s="1"/>
  <c r="AL687" i="15"/>
  <c r="AK687" i="15"/>
  <c r="AJ687" i="15"/>
  <c r="AN686" i="15"/>
  <c r="AM686" i="15" s="1"/>
  <c r="AL686" i="15"/>
  <c r="AK686" i="15"/>
  <c r="AJ686" i="15"/>
  <c r="AN685" i="15"/>
  <c r="AM685" i="15" s="1"/>
  <c r="AL685" i="15"/>
  <c r="AK685" i="15"/>
  <c r="AJ685" i="15"/>
  <c r="AN684" i="15"/>
  <c r="AM684" i="15" s="1"/>
  <c r="AL684" i="15"/>
  <c r="AK684" i="15"/>
  <c r="AJ684" i="15"/>
  <c r="AN683" i="15"/>
  <c r="AM683" i="15" s="1"/>
  <c r="AL683" i="15"/>
  <c r="AK683" i="15"/>
  <c r="AJ683" i="15"/>
  <c r="AN682" i="15"/>
  <c r="AM682" i="15" s="1"/>
  <c r="AL682" i="15"/>
  <c r="AK682" i="15"/>
  <c r="AJ682" i="15"/>
  <c r="AN681" i="15"/>
  <c r="AM681" i="15" s="1"/>
  <c r="AL681" i="15"/>
  <c r="AK681" i="15"/>
  <c r="AJ681" i="15"/>
  <c r="AN680" i="15"/>
  <c r="AM680" i="15" s="1"/>
  <c r="AL680" i="15"/>
  <c r="AK680" i="15"/>
  <c r="AJ680" i="15"/>
  <c r="AN679" i="15"/>
  <c r="AM679" i="15" s="1"/>
  <c r="AL679" i="15"/>
  <c r="AK679" i="15"/>
  <c r="AJ679" i="15"/>
  <c r="AN678" i="15"/>
  <c r="AM678" i="15" s="1"/>
  <c r="AL678" i="15"/>
  <c r="AK678" i="15"/>
  <c r="AJ678" i="15"/>
  <c r="AN677" i="15"/>
  <c r="AM677" i="15" s="1"/>
  <c r="AL677" i="15"/>
  <c r="AK677" i="15"/>
  <c r="AJ677" i="15"/>
  <c r="AN676" i="15"/>
  <c r="AM676" i="15" s="1"/>
  <c r="AL676" i="15"/>
  <c r="AK676" i="15"/>
  <c r="AJ676" i="15"/>
  <c r="AN675" i="15"/>
  <c r="AM675" i="15" s="1"/>
  <c r="AL675" i="15"/>
  <c r="AK675" i="15"/>
  <c r="AJ675" i="15"/>
  <c r="AN674" i="15"/>
  <c r="AM674" i="15" s="1"/>
  <c r="AL674" i="15"/>
  <c r="AK674" i="15"/>
  <c r="AJ674" i="15"/>
  <c r="AN673" i="15"/>
  <c r="AM673" i="15" s="1"/>
  <c r="AL673" i="15"/>
  <c r="AK673" i="15"/>
  <c r="AJ673" i="15"/>
  <c r="AN672" i="15"/>
  <c r="AM672" i="15" s="1"/>
  <c r="AL672" i="15"/>
  <c r="AK672" i="15"/>
  <c r="AJ672" i="15"/>
  <c r="AN671" i="15"/>
  <c r="AM671" i="15" s="1"/>
  <c r="AL671" i="15"/>
  <c r="AK671" i="15"/>
  <c r="AJ671" i="15"/>
  <c r="AN670" i="15"/>
  <c r="AM670" i="15" s="1"/>
  <c r="AL670" i="15"/>
  <c r="AK670" i="15"/>
  <c r="AJ670" i="15"/>
  <c r="AN669" i="15"/>
  <c r="AM669" i="15" s="1"/>
  <c r="AL669" i="15"/>
  <c r="AK669" i="15"/>
  <c r="AJ669" i="15"/>
  <c r="AN668" i="15"/>
  <c r="AM668" i="15" s="1"/>
  <c r="AL668" i="15"/>
  <c r="AK668" i="15"/>
  <c r="AJ668" i="15"/>
  <c r="AN667" i="15"/>
  <c r="AM667" i="15" s="1"/>
  <c r="AL667" i="15"/>
  <c r="AK667" i="15"/>
  <c r="AJ667" i="15"/>
  <c r="AN666" i="15"/>
  <c r="AM666" i="15" s="1"/>
  <c r="AL666" i="15"/>
  <c r="AK666" i="15"/>
  <c r="AJ666" i="15"/>
  <c r="AN665" i="15"/>
  <c r="AM665" i="15" s="1"/>
  <c r="AL665" i="15"/>
  <c r="AK665" i="15"/>
  <c r="AJ665" i="15"/>
  <c r="AN664" i="15"/>
  <c r="AM664" i="15" s="1"/>
  <c r="AL664" i="15"/>
  <c r="AK664" i="15"/>
  <c r="AJ664" i="15"/>
  <c r="AN663" i="15"/>
  <c r="AM663" i="15" s="1"/>
  <c r="AL663" i="15"/>
  <c r="AK663" i="15"/>
  <c r="AJ663" i="15"/>
  <c r="AN662" i="15"/>
  <c r="AM662" i="15" s="1"/>
  <c r="AL662" i="15"/>
  <c r="AK662" i="15"/>
  <c r="AJ662" i="15"/>
  <c r="AN661" i="15"/>
  <c r="AM661" i="15" s="1"/>
  <c r="AL661" i="15"/>
  <c r="AK661" i="15"/>
  <c r="AJ661" i="15"/>
  <c r="AN660" i="15"/>
  <c r="AM660" i="15" s="1"/>
  <c r="AL660" i="15"/>
  <c r="AK660" i="15"/>
  <c r="AJ660" i="15"/>
  <c r="AN659" i="15"/>
  <c r="AM659" i="15" s="1"/>
  <c r="AL659" i="15"/>
  <c r="AK659" i="15"/>
  <c r="AJ659" i="15"/>
  <c r="AN658" i="15"/>
  <c r="AM658" i="15" s="1"/>
  <c r="AL658" i="15"/>
  <c r="AK658" i="15"/>
  <c r="AJ658" i="15"/>
  <c r="AN657" i="15"/>
  <c r="AM657" i="15" s="1"/>
  <c r="AL657" i="15"/>
  <c r="AK657" i="15"/>
  <c r="AJ657" i="15"/>
  <c r="AN656" i="15"/>
  <c r="AM656" i="15" s="1"/>
  <c r="AL656" i="15"/>
  <c r="AK656" i="15"/>
  <c r="AJ656" i="15"/>
  <c r="AN655" i="15"/>
  <c r="AM655" i="15" s="1"/>
  <c r="AL655" i="15"/>
  <c r="AK655" i="15"/>
  <c r="AJ655" i="15"/>
  <c r="AN654" i="15"/>
  <c r="AM654" i="15" s="1"/>
  <c r="AL654" i="15"/>
  <c r="AK654" i="15"/>
  <c r="AJ654" i="15"/>
  <c r="AN653" i="15"/>
  <c r="AM653" i="15" s="1"/>
  <c r="AL653" i="15"/>
  <c r="AK653" i="15"/>
  <c r="AJ653" i="15"/>
  <c r="AN652" i="15"/>
  <c r="AM652" i="15" s="1"/>
  <c r="AL652" i="15"/>
  <c r="AK652" i="15"/>
  <c r="AJ652" i="15"/>
  <c r="AN651" i="15"/>
  <c r="AM651" i="15" s="1"/>
  <c r="AL651" i="15"/>
  <c r="AK651" i="15"/>
  <c r="AJ651" i="15"/>
  <c r="AN650" i="15"/>
  <c r="AM650" i="15" s="1"/>
  <c r="AL650" i="15"/>
  <c r="AK650" i="15"/>
  <c r="AJ650" i="15"/>
  <c r="AN649" i="15"/>
  <c r="AM649" i="15" s="1"/>
  <c r="AL649" i="15"/>
  <c r="AK649" i="15"/>
  <c r="AJ649" i="15"/>
  <c r="AN648" i="15"/>
  <c r="AM648" i="15" s="1"/>
  <c r="AL648" i="15"/>
  <c r="AK648" i="15"/>
  <c r="AJ648" i="15"/>
  <c r="AN647" i="15"/>
  <c r="AM647" i="15" s="1"/>
  <c r="AL647" i="15"/>
  <c r="AK647" i="15"/>
  <c r="AJ647" i="15"/>
  <c r="AN646" i="15"/>
  <c r="AM646" i="15" s="1"/>
  <c r="AL646" i="15"/>
  <c r="AK646" i="15"/>
  <c r="AJ646" i="15"/>
  <c r="AN645" i="15"/>
  <c r="AM645" i="15" s="1"/>
  <c r="AL645" i="15"/>
  <c r="AK645" i="15"/>
  <c r="AJ645" i="15"/>
  <c r="AN644" i="15"/>
  <c r="AM644" i="15" s="1"/>
  <c r="AL644" i="15"/>
  <c r="AK644" i="15"/>
  <c r="AJ644" i="15"/>
  <c r="AN643" i="15"/>
  <c r="AM643" i="15" s="1"/>
  <c r="AL643" i="15"/>
  <c r="AK643" i="15"/>
  <c r="AJ643" i="15"/>
  <c r="AN642" i="15"/>
  <c r="AM642" i="15" s="1"/>
  <c r="AL642" i="15"/>
  <c r="AK642" i="15"/>
  <c r="AJ642" i="15"/>
  <c r="AN641" i="15"/>
  <c r="AM641" i="15" s="1"/>
  <c r="AL641" i="15"/>
  <c r="AK641" i="15"/>
  <c r="AJ641" i="15"/>
  <c r="AN640" i="15"/>
  <c r="AM640" i="15" s="1"/>
  <c r="AL640" i="15"/>
  <c r="AK640" i="15"/>
  <c r="AJ640" i="15"/>
  <c r="AN639" i="15"/>
  <c r="AM639" i="15" s="1"/>
  <c r="AL639" i="15"/>
  <c r="AK639" i="15"/>
  <c r="AJ639" i="15"/>
  <c r="AN638" i="15"/>
  <c r="AM638" i="15" s="1"/>
  <c r="AL638" i="15"/>
  <c r="AK638" i="15"/>
  <c r="AJ638" i="15"/>
  <c r="AN637" i="15"/>
  <c r="AM637" i="15" s="1"/>
  <c r="AL637" i="15"/>
  <c r="AK637" i="15"/>
  <c r="AJ637" i="15"/>
  <c r="AN636" i="15"/>
  <c r="AM636" i="15" s="1"/>
  <c r="AL636" i="15"/>
  <c r="AK636" i="15"/>
  <c r="AJ636" i="15"/>
  <c r="AN635" i="15"/>
  <c r="AM635" i="15" s="1"/>
  <c r="AL635" i="15"/>
  <c r="AK635" i="15"/>
  <c r="AJ635" i="15"/>
  <c r="AN634" i="15"/>
  <c r="AM634" i="15" s="1"/>
  <c r="AL634" i="15"/>
  <c r="AK634" i="15"/>
  <c r="AJ634" i="15"/>
  <c r="AN633" i="15"/>
  <c r="AM633" i="15" s="1"/>
  <c r="AL633" i="15"/>
  <c r="AK633" i="15"/>
  <c r="AJ633" i="15"/>
  <c r="AN632" i="15"/>
  <c r="AM632" i="15" s="1"/>
  <c r="AL632" i="15"/>
  <c r="AK632" i="15"/>
  <c r="AJ632" i="15"/>
  <c r="AN631" i="15"/>
  <c r="AM631" i="15" s="1"/>
  <c r="AL631" i="15"/>
  <c r="AK631" i="15"/>
  <c r="AJ631" i="15"/>
  <c r="AN630" i="15"/>
  <c r="AM630" i="15" s="1"/>
  <c r="AL630" i="15"/>
  <c r="AK630" i="15"/>
  <c r="AJ630" i="15"/>
  <c r="AN629" i="15"/>
  <c r="AM629" i="15" s="1"/>
  <c r="AL629" i="15"/>
  <c r="AK629" i="15"/>
  <c r="AJ629" i="15"/>
  <c r="AN628" i="15"/>
  <c r="AM628" i="15" s="1"/>
  <c r="AL628" i="15"/>
  <c r="AK628" i="15"/>
  <c r="AJ628" i="15"/>
  <c r="AN627" i="15"/>
  <c r="AM627" i="15" s="1"/>
  <c r="AL627" i="15"/>
  <c r="AK627" i="15"/>
  <c r="AJ627" i="15"/>
  <c r="AN626" i="15"/>
  <c r="AM626" i="15" s="1"/>
  <c r="AL626" i="15"/>
  <c r="AK626" i="15"/>
  <c r="AJ626" i="15"/>
  <c r="AN625" i="15"/>
  <c r="AM625" i="15" s="1"/>
  <c r="AL625" i="15"/>
  <c r="AK625" i="15"/>
  <c r="AJ625" i="15"/>
  <c r="AN624" i="15"/>
  <c r="AM624" i="15" s="1"/>
  <c r="AL624" i="15"/>
  <c r="AK624" i="15"/>
  <c r="AJ624" i="15"/>
  <c r="AN623" i="15"/>
  <c r="AM623" i="15" s="1"/>
  <c r="AL623" i="15"/>
  <c r="AK623" i="15"/>
  <c r="AJ623" i="15"/>
  <c r="AN622" i="15"/>
  <c r="AM622" i="15" s="1"/>
  <c r="AL622" i="15"/>
  <c r="AK622" i="15"/>
  <c r="AJ622" i="15"/>
  <c r="AN621" i="15"/>
  <c r="AM621" i="15" s="1"/>
  <c r="AL621" i="15"/>
  <c r="AK621" i="15"/>
  <c r="AJ621" i="15"/>
  <c r="AN620" i="15"/>
  <c r="AM620" i="15" s="1"/>
  <c r="AL620" i="15"/>
  <c r="AK620" i="15"/>
  <c r="AJ620" i="15"/>
  <c r="AN619" i="15"/>
  <c r="AM619" i="15" s="1"/>
  <c r="AL619" i="15"/>
  <c r="AK619" i="15"/>
  <c r="AJ619" i="15"/>
  <c r="AN618" i="15"/>
  <c r="AM618" i="15" s="1"/>
  <c r="AL618" i="15"/>
  <c r="AK618" i="15"/>
  <c r="AJ618" i="15"/>
  <c r="AN617" i="15"/>
  <c r="AM617" i="15" s="1"/>
  <c r="AL617" i="15"/>
  <c r="AK617" i="15"/>
  <c r="AJ617" i="15"/>
  <c r="AN616" i="15"/>
  <c r="AM616" i="15" s="1"/>
  <c r="AL616" i="15"/>
  <c r="AK616" i="15"/>
  <c r="AJ616" i="15"/>
  <c r="AN615" i="15"/>
  <c r="AM615" i="15" s="1"/>
  <c r="AL615" i="15"/>
  <c r="AK615" i="15"/>
  <c r="AJ615" i="15"/>
  <c r="AN614" i="15"/>
  <c r="AM614" i="15" s="1"/>
  <c r="AL614" i="15"/>
  <c r="AK614" i="15"/>
  <c r="AJ614" i="15"/>
  <c r="AN613" i="15"/>
  <c r="AM613" i="15" s="1"/>
  <c r="AL613" i="15"/>
  <c r="AK613" i="15"/>
  <c r="AJ613" i="15"/>
  <c r="AN612" i="15"/>
  <c r="AM612" i="15" s="1"/>
  <c r="AL612" i="15"/>
  <c r="AK612" i="15"/>
  <c r="AJ612" i="15"/>
  <c r="AN611" i="15"/>
  <c r="AM611" i="15" s="1"/>
  <c r="AL611" i="15"/>
  <c r="AK611" i="15"/>
  <c r="AJ611" i="15"/>
  <c r="AN610" i="15"/>
  <c r="AM610" i="15" s="1"/>
  <c r="AL610" i="15"/>
  <c r="AK610" i="15"/>
  <c r="AJ610" i="15"/>
  <c r="AN609" i="15"/>
  <c r="AM609" i="15" s="1"/>
  <c r="AL609" i="15"/>
  <c r="AK609" i="15"/>
  <c r="AJ609" i="15"/>
  <c r="AN608" i="15"/>
  <c r="AM608" i="15" s="1"/>
  <c r="AL608" i="15"/>
  <c r="AK608" i="15"/>
  <c r="AJ608" i="15"/>
  <c r="AN607" i="15"/>
  <c r="AM607" i="15" s="1"/>
  <c r="AL607" i="15"/>
  <c r="AK607" i="15"/>
  <c r="AJ607" i="15"/>
  <c r="AN606" i="15"/>
  <c r="AM606" i="15" s="1"/>
  <c r="AL606" i="15"/>
  <c r="AK606" i="15"/>
  <c r="AJ606" i="15"/>
  <c r="AN605" i="15"/>
  <c r="AM605" i="15" s="1"/>
  <c r="AL605" i="15"/>
  <c r="AK605" i="15"/>
  <c r="AJ605" i="15"/>
  <c r="AN604" i="15"/>
  <c r="AM604" i="15" s="1"/>
  <c r="AL604" i="15"/>
  <c r="AK604" i="15"/>
  <c r="AJ604" i="15"/>
  <c r="AN603" i="15"/>
  <c r="AM603" i="15" s="1"/>
  <c r="AL603" i="15"/>
  <c r="AK603" i="15"/>
  <c r="AJ603" i="15"/>
  <c r="AN602" i="15"/>
  <c r="AM602" i="15" s="1"/>
  <c r="AL602" i="15"/>
  <c r="AK602" i="15"/>
  <c r="AJ602" i="15"/>
  <c r="AN601" i="15"/>
  <c r="AM601" i="15" s="1"/>
  <c r="AL601" i="15"/>
  <c r="AK601" i="15"/>
  <c r="AJ601" i="15"/>
  <c r="AN600" i="15"/>
  <c r="AM600" i="15" s="1"/>
  <c r="AL600" i="15"/>
  <c r="AK600" i="15"/>
  <c r="AJ600" i="15"/>
  <c r="AN599" i="15"/>
  <c r="AM599" i="15" s="1"/>
  <c r="AL599" i="15"/>
  <c r="AK599" i="15"/>
  <c r="AJ599" i="15"/>
  <c r="AN598" i="15"/>
  <c r="AM598" i="15" s="1"/>
  <c r="AL598" i="15"/>
  <c r="AK598" i="15"/>
  <c r="AJ598" i="15"/>
  <c r="AN597" i="15"/>
  <c r="AM597" i="15" s="1"/>
  <c r="AL597" i="15"/>
  <c r="AK597" i="15"/>
  <c r="AJ597" i="15"/>
  <c r="AN596" i="15"/>
  <c r="AM596" i="15" s="1"/>
  <c r="AL596" i="15"/>
  <c r="AK596" i="15"/>
  <c r="AJ596" i="15"/>
  <c r="AN595" i="15"/>
  <c r="AM595" i="15" s="1"/>
  <c r="AL595" i="15"/>
  <c r="AK595" i="15"/>
  <c r="AJ595" i="15"/>
  <c r="AN594" i="15"/>
  <c r="AM594" i="15" s="1"/>
  <c r="AL594" i="15"/>
  <c r="AK594" i="15"/>
  <c r="AJ594" i="15"/>
  <c r="AN593" i="15"/>
  <c r="AM593" i="15" s="1"/>
  <c r="AL593" i="15"/>
  <c r="AK593" i="15"/>
  <c r="AJ593" i="15"/>
  <c r="AN592" i="15"/>
  <c r="AM592" i="15" s="1"/>
  <c r="AL592" i="15"/>
  <c r="AK592" i="15"/>
  <c r="AJ592" i="15"/>
  <c r="AN591" i="15"/>
  <c r="AM591" i="15" s="1"/>
  <c r="AL591" i="15"/>
  <c r="AK591" i="15"/>
  <c r="AJ591" i="15"/>
  <c r="AN590" i="15"/>
  <c r="AM590" i="15" s="1"/>
  <c r="AL590" i="15"/>
  <c r="AK590" i="15"/>
  <c r="AJ590" i="15"/>
  <c r="AN589" i="15"/>
  <c r="AM589" i="15" s="1"/>
  <c r="AL589" i="15"/>
  <c r="AK589" i="15"/>
  <c r="AJ589" i="15"/>
  <c r="AN588" i="15"/>
  <c r="AM588" i="15" s="1"/>
  <c r="AL588" i="15"/>
  <c r="AK588" i="15"/>
  <c r="AJ588" i="15"/>
  <c r="AN587" i="15"/>
  <c r="AM587" i="15" s="1"/>
  <c r="AL587" i="15"/>
  <c r="AK587" i="15"/>
  <c r="AJ587" i="15"/>
  <c r="AN586" i="15"/>
  <c r="AM586" i="15" s="1"/>
  <c r="AL586" i="15"/>
  <c r="AK586" i="15"/>
  <c r="AJ586" i="15"/>
  <c r="AN585" i="15"/>
  <c r="AM585" i="15" s="1"/>
  <c r="AL585" i="15"/>
  <c r="AK585" i="15"/>
  <c r="AJ585" i="15"/>
  <c r="AN584" i="15"/>
  <c r="AM584" i="15" s="1"/>
  <c r="AL584" i="15"/>
  <c r="AK584" i="15"/>
  <c r="AJ584" i="15"/>
  <c r="AN583" i="15"/>
  <c r="AM583" i="15" s="1"/>
  <c r="AL583" i="15"/>
  <c r="AK583" i="15"/>
  <c r="AJ583" i="15"/>
  <c r="AN582" i="15"/>
  <c r="AM582" i="15" s="1"/>
  <c r="AL582" i="15"/>
  <c r="AK582" i="15"/>
  <c r="AJ582" i="15"/>
  <c r="AN581" i="15"/>
  <c r="AM581" i="15" s="1"/>
  <c r="AL581" i="15"/>
  <c r="AK581" i="15"/>
  <c r="AJ581" i="15"/>
  <c r="AN580" i="15"/>
  <c r="AM580" i="15" s="1"/>
  <c r="AL580" i="15"/>
  <c r="AK580" i="15"/>
  <c r="AJ580" i="15"/>
  <c r="AN579" i="15"/>
  <c r="AM579" i="15" s="1"/>
  <c r="AL579" i="15"/>
  <c r="AK579" i="15"/>
  <c r="AJ579" i="15"/>
  <c r="AN578" i="15"/>
  <c r="AM578" i="15" s="1"/>
  <c r="AL578" i="15"/>
  <c r="AK578" i="15"/>
  <c r="AJ578" i="15"/>
  <c r="AN577" i="15"/>
  <c r="AM577" i="15" s="1"/>
  <c r="AL577" i="15"/>
  <c r="AK577" i="15"/>
  <c r="AJ577" i="15"/>
  <c r="AN576" i="15"/>
  <c r="AM576" i="15" s="1"/>
  <c r="AL576" i="15"/>
  <c r="AK576" i="15"/>
  <c r="AJ576" i="15"/>
  <c r="AN575" i="15"/>
  <c r="AM575" i="15" s="1"/>
  <c r="AL575" i="15"/>
  <c r="AK575" i="15"/>
  <c r="AJ575" i="15"/>
  <c r="AN574" i="15"/>
  <c r="AM574" i="15" s="1"/>
  <c r="AL574" i="15"/>
  <c r="AK574" i="15"/>
  <c r="AJ574" i="15"/>
  <c r="AN573" i="15"/>
  <c r="AM573" i="15" s="1"/>
  <c r="AL573" i="15"/>
  <c r="AK573" i="15"/>
  <c r="AJ573" i="15"/>
  <c r="AN572" i="15"/>
  <c r="AM572" i="15" s="1"/>
  <c r="AL572" i="15"/>
  <c r="AK572" i="15"/>
  <c r="AJ572" i="15"/>
  <c r="AN571" i="15"/>
  <c r="AM571" i="15" s="1"/>
  <c r="AL571" i="15"/>
  <c r="AK571" i="15"/>
  <c r="AJ571" i="15"/>
  <c r="AN570" i="15"/>
  <c r="AM570" i="15" s="1"/>
  <c r="AL570" i="15"/>
  <c r="AK570" i="15"/>
  <c r="AJ570" i="15"/>
  <c r="AN569" i="15"/>
  <c r="AM569" i="15" s="1"/>
  <c r="AL569" i="15"/>
  <c r="AK569" i="15"/>
  <c r="AJ569" i="15"/>
  <c r="AN568" i="15"/>
  <c r="AM568" i="15" s="1"/>
  <c r="AL568" i="15"/>
  <c r="AK568" i="15"/>
  <c r="AJ568" i="15"/>
  <c r="AN567" i="15"/>
  <c r="AM567" i="15" s="1"/>
  <c r="AL567" i="15"/>
  <c r="AK567" i="15"/>
  <c r="AJ567" i="15"/>
  <c r="AN566" i="15"/>
  <c r="AM566" i="15" s="1"/>
  <c r="AL566" i="15"/>
  <c r="AK566" i="15"/>
  <c r="AJ566" i="15"/>
  <c r="AN565" i="15"/>
  <c r="AM565" i="15" s="1"/>
  <c r="AL565" i="15"/>
  <c r="AK565" i="15"/>
  <c r="AJ565" i="15"/>
  <c r="AN564" i="15"/>
  <c r="AM564" i="15" s="1"/>
  <c r="AL564" i="15"/>
  <c r="AK564" i="15"/>
  <c r="AJ564" i="15"/>
  <c r="AN563" i="15"/>
  <c r="AM563" i="15" s="1"/>
  <c r="AL563" i="15"/>
  <c r="AK563" i="15"/>
  <c r="AJ563" i="15"/>
  <c r="AN562" i="15"/>
  <c r="AM562" i="15" s="1"/>
  <c r="AL562" i="15"/>
  <c r="AK562" i="15"/>
  <c r="AJ562" i="15"/>
  <c r="AN561" i="15"/>
  <c r="AM561" i="15" s="1"/>
  <c r="AL561" i="15"/>
  <c r="AK561" i="15"/>
  <c r="AJ561" i="15"/>
  <c r="AN560" i="15"/>
  <c r="AM560" i="15" s="1"/>
  <c r="AL560" i="15"/>
  <c r="AK560" i="15"/>
  <c r="AJ560" i="15"/>
  <c r="AN559" i="15"/>
  <c r="AM559" i="15" s="1"/>
  <c r="AL559" i="15"/>
  <c r="AK559" i="15"/>
  <c r="AJ559" i="15"/>
  <c r="AN558" i="15"/>
  <c r="AM558" i="15" s="1"/>
  <c r="AL558" i="15"/>
  <c r="AK558" i="15"/>
  <c r="AJ558" i="15"/>
  <c r="AN557" i="15"/>
  <c r="AM557" i="15" s="1"/>
  <c r="AL557" i="15"/>
  <c r="AK557" i="15"/>
  <c r="AJ557" i="15"/>
  <c r="AN556" i="15"/>
  <c r="AM556" i="15" s="1"/>
  <c r="AL556" i="15"/>
  <c r="AK556" i="15"/>
  <c r="AJ556" i="15"/>
  <c r="AN555" i="15"/>
  <c r="AM555" i="15" s="1"/>
  <c r="AL555" i="15"/>
  <c r="AK555" i="15"/>
  <c r="AJ555" i="15"/>
  <c r="AN554" i="15"/>
  <c r="AM554" i="15" s="1"/>
  <c r="AL554" i="15"/>
  <c r="AK554" i="15"/>
  <c r="AJ554" i="15"/>
  <c r="AN553" i="15"/>
  <c r="AM553" i="15" s="1"/>
  <c r="AL553" i="15"/>
  <c r="AK553" i="15"/>
  <c r="AJ553" i="15"/>
  <c r="AN552" i="15"/>
  <c r="AM552" i="15" s="1"/>
  <c r="AL552" i="15"/>
  <c r="AK552" i="15"/>
  <c r="AJ552" i="15"/>
  <c r="AN551" i="15"/>
  <c r="AM551" i="15" s="1"/>
  <c r="AL551" i="15"/>
  <c r="AK551" i="15"/>
  <c r="AJ551" i="15"/>
  <c r="AN550" i="15"/>
  <c r="AM550" i="15" s="1"/>
  <c r="AL550" i="15"/>
  <c r="AK550" i="15"/>
  <c r="AJ550" i="15"/>
  <c r="AN549" i="15"/>
  <c r="AM549" i="15" s="1"/>
  <c r="AL549" i="15"/>
  <c r="AK549" i="15"/>
  <c r="AJ549" i="15"/>
  <c r="AN548" i="15"/>
  <c r="AM548" i="15" s="1"/>
  <c r="AL548" i="15"/>
  <c r="AK548" i="15"/>
  <c r="AJ548" i="15"/>
  <c r="AN547" i="15"/>
  <c r="AM547" i="15" s="1"/>
  <c r="AL547" i="15"/>
  <c r="AK547" i="15"/>
  <c r="AJ547" i="15"/>
  <c r="AN546" i="15"/>
  <c r="AM546" i="15" s="1"/>
  <c r="AL546" i="15"/>
  <c r="AK546" i="15"/>
  <c r="AJ546" i="15"/>
  <c r="AN545" i="15"/>
  <c r="AM545" i="15" s="1"/>
  <c r="AL545" i="15"/>
  <c r="AK545" i="15"/>
  <c r="AJ545" i="15"/>
  <c r="AN544" i="15"/>
  <c r="AM544" i="15" s="1"/>
  <c r="AL544" i="15"/>
  <c r="AK544" i="15"/>
  <c r="AJ544" i="15"/>
  <c r="AN543" i="15"/>
  <c r="AM543" i="15" s="1"/>
  <c r="AL543" i="15"/>
  <c r="AK543" i="15"/>
  <c r="AJ543" i="15"/>
  <c r="AN542" i="15"/>
  <c r="AM542" i="15" s="1"/>
  <c r="AL542" i="15"/>
  <c r="AK542" i="15"/>
  <c r="AJ542" i="15"/>
  <c r="AN541" i="15"/>
  <c r="AM541" i="15" s="1"/>
  <c r="AL541" i="15"/>
  <c r="AK541" i="15"/>
  <c r="AJ541" i="15"/>
  <c r="AN540" i="15"/>
  <c r="AM540" i="15" s="1"/>
  <c r="AL540" i="15"/>
  <c r="AK540" i="15"/>
  <c r="AJ540" i="15"/>
  <c r="AN539" i="15"/>
  <c r="AM539" i="15" s="1"/>
  <c r="AL539" i="15"/>
  <c r="AK539" i="15"/>
  <c r="AJ539" i="15"/>
  <c r="AN538" i="15"/>
  <c r="AM538" i="15" s="1"/>
  <c r="AL538" i="15"/>
  <c r="AK538" i="15"/>
  <c r="AJ538" i="15"/>
  <c r="AN537" i="15"/>
  <c r="AM537" i="15" s="1"/>
  <c r="AL537" i="15"/>
  <c r="AK537" i="15"/>
  <c r="AJ537" i="15"/>
  <c r="AN536" i="15"/>
  <c r="AM536" i="15" s="1"/>
  <c r="AL536" i="15"/>
  <c r="AK536" i="15"/>
  <c r="AJ536" i="15"/>
  <c r="AN535" i="15"/>
  <c r="AM535" i="15" s="1"/>
  <c r="AL535" i="15"/>
  <c r="AK535" i="15"/>
  <c r="AJ535" i="15"/>
  <c r="AN534" i="15"/>
  <c r="AM534" i="15" s="1"/>
  <c r="AL534" i="15"/>
  <c r="AK534" i="15"/>
  <c r="AJ534" i="15"/>
  <c r="AN533" i="15"/>
  <c r="AM533" i="15" s="1"/>
  <c r="AL533" i="15"/>
  <c r="AK533" i="15"/>
  <c r="AJ533" i="15"/>
  <c r="AN532" i="15"/>
  <c r="AM532" i="15" s="1"/>
  <c r="AL532" i="15"/>
  <c r="AK532" i="15"/>
  <c r="AJ532" i="15"/>
  <c r="AN531" i="15"/>
  <c r="AM531" i="15" s="1"/>
  <c r="AL531" i="15"/>
  <c r="AK531" i="15"/>
  <c r="AJ531" i="15"/>
  <c r="AN530" i="15"/>
  <c r="AM530" i="15" s="1"/>
  <c r="AL530" i="15"/>
  <c r="AK530" i="15"/>
  <c r="AJ530" i="15"/>
  <c r="AN529" i="15"/>
  <c r="AM529" i="15" s="1"/>
  <c r="AL529" i="15"/>
  <c r="AK529" i="15"/>
  <c r="AJ529" i="15"/>
  <c r="AN528" i="15"/>
  <c r="AM528" i="15" s="1"/>
  <c r="AL528" i="15"/>
  <c r="AK528" i="15"/>
  <c r="AJ528" i="15"/>
  <c r="AN527" i="15"/>
  <c r="AM527" i="15" s="1"/>
  <c r="AL527" i="15"/>
  <c r="AK527" i="15"/>
  <c r="AJ527" i="15"/>
  <c r="AN526" i="15"/>
  <c r="AM526" i="15" s="1"/>
  <c r="AL526" i="15"/>
  <c r="AK526" i="15"/>
  <c r="AJ526" i="15"/>
  <c r="AN525" i="15"/>
  <c r="AM525" i="15" s="1"/>
  <c r="AL525" i="15"/>
  <c r="AK525" i="15"/>
  <c r="AJ525" i="15"/>
  <c r="AN524" i="15"/>
  <c r="AM524" i="15" s="1"/>
  <c r="AL524" i="15"/>
  <c r="AK524" i="15"/>
  <c r="AJ524" i="15"/>
  <c r="AN523" i="15"/>
  <c r="AM523" i="15" s="1"/>
  <c r="AL523" i="15"/>
  <c r="AK523" i="15"/>
  <c r="AJ523" i="15"/>
  <c r="AN522" i="15"/>
  <c r="AM522" i="15" s="1"/>
  <c r="AL522" i="15"/>
  <c r="AK522" i="15"/>
  <c r="AJ522" i="15"/>
  <c r="AN521" i="15"/>
  <c r="AM521" i="15" s="1"/>
  <c r="AL521" i="15"/>
  <c r="AK521" i="15"/>
  <c r="AJ521" i="15"/>
  <c r="AN520" i="15"/>
  <c r="AM520" i="15" s="1"/>
  <c r="AL520" i="15"/>
  <c r="AK520" i="15"/>
  <c r="AJ520" i="15"/>
  <c r="AN519" i="15"/>
  <c r="AM519" i="15" s="1"/>
  <c r="AL519" i="15"/>
  <c r="AK519" i="15"/>
  <c r="AJ519" i="15"/>
  <c r="AN518" i="15"/>
  <c r="AM518" i="15" s="1"/>
  <c r="AL518" i="15"/>
  <c r="AK518" i="15"/>
  <c r="AJ518" i="15"/>
  <c r="AN517" i="15"/>
  <c r="AM517" i="15" s="1"/>
  <c r="AL517" i="15"/>
  <c r="AK517" i="15"/>
  <c r="AJ517" i="15"/>
  <c r="AN516" i="15"/>
  <c r="AM516" i="15" s="1"/>
  <c r="AL516" i="15"/>
  <c r="AK516" i="15"/>
  <c r="AJ516" i="15"/>
  <c r="AN515" i="15"/>
  <c r="AM515" i="15" s="1"/>
  <c r="AL515" i="15"/>
  <c r="AK515" i="15"/>
  <c r="AJ515" i="15"/>
  <c r="AN514" i="15"/>
  <c r="AM514" i="15" s="1"/>
  <c r="AL514" i="15"/>
  <c r="AK514" i="15"/>
  <c r="AJ514" i="15"/>
  <c r="AN513" i="15"/>
  <c r="AM513" i="15" s="1"/>
  <c r="AL513" i="15"/>
  <c r="AK513" i="15"/>
  <c r="AJ513" i="15"/>
  <c r="AN512" i="15"/>
  <c r="AM512" i="15" s="1"/>
  <c r="AL512" i="15"/>
  <c r="AK512" i="15"/>
  <c r="AJ512" i="15"/>
  <c r="AN511" i="15"/>
  <c r="AM511" i="15" s="1"/>
  <c r="AL511" i="15"/>
  <c r="AK511" i="15"/>
  <c r="AJ511" i="15"/>
  <c r="AN510" i="15"/>
  <c r="AM510" i="15" s="1"/>
  <c r="AL510" i="15"/>
  <c r="AK510" i="15"/>
  <c r="AJ510" i="15"/>
  <c r="AN509" i="15"/>
  <c r="AM509" i="15" s="1"/>
  <c r="AL509" i="15"/>
  <c r="AK509" i="15"/>
  <c r="AJ509" i="15"/>
  <c r="AN508" i="15"/>
  <c r="AM508" i="15" s="1"/>
  <c r="AL508" i="15"/>
  <c r="AK508" i="15"/>
  <c r="AJ508" i="15"/>
  <c r="AN507" i="15"/>
  <c r="AM507" i="15" s="1"/>
  <c r="AL507" i="15"/>
  <c r="AK507" i="15"/>
  <c r="AJ507" i="15"/>
  <c r="AN506" i="15"/>
  <c r="AM506" i="15" s="1"/>
  <c r="AL506" i="15"/>
  <c r="AK506" i="15"/>
  <c r="AJ506" i="15"/>
  <c r="AN505" i="15"/>
  <c r="AM505" i="15" s="1"/>
  <c r="AL505" i="15"/>
  <c r="AK505" i="15"/>
  <c r="AJ505" i="15"/>
  <c r="AN504" i="15"/>
  <c r="AM504" i="15" s="1"/>
  <c r="AL504" i="15"/>
  <c r="AK504" i="15"/>
  <c r="AJ504" i="15"/>
  <c r="AN503" i="15"/>
  <c r="AM503" i="15" s="1"/>
  <c r="AL503" i="15"/>
  <c r="AK503" i="15"/>
  <c r="AJ503" i="15"/>
  <c r="AN502" i="15"/>
  <c r="AM502" i="15" s="1"/>
  <c r="AL502" i="15"/>
  <c r="AK502" i="15"/>
  <c r="AJ502" i="15"/>
  <c r="AN501" i="15"/>
  <c r="AM501" i="15" s="1"/>
  <c r="AL501" i="15"/>
  <c r="AK501" i="15"/>
  <c r="AJ501" i="15"/>
  <c r="AN500" i="15"/>
  <c r="AM500" i="15" s="1"/>
  <c r="AL500" i="15"/>
  <c r="AK500" i="15"/>
  <c r="AJ500" i="15"/>
  <c r="AN499" i="15"/>
  <c r="AM499" i="15" s="1"/>
  <c r="AL499" i="15"/>
  <c r="AK499" i="15"/>
  <c r="AJ499" i="15"/>
  <c r="AN498" i="15"/>
  <c r="AM498" i="15" s="1"/>
  <c r="AL498" i="15"/>
  <c r="AK498" i="15"/>
  <c r="AJ498" i="15"/>
  <c r="AN497" i="15"/>
  <c r="AM497" i="15" s="1"/>
  <c r="AL497" i="15"/>
  <c r="AK497" i="15"/>
  <c r="AJ497" i="15"/>
  <c r="AN496" i="15"/>
  <c r="AM496" i="15" s="1"/>
  <c r="AL496" i="15"/>
  <c r="AK496" i="15"/>
  <c r="AJ496" i="15"/>
  <c r="AN495" i="15"/>
  <c r="AM495" i="15" s="1"/>
  <c r="AL495" i="15"/>
  <c r="AK495" i="15"/>
  <c r="AJ495" i="15"/>
  <c r="AN494" i="15"/>
  <c r="AM494" i="15" s="1"/>
  <c r="AL494" i="15"/>
  <c r="AK494" i="15"/>
  <c r="AJ494" i="15"/>
  <c r="AN493" i="15"/>
  <c r="AM493" i="15" s="1"/>
  <c r="AL493" i="15"/>
  <c r="AK493" i="15"/>
  <c r="AJ493" i="15"/>
  <c r="AN492" i="15"/>
  <c r="AM492" i="15" s="1"/>
  <c r="AL492" i="15"/>
  <c r="AK492" i="15"/>
  <c r="AJ492" i="15"/>
  <c r="AN491" i="15"/>
  <c r="AM491" i="15" s="1"/>
  <c r="AL491" i="15"/>
  <c r="AK491" i="15"/>
  <c r="AJ491" i="15"/>
  <c r="AN490" i="15"/>
  <c r="AM490" i="15" s="1"/>
  <c r="AL490" i="15"/>
  <c r="AK490" i="15"/>
  <c r="AJ490" i="15"/>
  <c r="AN489" i="15"/>
  <c r="AM489" i="15" s="1"/>
  <c r="AL489" i="15"/>
  <c r="AK489" i="15"/>
  <c r="AJ489" i="15"/>
  <c r="AN488" i="15"/>
  <c r="AM488" i="15" s="1"/>
  <c r="AL488" i="15"/>
  <c r="AK488" i="15"/>
  <c r="AJ488" i="15"/>
  <c r="AN487" i="15"/>
  <c r="AM487" i="15" s="1"/>
  <c r="AL487" i="15"/>
  <c r="AK487" i="15"/>
  <c r="AJ487" i="15"/>
  <c r="AN486" i="15"/>
  <c r="AM486" i="15" s="1"/>
  <c r="AL486" i="15"/>
  <c r="AK486" i="15"/>
  <c r="AJ486" i="15"/>
  <c r="AN485" i="15"/>
  <c r="AM485" i="15" s="1"/>
  <c r="AL485" i="15"/>
  <c r="AK485" i="15"/>
  <c r="AJ485" i="15"/>
  <c r="AN484" i="15"/>
  <c r="AM484" i="15" s="1"/>
  <c r="AL484" i="15"/>
  <c r="AK484" i="15"/>
  <c r="AJ484" i="15"/>
  <c r="AN483" i="15"/>
  <c r="AM483" i="15" s="1"/>
  <c r="AL483" i="15"/>
  <c r="AK483" i="15"/>
  <c r="AJ483" i="15"/>
  <c r="AN482" i="15"/>
  <c r="AM482" i="15" s="1"/>
  <c r="AL482" i="15"/>
  <c r="AK482" i="15"/>
  <c r="AJ482" i="15"/>
  <c r="AN481" i="15"/>
  <c r="AM481" i="15" s="1"/>
  <c r="AL481" i="15"/>
  <c r="AK481" i="15"/>
  <c r="AJ481" i="15"/>
  <c r="AN480" i="15"/>
  <c r="AM480" i="15" s="1"/>
  <c r="AL480" i="15"/>
  <c r="AK480" i="15"/>
  <c r="AJ480" i="15"/>
  <c r="AN479" i="15"/>
  <c r="AM479" i="15" s="1"/>
  <c r="AL479" i="15"/>
  <c r="AK479" i="15"/>
  <c r="AJ479" i="15"/>
  <c r="AN478" i="15"/>
  <c r="AM478" i="15" s="1"/>
  <c r="AL478" i="15"/>
  <c r="AK478" i="15"/>
  <c r="AJ478" i="15"/>
  <c r="AN477" i="15"/>
  <c r="AM477" i="15" s="1"/>
  <c r="AL477" i="15"/>
  <c r="AK477" i="15"/>
  <c r="AJ477" i="15"/>
  <c r="AN476" i="15"/>
  <c r="AM476" i="15" s="1"/>
  <c r="AL476" i="15"/>
  <c r="AK476" i="15"/>
  <c r="AJ476" i="15"/>
  <c r="AN475" i="15"/>
  <c r="AM475" i="15" s="1"/>
  <c r="AL475" i="15"/>
  <c r="AK475" i="15"/>
  <c r="AJ475" i="15"/>
  <c r="AN474" i="15"/>
  <c r="AM474" i="15" s="1"/>
  <c r="AL474" i="15"/>
  <c r="AK474" i="15"/>
  <c r="AJ474" i="15"/>
  <c r="AN473" i="15"/>
  <c r="AM473" i="15" s="1"/>
  <c r="AL473" i="15"/>
  <c r="AK473" i="15"/>
  <c r="AJ473" i="15"/>
  <c r="AN472" i="15"/>
  <c r="AM472" i="15" s="1"/>
  <c r="AL472" i="15"/>
  <c r="AK472" i="15"/>
  <c r="AJ472" i="15"/>
  <c r="AN471" i="15"/>
  <c r="AM471" i="15" s="1"/>
  <c r="AL471" i="15"/>
  <c r="AK471" i="15"/>
  <c r="AJ471" i="15"/>
  <c r="AN470" i="15"/>
  <c r="AM470" i="15" s="1"/>
  <c r="AL470" i="15"/>
  <c r="AK470" i="15"/>
  <c r="AJ470" i="15"/>
  <c r="AN469" i="15"/>
  <c r="AM469" i="15" s="1"/>
  <c r="AL469" i="15"/>
  <c r="AK469" i="15"/>
  <c r="AJ469" i="15"/>
  <c r="AN468" i="15"/>
  <c r="AM468" i="15" s="1"/>
  <c r="AL468" i="15"/>
  <c r="AK468" i="15"/>
  <c r="AJ468" i="15"/>
  <c r="AN467" i="15"/>
  <c r="AM467" i="15" s="1"/>
  <c r="AL467" i="15"/>
  <c r="AK467" i="15"/>
  <c r="AJ467" i="15"/>
  <c r="AN466" i="15"/>
  <c r="AM466" i="15" s="1"/>
  <c r="AL466" i="15"/>
  <c r="AN465" i="15"/>
  <c r="AL465" i="15"/>
  <c r="AN464" i="15"/>
  <c r="AM464" i="15" s="1"/>
  <c r="AL464" i="15"/>
  <c r="AN463" i="15"/>
  <c r="AL463" i="15"/>
  <c r="AN462" i="15"/>
  <c r="AM462" i="15" s="1"/>
  <c r="AL462" i="15"/>
  <c r="AN461" i="15"/>
  <c r="AM461" i="15" s="1"/>
  <c r="AL461" i="15"/>
  <c r="AN460" i="15"/>
  <c r="AM460" i="15" s="1"/>
  <c r="AL460" i="15"/>
  <c r="AN459" i="15"/>
  <c r="AL459" i="15"/>
  <c r="AN458" i="15"/>
  <c r="AM458" i="15" s="1"/>
  <c r="AL458" i="15"/>
  <c r="AN457" i="15"/>
  <c r="AL457" i="15"/>
  <c r="AN456" i="15"/>
  <c r="AM456" i="15" s="1"/>
  <c r="AL456" i="15"/>
  <c r="AN455" i="15"/>
  <c r="AM455" i="15" s="1"/>
  <c r="AL455" i="15"/>
  <c r="AN454" i="15"/>
  <c r="AM454" i="15" s="1"/>
  <c r="AL454" i="15"/>
  <c r="AN453" i="15"/>
  <c r="AM453" i="15" s="1"/>
  <c r="AL453" i="15"/>
  <c r="AN452" i="15"/>
  <c r="AM452" i="15" s="1"/>
  <c r="AL452" i="15"/>
  <c r="AN451" i="15"/>
  <c r="AM451" i="15" s="1"/>
  <c r="AL451" i="15"/>
  <c r="AN450" i="15"/>
  <c r="AM450" i="15" s="1"/>
  <c r="AL450" i="15"/>
  <c r="AN449" i="15"/>
  <c r="AM449" i="15" s="1"/>
  <c r="AL449" i="15"/>
  <c r="AN448" i="15"/>
  <c r="AM448" i="15" s="1"/>
  <c r="AL448" i="15"/>
  <c r="AN447" i="15"/>
  <c r="AM447" i="15" s="1"/>
  <c r="AL447" i="15"/>
  <c r="AN446" i="15"/>
  <c r="AM446" i="15" s="1"/>
  <c r="AL446" i="15"/>
  <c r="AN445" i="15"/>
  <c r="AM445" i="15" s="1"/>
  <c r="AL445" i="15"/>
  <c r="AN444" i="15"/>
  <c r="AM444" i="15" s="1"/>
  <c r="AL444" i="15"/>
  <c r="AN443" i="15"/>
  <c r="AM443" i="15" s="1"/>
  <c r="AL443" i="15"/>
  <c r="AN442" i="15"/>
  <c r="AM442" i="15" s="1"/>
  <c r="AL442" i="15"/>
  <c r="AN441" i="15"/>
  <c r="AL441" i="15"/>
  <c r="AN440" i="15"/>
  <c r="AM440" i="15" s="1"/>
  <c r="AL440" i="15"/>
  <c r="AN439" i="15"/>
  <c r="AM439" i="15" s="1"/>
  <c r="AL439" i="15"/>
  <c r="AN438" i="15"/>
  <c r="AM438" i="15" s="1"/>
  <c r="AL438" i="15"/>
  <c r="AN437" i="15"/>
  <c r="AM437" i="15" s="1"/>
  <c r="AL437" i="15"/>
  <c r="AN436" i="15"/>
  <c r="AM436" i="15" s="1"/>
  <c r="AL436" i="15"/>
  <c r="AN435" i="15"/>
  <c r="AM435" i="15" s="1"/>
  <c r="AL435" i="15"/>
  <c r="AN434" i="15"/>
  <c r="AM434" i="15" s="1"/>
  <c r="AL434" i="15"/>
  <c r="AN433" i="15"/>
  <c r="AL433" i="15"/>
  <c r="AN432" i="15"/>
  <c r="AM432" i="15" s="1"/>
  <c r="AL432" i="15"/>
  <c r="AN431" i="15"/>
  <c r="AM431" i="15" s="1"/>
  <c r="AL431" i="15"/>
  <c r="AN430" i="15"/>
  <c r="AM430" i="15" s="1"/>
  <c r="AL430" i="15"/>
  <c r="AN429" i="15"/>
  <c r="AM429" i="15" s="1"/>
  <c r="AL429" i="15"/>
  <c r="AN428" i="15"/>
  <c r="AM428" i="15" s="1"/>
  <c r="AL428" i="15"/>
  <c r="AN427" i="15"/>
  <c r="AL427" i="15"/>
  <c r="AN426" i="15"/>
  <c r="AM426" i="15" s="1"/>
  <c r="AL426" i="15"/>
  <c r="AN425" i="15"/>
  <c r="AM425" i="15" s="1"/>
  <c r="AL425" i="15"/>
  <c r="AN424" i="15"/>
  <c r="AM424" i="15" s="1"/>
  <c r="AL424" i="15"/>
  <c r="AN423" i="15"/>
  <c r="AM423" i="15" s="1"/>
  <c r="AL423" i="15"/>
  <c r="AN422" i="15"/>
  <c r="AM422" i="15" s="1"/>
  <c r="AL422" i="15"/>
  <c r="AN421" i="15"/>
  <c r="AL421" i="15"/>
  <c r="AN420" i="15"/>
  <c r="AL420" i="15"/>
  <c r="AN419" i="15"/>
  <c r="AM419" i="15" s="1"/>
  <c r="AL419" i="15"/>
  <c r="AN418" i="15"/>
  <c r="AM418" i="15" s="1"/>
  <c r="AL418" i="15"/>
  <c r="AN417" i="15"/>
  <c r="AM417" i="15" s="1"/>
  <c r="AL417" i="15"/>
  <c r="AN416" i="15"/>
  <c r="AM416" i="15" s="1"/>
  <c r="AL416" i="15"/>
  <c r="AN415" i="15"/>
  <c r="AM415" i="15" s="1"/>
  <c r="AL415" i="15"/>
  <c r="AN414" i="15"/>
  <c r="AL414" i="15"/>
  <c r="AN413" i="15"/>
  <c r="AM413" i="15" s="1"/>
  <c r="AL413" i="15"/>
  <c r="AN412" i="15"/>
  <c r="AM412" i="15" s="1"/>
  <c r="AL412" i="15"/>
  <c r="AN411" i="15"/>
  <c r="AM411" i="15" s="1"/>
  <c r="AL411" i="15"/>
  <c r="AN410" i="15"/>
  <c r="AM410" i="15" s="1"/>
  <c r="AL410" i="15"/>
  <c r="AN409" i="15"/>
  <c r="AM409" i="15" s="1"/>
  <c r="AL409" i="15"/>
  <c r="AN408" i="15"/>
  <c r="AL408" i="15"/>
  <c r="AN407" i="15"/>
  <c r="AM407" i="15" s="1"/>
  <c r="AL407" i="15"/>
  <c r="AN406" i="15"/>
  <c r="AM406" i="15" s="1"/>
  <c r="AL406" i="15"/>
  <c r="AN405" i="15"/>
  <c r="AM405" i="15" s="1"/>
  <c r="AL405" i="15"/>
  <c r="AN404" i="15"/>
  <c r="AM404" i="15" s="1"/>
  <c r="AL404" i="15"/>
  <c r="AN403" i="15"/>
  <c r="AM403" i="15" s="1"/>
  <c r="AL403" i="15"/>
  <c r="AN402" i="15"/>
  <c r="AL402" i="15"/>
  <c r="AN401" i="15"/>
  <c r="AM401" i="15" s="1"/>
  <c r="AL401" i="15"/>
  <c r="AN400" i="15"/>
  <c r="AM400" i="15" s="1"/>
  <c r="AL400" i="15"/>
  <c r="AN399" i="15"/>
  <c r="AM399" i="15" s="1"/>
  <c r="AL399" i="15"/>
  <c r="AN398" i="15"/>
  <c r="AM398" i="15" s="1"/>
  <c r="AL398" i="15"/>
  <c r="AN397" i="15"/>
  <c r="AM397" i="15" s="1"/>
  <c r="AL397" i="15"/>
  <c r="AN396" i="15"/>
  <c r="AL396" i="15"/>
  <c r="AN395" i="15"/>
  <c r="AM395" i="15" s="1"/>
  <c r="AL395" i="15"/>
  <c r="AN394" i="15"/>
  <c r="AM394" i="15" s="1"/>
  <c r="AL394" i="15"/>
  <c r="AN393" i="15"/>
  <c r="AM393" i="15" s="1"/>
  <c r="AL393" i="15"/>
  <c r="AN392" i="15"/>
  <c r="AM392" i="15" s="1"/>
  <c r="AL392" i="15"/>
  <c r="AN391" i="15"/>
  <c r="AM391" i="15" s="1"/>
  <c r="AL391" i="15"/>
  <c r="AN390" i="15"/>
  <c r="AL390" i="15"/>
  <c r="AN389" i="15"/>
  <c r="AM389" i="15" s="1"/>
  <c r="AL389" i="15"/>
  <c r="AN388" i="15"/>
  <c r="AM388" i="15" s="1"/>
  <c r="AL388" i="15"/>
  <c r="AN387" i="15"/>
  <c r="AM387" i="15" s="1"/>
  <c r="AL387" i="15"/>
  <c r="AN386" i="15"/>
  <c r="AM386" i="15" s="1"/>
  <c r="AL386" i="15"/>
  <c r="AN385" i="15"/>
  <c r="AM385" i="15" s="1"/>
  <c r="AL385" i="15"/>
  <c r="AN384" i="15"/>
  <c r="AL384" i="15"/>
  <c r="AN383" i="15"/>
  <c r="AM383" i="15" s="1"/>
  <c r="AL383" i="15"/>
  <c r="AN382" i="15"/>
  <c r="AM382" i="15" s="1"/>
  <c r="AL382" i="15"/>
  <c r="AN381" i="15"/>
  <c r="AM381" i="15" s="1"/>
  <c r="AL381" i="15"/>
  <c r="AN380" i="15"/>
  <c r="AM380" i="15" s="1"/>
  <c r="AL380" i="15"/>
  <c r="AN379" i="15"/>
  <c r="AM379" i="15" s="1"/>
  <c r="AL379" i="15"/>
  <c r="AN378" i="15"/>
  <c r="AL378" i="15"/>
  <c r="AN377" i="15"/>
  <c r="AM377" i="15" s="1"/>
  <c r="AL377" i="15"/>
  <c r="AN376" i="15"/>
  <c r="AM376" i="15" s="1"/>
  <c r="AL376" i="15"/>
  <c r="AN375" i="15"/>
  <c r="AM375" i="15" s="1"/>
  <c r="AL375" i="15"/>
  <c r="AN374" i="15"/>
  <c r="AM374" i="15" s="1"/>
  <c r="AL374" i="15"/>
  <c r="AN373" i="15"/>
  <c r="AM373" i="15" s="1"/>
  <c r="AL373" i="15"/>
  <c r="AN372" i="15"/>
  <c r="AL372" i="15"/>
  <c r="AN371" i="15"/>
  <c r="AM371" i="15" s="1"/>
  <c r="AL371" i="15"/>
  <c r="AN370" i="15"/>
  <c r="AM370" i="15" s="1"/>
  <c r="AL370" i="15"/>
  <c r="AN369" i="15"/>
  <c r="AM369" i="15" s="1"/>
  <c r="AL369" i="15"/>
  <c r="AN368" i="15"/>
  <c r="AM368" i="15" s="1"/>
  <c r="AL368" i="15"/>
  <c r="AN367" i="15"/>
  <c r="AM367" i="15" s="1"/>
  <c r="AL367" i="15"/>
  <c r="AN366" i="15"/>
  <c r="AL366" i="15"/>
  <c r="AN365" i="15"/>
  <c r="AM365" i="15" s="1"/>
  <c r="AL365" i="15"/>
  <c r="AN364" i="15"/>
  <c r="AM364" i="15" s="1"/>
  <c r="AL364" i="15"/>
  <c r="AN363" i="15"/>
  <c r="AM363" i="15" s="1"/>
  <c r="AL363" i="15"/>
  <c r="AN362" i="15"/>
  <c r="AM362" i="15" s="1"/>
  <c r="AL362" i="15"/>
  <c r="AN361" i="15"/>
  <c r="AM361" i="15" s="1"/>
  <c r="AL361" i="15"/>
  <c r="AN360" i="15"/>
  <c r="AL360" i="15"/>
  <c r="AN359" i="15"/>
  <c r="AM359" i="15" s="1"/>
  <c r="AL359" i="15"/>
  <c r="AN358" i="15"/>
  <c r="AM358" i="15" s="1"/>
  <c r="AL358" i="15"/>
  <c r="AN357" i="15"/>
  <c r="AM357" i="15" s="1"/>
  <c r="AL357" i="15"/>
  <c r="AN356" i="15"/>
  <c r="AM356" i="15" s="1"/>
  <c r="AL356" i="15"/>
  <c r="AN355" i="15"/>
  <c r="AM355" i="15" s="1"/>
  <c r="AL355" i="15"/>
  <c r="AN354" i="15"/>
  <c r="AL354" i="15"/>
  <c r="AN353" i="15"/>
  <c r="AM353" i="15" s="1"/>
  <c r="AL353" i="15"/>
  <c r="AN352" i="15"/>
  <c r="AM352" i="15" s="1"/>
  <c r="AL352" i="15"/>
  <c r="AN351" i="15"/>
  <c r="AM351" i="15" s="1"/>
  <c r="AL351" i="15"/>
  <c r="AN350" i="15"/>
  <c r="AM350" i="15" s="1"/>
  <c r="AL350" i="15"/>
  <c r="AN349" i="15"/>
  <c r="AM349" i="15" s="1"/>
  <c r="AL349" i="15"/>
  <c r="AN348" i="15"/>
  <c r="AL348" i="15"/>
  <c r="AN347" i="15"/>
  <c r="AM347" i="15" s="1"/>
  <c r="AL347" i="15"/>
  <c r="AN346" i="15"/>
  <c r="AM346" i="15" s="1"/>
  <c r="AL346" i="15"/>
  <c r="AN345" i="15"/>
  <c r="AM345" i="15" s="1"/>
  <c r="AL345" i="15"/>
  <c r="AN344" i="15"/>
  <c r="AL344" i="15"/>
  <c r="AN343" i="15"/>
  <c r="AL343" i="15"/>
  <c r="AN342" i="15"/>
  <c r="AL342" i="15"/>
  <c r="AN341" i="15"/>
  <c r="AM341" i="15" s="1"/>
  <c r="AL341" i="15"/>
  <c r="AN340" i="15"/>
  <c r="AM340" i="15" s="1"/>
  <c r="AL340" i="15"/>
  <c r="AN339" i="15"/>
  <c r="AM339" i="15" s="1"/>
  <c r="AL339" i="15"/>
  <c r="AN338" i="15"/>
  <c r="AL338" i="15"/>
  <c r="AN337" i="15"/>
  <c r="AL337" i="15"/>
  <c r="AN336" i="15"/>
  <c r="AL336" i="15"/>
  <c r="AN335" i="15"/>
  <c r="AM335" i="15" s="1"/>
  <c r="AL335" i="15"/>
  <c r="AN334" i="15"/>
  <c r="AM334" i="15" s="1"/>
  <c r="AL334" i="15"/>
  <c r="AN333" i="15"/>
  <c r="AM333" i="15" s="1"/>
  <c r="AL333" i="15"/>
  <c r="AN332" i="15"/>
  <c r="AL332" i="15"/>
  <c r="AN331" i="15"/>
  <c r="AL331" i="15"/>
  <c r="AN330" i="15"/>
  <c r="AL330" i="15"/>
  <c r="AN329" i="15"/>
  <c r="AM329" i="15" s="1"/>
  <c r="AL329" i="15"/>
  <c r="AN328" i="15"/>
  <c r="AM328" i="15" s="1"/>
  <c r="AL328" i="15"/>
  <c r="AN327" i="15"/>
  <c r="AM327" i="15" s="1"/>
  <c r="AL327" i="15"/>
  <c r="AN326" i="15"/>
  <c r="AL326" i="15"/>
  <c r="AN325" i="15"/>
  <c r="AM325" i="15" s="1"/>
  <c r="AL325" i="15"/>
  <c r="AN324" i="15"/>
  <c r="AL324" i="15"/>
  <c r="AN323" i="15"/>
  <c r="AM323" i="15" s="1"/>
  <c r="AL323" i="15"/>
  <c r="AN322" i="15"/>
  <c r="AM322" i="15" s="1"/>
  <c r="AL322" i="15"/>
  <c r="AN321" i="15"/>
  <c r="AM321" i="15" s="1"/>
  <c r="AL321" i="15"/>
  <c r="AN320" i="15"/>
  <c r="AL320" i="15"/>
  <c r="AN319" i="15"/>
  <c r="AM319" i="15" s="1"/>
  <c r="AL319" i="15"/>
  <c r="AN318" i="15"/>
  <c r="AL318" i="15"/>
  <c r="AN317" i="15"/>
  <c r="AM317" i="15" s="1"/>
  <c r="AL317" i="15"/>
  <c r="AN316" i="15"/>
  <c r="AL316" i="15"/>
  <c r="AN315" i="15"/>
  <c r="AM315" i="15" s="1"/>
  <c r="AL315" i="15"/>
  <c r="AN314" i="15"/>
  <c r="AL314" i="15"/>
  <c r="AN313" i="15"/>
  <c r="AM313" i="15" s="1"/>
  <c r="AL313" i="15"/>
  <c r="AN312" i="15"/>
  <c r="AL312" i="15"/>
  <c r="AN311" i="15"/>
  <c r="AM311" i="15" s="1"/>
  <c r="AL311" i="15"/>
  <c r="AN310" i="15"/>
  <c r="AL310" i="15"/>
  <c r="AN309" i="15"/>
  <c r="AM309" i="15" s="1"/>
  <c r="AL309" i="15"/>
  <c r="AN308" i="15"/>
  <c r="AL308" i="15"/>
  <c r="AN307" i="15"/>
  <c r="AM307" i="15" s="1"/>
  <c r="AL307" i="15"/>
  <c r="AN306" i="15"/>
  <c r="AL306" i="15"/>
  <c r="AN305" i="15"/>
  <c r="AM305" i="15" s="1"/>
  <c r="AL305" i="15"/>
  <c r="AN304" i="15"/>
  <c r="AL304" i="15"/>
  <c r="AN303" i="15"/>
  <c r="AM303" i="15" s="1"/>
  <c r="AL303" i="15"/>
  <c r="AN302" i="15"/>
  <c r="AL302" i="15"/>
  <c r="AN301" i="15"/>
  <c r="AM301" i="15" s="1"/>
  <c r="AL301" i="15"/>
  <c r="AN300" i="15"/>
  <c r="AL300" i="15"/>
  <c r="AN299" i="15"/>
  <c r="AM299" i="15" s="1"/>
  <c r="AL299" i="15"/>
  <c r="AN298" i="15"/>
  <c r="AL298" i="15"/>
  <c r="AN297" i="15"/>
  <c r="AM297" i="15" s="1"/>
  <c r="AL297" i="15"/>
  <c r="AN296" i="15"/>
  <c r="AL296" i="15"/>
  <c r="AN295" i="15"/>
  <c r="AM295" i="15" s="1"/>
  <c r="AL295" i="15"/>
  <c r="AN294" i="15"/>
  <c r="AL294" i="15"/>
  <c r="AN293" i="15"/>
  <c r="AM293" i="15" s="1"/>
  <c r="AL293" i="15"/>
  <c r="AN292" i="15"/>
  <c r="AL292" i="15"/>
  <c r="AN291" i="15"/>
  <c r="AM291" i="15" s="1"/>
  <c r="AL291" i="15"/>
  <c r="AN290" i="15"/>
  <c r="AL290" i="15"/>
  <c r="AN289" i="15"/>
  <c r="AM289" i="15" s="1"/>
  <c r="AL289" i="15"/>
  <c r="AN288" i="15"/>
  <c r="AL288" i="15"/>
  <c r="AN287" i="15"/>
  <c r="AM287" i="15" s="1"/>
  <c r="AL287" i="15"/>
  <c r="AN286" i="15"/>
  <c r="AL286" i="15"/>
  <c r="AN285" i="15"/>
  <c r="AM285" i="15" s="1"/>
  <c r="AL285" i="15"/>
  <c r="AN284" i="15"/>
  <c r="AL284" i="15"/>
  <c r="AN283" i="15"/>
  <c r="AM283" i="15" s="1"/>
  <c r="AL283" i="15"/>
  <c r="AN282" i="15"/>
  <c r="AL282" i="15"/>
  <c r="AN281" i="15"/>
  <c r="AM281" i="15" s="1"/>
  <c r="AL281" i="15"/>
  <c r="AN280" i="15"/>
  <c r="AL280" i="15"/>
  <c r="AN279" i="15"/>
  <c r="AM279" i="15" s="1"/>
  <c r="AL279" i="15"/>
  <c r="AN278" i="15"/>
  <c r="AL278" i="15"/>
  <c r="AN277" i="15"/>
  <c r="AM277" i="15" s="1"/>
  <c r="AL277" i="15"/>
  <c r="AN276" i="15"/>
  <c r="AL276" i="15"/>
  <c r="AN275" i="15"/>
  <c r="AM275" i="15" s="1"/>
  <c r="AL275" i="15"/>
  <c r="AN274" i="15"/>
  <c r="AL274" i="15"/>
  <c r="AN273" i="15"/>
  <c r="AM273" i="15" s="1"/>
  <c r="AL273" i="15"/>
  <c r="AN272" i="15"/>
  <c r="AL272" i="15"/>
  <c r="AN271" i="15"/>
  <c r="AM271" i="15" s="1"/>
  <c r="AL271" i="15"/>
  <c r="AN270" i="15"/>
  <c r="AL270" i="15"/>
  <c r="AN269" i="15"/>
  <c r="AM269" i="15" s="1"/>
  <c r="AL269" i="15"/>
  <c r="AN268" i="15"/>
  <c r="AL268" i="15"/>
  <c r="AN267" i="15"/>
  <c r="AM267" i="15" s="1"/>
  <c r="AL267" i="15"/>
  <c r="AN266" i="15"/>
  <c r="AL266" i="15"/>
  <c r="AN265" i="15"/>
  <c r="AM265" i="15" s="1"/>
  <c r="AL265" i="15"/>
  <c r="AN264" i="15"/>
  <c r="AL264" i="15"/>
  <c r="AN263" i="15"/>
  <c r="AM263" i="15" s="1"/>
  <c r="AL263" i="15"/>
  <c r="AN262" i="15"/>
  <c r="AL262" i="15"/>
  <c r="AN261" i="15"/>
  <c r="AM261" i="15" s="1"/>
  <c r="AL261" i="15"/>
  <c r="AN260" i="15"/>
  <c r="AL260" i="15"/>
  <c r="AN259" i="15"/>
  <c r="AM259" i="15" s="1"/>
  <c r="AL259" i="15"/>
  <c r="AN258" i="15"/>
  <c r="AL258" i="15"/>
  <c r="AN257" i="15"/>
  <c r="AM257" i="15" s="1"/>
  <c r="AL257" i="15"/>
  <c r="AN256" i="15"/>
  <c r="AL256" i="15"/>
  <c r="AN255" i="15"/>
  <c r="AM255" i="15" s="1"/>
  <c r="AL255" i="15"/>
  <c r="AN254" i="15"/>
  <c r="AL254" i="15"/>
  <c r="AN253" i="15"/>
  <c r="AM253" i="15" s="1"/>
  <c r="AL253" i="15"/>
  <c r="AN252" i="15"/>
  <c r="AL252" i="15"/>
  <c r="AN251" i="15"/>
  <c r="AM251" i="15" s="1"/>
  <c r="AL251" i="15"/>
  <c r="AN250" i="15"/>
  <c r="AL250" i="15"/>
  <c r="AN249" i="15"/>
  <c r="AM249" i="15" s="1"/>
  <c r="AL249" i="15"/>
  <c r="AN248" i="15"/>
  <c r="AL248" i="15"/>
  <c r="AN247" i="15"/>
  <c r="AM247" i="15" s="1"/>
  <c r="AL247" i="15"/>
  <c r="AN246" i="15"/>
  <c r="AL246" i="15"/>
  <c r="AN245" i="15"/>
  <c r="AM245" i="15" s="1"/>
  <c r="AL245" i="15"/>
  <c r="AN244" i="15"/>
  <c r="AL244" i="15"/>
  <c r="AN243" i="15"/>
  <c r="AM243" i="15" s="1"/>
  <c r="AL243" i="15"/>
  <c r="AN242" i="15"/>
  <c r="AL242" i="15"/>
  <c r="AN241" i="15"/>
  <c r="AM241" i="15" s="1"/>
  <c r="AL241" i="15"/>
  <c r="AN240" i="15"/>
  <c r="AL240" i="15"/>
  <c r="AN239" i="15"/>
  <c r="AM239" i="15" s="1"/>
  <c r="AL239" i="15"/>
  <c r="AN238" i="15"/>
  <c r="AL238" i="15"/>
  <c r="AN237" i="15"/>
  <c r="AM237" i="15" s="1"/>
  <c r="AL237" i="15"/>
  <c r="AN236" i="15"/>
  <c r="AL236" i="15"/>
  <c r="AN235" i="15"/>
  <c r="AM235" i="15" s="1"/>
  <c r="AL235" i="15"/>
  <c r="AN234" i="15"/>
  <c r="AL234" i="15"/>
  <c r="AN233" i="15"/>
  <c r="AM233" i="15" s="1"/>
  <c r="AL233" i="15"/>
  <c r="AN232" i="15"/>
  <c r="AL232" i="15"/>
  <c r="AN231" i="15"/>
  <c r="AM231" i="15" s="1"/>
  <c r="AL231" i="15"/>
  <c r="AN230" i="15"/>
  <c r="AL230" i="15"/>
  <c r="AN229" i="15"/>
  <c r="AM229" i="15" s="1"/>
  <c r="AL229" i="15"/>
  <c r="AN228" i="15"/>
  <c r="AL228" i="15"/>
  <c r="AN227" i="15"/>
  <c r="AM227" i="15" s="1"/>
  <c r="AL227" i="15"/>
  <c r="AN226" i="15"/>
  <c r="AL226" i="15"/>
  <c r="AN225" i="15"/>
  <c r="AM225" i="15" s="1"/>
  <c r="AL225" i="15"/>
  <c r="AN224" i="15"/>
  <c r="AL224" i="15"/>
  <c r="AN223" i="15"/>
  <c r="AM223" i="15" s="1"/>
  <c r="AL223" i="15"/>
  <c r="AN222" i="15"/>
  <c r="AL222" i="15"/>
  <c r="AN221" i="15"/>
  <c r="AM221" i="15" s="1"/>
  <c r="AL221" i="15"/>
  <c r="AN220" i="15"/>
  <c r="AL220" i="15"/>
  <c r="AN219" i="15"/>
  <c r="AM219" i="15" s="1"/>
  <c r="AL219" i="15"/>
  <c r="AN218" i="15"/>
  <c r="AL218" i="15"/>
  <c r="AN217" i="15"/>
  <c r="AM217" i="15" s="1"/>
  <c r="AL217" i="15"/>
  <c r="AN216" i="15"/>
  <c r="AL216" i="15"/>
  <c r="AN215" i="15"/>
  <c r="AM215" i="15" s="1"/>
  <c r="AL215" i="15"/>
  <c r="AN214" i="15"/>
  <c r="AL214" i="15"/>
  <c r="AN213" i="15"/>
  <c r="AM213" i="15" s="1"/>
  <c r="AL213" i="15"/>
  <c r="AN212" i="15"/>
  <c r="AL212" i="15"/>
  <c r="AN211" i="15"/>
  <c r="AM211" i="15" s="1"/>
  <c r="AL211" i="15"/>
  <c r="AN210" i="15"/>
  <c r="AL210" i="15"/>
  <c r="AN209" i="15"/>
  <c r="AM209" i="15" s="1"/>
  <c r="AL209" i="15"/>
  <c r="AN208" i="15"/>
  <c r="AL208" i="15"/>
  <c r="AN207" i="15"/>
  <c r="AM207" i="15" s="1"/>
  <c r="AL207" i="15"/>
  <c r="AN206" i="15"/>
  <c r="AL206" i="15"/>
  <c r="AN205" i="15"/>
  <c r="AM205" i="15" s="1"/>
  <c r="AL205" i="15"/>
  <c r="AN204" i="15"/>
  <c r="AL204" i="15"/>
  <c r="AN203" i="15"/>
  <c r="AM203" i="15" s="1"/>
  <c r="AL203" i="15"/>
  <c r="AN202" i="15"/>
  <c r="AL202" i="15"/>
  <c r="AN201" i="15"/>
  <c r="AM201" i="15" s="1"/>
  <c r="AL201" i="15"/>
  <c r="AN200" i="15"/>
  <c r="AL200" i="15"/>
  <c r="AN199" i="15"/>
  <c r="AM199" i="15" s="1"/>
  <c r="AL199" i="15"/>
  <c r="AN198" i="15"/>
  <c r="AL198" i="15"/>
  <c r="AN197" i="15"/>
  <c r="AM197" i="15" s="1"/>
  <c r="AL197" i="15"/>
  <c r="AN196" i="15"/>
  <c r="AL196" i="15"/>
  <c r="AN195" i="15"/>
  <c r="AM195" i="15" s="1"/>
  <c r="AL195" i="15"/>
  <c r="AN194" i="15"/>
  <c r="AL194" i="15"/>
  <c r="AN193" i="15"/>
  <c r="AM193" i="15" s="1"/>
  <c r="AL193" i="15"/>
  <c r="AN192" i="15"/>
  <c r="AL192" i="15"/>
  <c r="AN191" i="15"/>
  <c r="AM191" i="15" s="1"/>
  <c r="AL191" i="15"/>
  <c r="AN190" i="15"/>
  <c r="AL190" i="15"/>
  <c r="AN189" i="15"/>
  <c r="AM189" i="15" s="1"/>
  <c r="AL189" i="15"/>
  <c r="AN188" i="15"/>
  <c r="AL188" i="15"/>
  <c r="AN187" i="15"/>
  <c r="AM187" i="15" s="1"/>
  <c r="AL187" i="15"/>
  <c r="AN186" i="15"/>
  <c r="AL186" i="15"/>
  <c r="AN185" i="15"/>
  <c r="AM185" i="15" s="1"/>
  <c r="AL185" i="15"/>
  <c r="AN184" i="15"/>
  <c r="AL184" i="15"/>
  <c r="AN183" i="15"/>
  <c r="AM183" i="15" s="1"/>
  <c r="AL183" i="15"/>
  <c r="AN182" i="15"/>
  <c r="AL182" i="15"/>
  <c r="AN181" i="15"/>
  <c r="AM181" i="15" s="1"/>
  <c r="AL181" i="15"/>
  <c r="AN180" i="15"/>
  <c r="AL180" i="15"/>
  <c r="AN179" i="15"/>
  <c r="AM179" i="15" s="1"/>
  <c r="AL179" i="15"/>
  <c r="AN178" i="15"/>
  <c r="AL178" i="15"/>
  <c r="AN177" i="15"/>
  <c r="AM177" i="15" s="1"/>
  <c r="AL177" i="15"/>
  <c r="AN176" i="15"/>
  <c r="AL176" i="15"/>
  <c r="AN175" i="15"/>
  <c r="AM175" i="15" s="1"/>
  <c r="AL175" i="15"/>
  <c r="AN174" i="15"/>
  <c r="AL174" i="15"/>
  <c r="AN173" i="15"/>
  <c r="AM173" i="15" s="1"/>
  <c r="AL173" i="15"/>
  <c r="AN172" i="15"/>
  <c r="AL172" i="15"/>
  <c r="AN171" i="15"/>
  <c r="AM171" i="15" s="1"/>
  <c r="AL171" i="15"/>
  <c r="AN170" i="15"/>
  <c r="AL170" i="15"/>
  <c r="AN169" i="15"/>
  <c r="AM169" i="15" s="1"/>
  <c r="AL169" i="15"/>
  <c r="AN168" i="15"/>
  <c r="AL168" i="15"/>
  <c r="AN167" i="15"/>
  <c r="AM167" i="15" s="1"/>
  <c r="AL167" i="15"/>
  <c r="AN166" i="15"/>
  <c r="AL166" i="15"/>
  <c r="AN165" i="15"/>
  <c r="AM165" i="15" s="1"/>
  <c r="AL165" i="15"/>
  <c r="AN164" i="15"/>
  <c r="AL164" i="15"/>
  <c r="AN163" i="15"/>
  <c r="AM163" i="15" s="1"/>
  <c r="AL163" i="15"/>
  <c r="AN162" i="15"/>
  <c r="AL162" i="15"/>
  <c r="AN161" i="15"/>
  <c r="AM161" i="15" s="1"/>
  <c r="AL161" i="15"/>
  <c r="AN160" i="15"/>
  <c r="AL160" i="15"/>
  <c r="AN159" i="15"/>
  <c r="AM159" i="15" s="1"/>
  <c r="AL159" i="15"/>
  <c r="AN158" i="15"/>
  <c r="AL158" i="15"/>
  <c r="AN157" i="15"/>
  <c r="AM157" i="15" s="1"/>
  <c r="AL157" i="15"/>
  <c r="AN156" i="15"/>
  <c r="AL156" i="15"/>
  <c r="AN155" i="15"/>
  <c r="AM155" i="15" s="1"/>
  <c r="AL155" i="15"/>
  <c r="AN154" i="15"/>
  <c r="AL154" i="15"/>
  <c r="AN153" i="15"/>
  <c r="AM153" i="15" s="1"/>
  <c r="AL153" i="15"/>
  <c r="AN152" i="15"/>
  <c r="AL152" i="15"/>
  <c r="AN151" i="15"/>
  <c r="AM151" i="15" s="1"/>
  <c r="AL151" i="15"/>
  <c r="AN150" i="15"/>
  <c r="AL150" i="15"/>
  <c r="AN149" i="15"/>
  <c r="AM149" i="15" s="1"/>
  <c r="AL149" i="15"/>
  <c r="AN148" i="15"/>
  <c r="AL148" i="15"/>
  <c r="AN147" i="15"/>
  <c r="AM147" i="15" s="1"/>
  <c r="AL147" i="15"/>
  <c r="AN146" i="15"/>
  <c r="AL146" i="15"/>
  <c r="AN145" i="15"/>
  <c r="AM145" i="15" s="1"/>
  <c r="AL145" i="15"/>
  <c r="AN144" i="15"/>
  <c r="AL144" i="15"/>
  <c r="AN143" i="15"/>
  <c r="AM143" i="15" s="1"/>
  <c r="AL143" i="15"/>
  <c r="AN142" i="15"/>
  <c r="AL142" i="15"/>
  <c r="AN141" i="15"/>
  <c r="AM141" i="15" s="1"/>
  <c r="AL141" i="15"/>
  <c r="AN140" i="15"/>
  <c r="AL140" i="15"/>
  <c r="AN139" i="15"/>
  <c r="AM139" i="15" s="1"/>
  <c r="AL139" i="15"/>
  <c r="AN138" i="15"/>
  <c r="AL138" i="15"/>
  <c r="AN137" i="15"/>
  <c r="AM137" i="15" s="1"/>
  <c r="AL137" i="15"/>
  <c r="AN136" i="15"/>
  <c r="AL136" i="15"/>
  <c r="AN135" i="15"/>
  <c r="AM135" i="15" s="1"/>
  <c r="AL135" i="15"/>
  <c r="AN134" i="15"/>
  <c r="AL134" i="15"/>
  <c r="AN133" i="15"/>
  <c r="AM133" i="15" s="1"/>
  <c r="AL133" i="15"/>
  <c r="AN132" i="15"/>
  <c r="AL132" i="15"/>
  <c r="AN131" i="15"/>
  <c r="AM131" i="15" s="1"/>
  <c r="AL131" i="15"/>
  <c r="AN130" i="15"/>
  <c r="AL130" i="15"/>
  <c r="AN129" i="15"/>
  <c r="AM129" i="15" s="1"/>
  <c r="AL129" i="15"/>
  <c r="AN128" i="15"/>
  <c r="AL128" i="15"/>
  <c r="AN127" i="15"/>
  <c r="AM127" i="15" s="1"/>
  <c r="AL127" i="15"/>
  <c r="AN126" i="15"/>
  <c r="AL126" i="15"/>
  <c r="AN125" i="15"/>
  <c r="AM125" i="15" s="1"/>
  <c r="AL125" i="15"/>
  <c r="AN124" i="15"/>
  <c r="AL124" i="15"/>
  <c r="AN123" i="15"/>
  <c r="AM123" i="15" s="1"/>
  <c r="AL123" i="15"/>
  <c r="AN122" i="15"/>
  <c r="AL122" i="15"/>
  <c r="AN121" i="15"/>
  <c r="AM121" i="15" s="1"/>
  <c r="AL121" i="15"/>
  <c r="AN120" i="15"/>
  <c r="AL120" i="15"/>
  <c r="AN119" i="15"/>
  <c r="AM119" i="15" s="1"/>
  <c r="AL119" i="15"/>
  <c r="AN118" i="15"/>
  <c r="AL118" i="15"/>
  <c r="AN117" i="15"/>
  <c r="AM117" i="15" s="1"/>
  <c r="AL117" i="15"/>
  <c r="AN116" i="15"/>
  <c r="AL116" i="15"/>
  <c r="AN115" i="15"/>
  <c r="AM115" i="15" s="1"/>
  <c r="AL115" i="15"/>
  <c r="AN114" i="15"/>
  <c r="AL114" i="15"/>
  <c r="AN113" i="15"/>
  <c r="AM113" i="15" s="1"/>
  <c r="AL113" i="15"/>
  <c r="AN112" i="15"/>
  <c r="AL112" i="15"/>
  <c r="AN111" i="15"/>
  <c r="AM111" i="15" s="1"/>
  <c r="AL111" i="15"/>
  <c r="AN110" i="15"/>
  <c r="AL110" i="15"/>
  <c r="AN109" i="15"/>
  <c r="AM109" i="15" s="1"/>
  <c r="AL109" i="15"/>
  <c r="AN108" i="15"/>
  <c r="AL108" i="15"/>
  <c r="AN107" i="15"/>
  <c r="AM107" i="15" s="1"/>
  <c r="AL107" i="15"/>
  <c r="AN106" i="15"/>
  <c r="AL106" i="15"/>
  <c r="AN105" i="15"/>
  <c r="AM105" i="15" s="1"/>
  <c r="AL105" i="15"/>
  <c r="AN104" i="15"/>
  <c r="AL104" i="15"/>
  <c r="AN103" i="15"/>
  <c r="AM103" i="15" s="1"/>
  <c r="AL103" i="15"/>
  <c r="AN102" i="15"/>
  <c r="AL102" i="15"/>
  <c r="AN101" i="15"/>
  <c r="AM101" i="15" s="1"/>
  <c r="AL101" i="15"/>
  <c r="AN100" i="15"/>
  <c r="AL100" i="15"/>
  <c r="AN99" i="15"/>
  <c r="AM99" i="15" s="1"/>
  <c r="AL99" i="15"/>
  <c r="AN98" i="15"/>
  <c r="AL98" i="15"/>
  <c r="AN97" i="15"/>
  <c r="AM97" i="15" s="1"/>
  <c r="AL97" i="15"/>
  <c r="AN96" i="15"/>
  <c r="AL96" i="15"/>
  <c r="AN95" i="15"/>
  <c r="AM95" i="15" s="1"/>
  <c r="AL95" i="15"/>
  <c r="AN94" i="15"/>
  <c r="AL94" i="15"/>
  <c r="AN93" i="15"/>
  <c r="AM93" i="15" s="1"/>
  <c r="AL93" i="15"/>
  <c r="AN92" i="15"/>
  <c r="AL92" i="15"/>
  <c r="AN91" i="15"/>
  <c r="AM91" i="15" s="1"/>
  <c r="AL91" i="15"/>
  <c r="AN90" i="15"/>
  <c r="AL90" i="15"/>
  <c r="AN89" i="15"/>
  <c r="AM89" i="15" s="1"/>
  <c r="AL89" i="15"/>
  <c r="AN88" i="15"/>
  <c r="AL88" i="15"/>
  <c r="AN87" i="15"/>
  <c r="AM87" i="15" s="1"/>
  <c r="AL87" i="15"/>
  <c r="AN86" i="15"/>
  <c r="AL86" i="15"/>
  <c r="AN85" i="15"/>
  <c r="AM85" i="15" s="1"/>
  <c r="AL85" i="15"/>
  <c r="AN84" i="15"/>
  <c r="AL84" i="15"/>
  <c r="AN83" i="15"/>
  <c r="AM83" i="15" s="1"/>
  <c r="AL83" i="15"/>
  <c r="AN82" i="15"/>
  <c r="AL82" i="15"/>
  <c r="AN81" i="15"/>
  <c r="AM81" i="15" s="1"/>
  <c r="AL81" i="15"/>
  <c r="AN80" i="15"/>
  <c r="AL80" i="15"/>
  <c r="AN79" i="15"/>
  <c r="AM79" i="15" s="1"/>
  <c r="AL79" i="15"/>
  <c r="AN78" i="15"/>
  <c r="AL78" i="15"/>
  <c r="AN77" i="15"/>
  <c r="AM77" i="15" s="1"/>
  <c r="AL77" i="15"/>
  <c r="AN76" i="15"/>
  <c r="AL76" i="15"/>
  <c r="AN75" i="15"/>
  <c r="AM75" i="15" s="1"/>
  <c r="AL75" i="15"/>
  <c r="AN74" i="15"/>
  <c r="AL74" i="15"/>
  <c r="AN73" i="15"/>
  <c r="AM73" i="15" s="1"/>
  <c r="AL73" i="15"/>
  <c r="AN72" i="15"/>
  <c r="AL72" i="15"/>
  <c r="AN71" i="15"/>
  <c r="AM71" i="15" s="1"/>
  <c r="AL71" i="15"/>
  <c r="AN70" i="15"/>
  <c r="AL70" i="15"/>
  <c r="AN69" i="15"/>
  <c r="AM69" i="15" s="1"/>
  <c r="AL69" i="15"/>
  <c r="AN68" i="15"/>
  <c r="AL68" i="15"/>
  <c r="AN67" i="15"/>
  <c r="AM67" i="15" s="1"/>
  <c r="AL67" i="15"/>
  <c r="AN66" i="15"/>
  <c r="AL66" i="15"/>
  <c r="AN65" i="15"/>
  <c r="AM65" i="15" s="1"/>
  <c r="AL65" i="15"/>
  <c r="AN64" i="15"/>
  <c r="AL64" i="15"/>
  <c r="AN63" i="15"/>
  <c r="AM63" i="15" s="1"/>
  <c r="AL63" i="15"/>
  <c r="AN62" i="15"/>
  <c r="AL62" i="15"/>
  <c r="AN61" i="15"/>
  <c r="AM61" i="15" s="1"/>
  <c r="AL61" i="15"/>
  <c r="AN60" i="15"/>
  <c r="AL60" i="15"/>
  <c r="AN59" i="15"/>
  <c r="AM59" i="15" s="1"/>
  <c r="AL59" i="15"/>
  <c r="AN58" i="15"/>
  <c r="AL58" i="15"/>
  <c r="AN57" i="15"/>
  <c r="AM57" i="15" s="1"/>
  <c r="AL57" i="15"/>
  <c r="AN56" i="15"/>
  <c r="AL56" i="15"/>
  <c r="AN55" i="15"/>
  <c r="AM55" i="15" s="1"/>
  <c r="AL55" i="15"/>
  <c r="AN54" i="15"/>
  <c r="AL54" i="15"/>
  <c r="AN53" i="15"/>
  <c r="AM53" i="15" s="1"/>
  <c r="AL53" i="15"/>
  <c r="AN52" i="15"/>
  <c r="AL52" i="15"/>
  <c r="AN51" i="15"/>
  <c r="AM51" i="15" s="1"/>
  <c r="AL51" i="15"/>
  <c r="AN50" i="15"/>
  <c r="AL50" i="15"/>
  <c r="AN49" i="15"/>
  <c r="AM49" i="15" s="1"/>
  <c r="AL49" i="15"/>
  <c r="AN48" i="15"/>
  <c r="AL48" i="15"/>
  <c r="AN47" i="15"/>
  <c r="AM47" i="15" s="1"/>
  <c r="AL47" i="15"/>
  <c r="AN46" i="15"/>
  <c r="AL46" i="15"/>
  <c r="AN45" i="15"/>
  <c r="AM45" i="15" s="1"/>
  <c r="AL45" i="15"/>
  <c r="AN44" i="15"/>
  <c r="AL44" i="15"/>
  <c r="AN43" i="15"/>
  <c r="AM43" i="15" s="1"/>
  <c r="AL43" i="15"/>
  <c r="AN42" i="15"/>
  <c r="AL42" i="15"/>
  <c r="AN41" i="15"/>
  <c r="AM41" i="15" s="1"/>
  <c r="AL41" i="15"/>
  <c r="AN40" i="15"/>
  <c r="AL40" i="15"/>
  <c r="AN39" i="15"/>
  <c r="AM39" i="15" s="1"/>
  <c r="AL39" i="15"/>
  <c r="AN38" i="15"/>
  <c r="AL38" i="15"/>
  <c r="AN37" i="15"/>
  <c r="AM37" i="15" s="1"/>
  <c r="AL37" i="15"/>
  <c r="AN36" i="15"/>
  <c r="AL36" i="15"/>
  <c r="AN35" i="15"/>
  <c r="AM35" i="15" s="1"/>
  <c r="AL35" i="15"/>
  <c r="AN34" i="15"/>
  <c r="AL34" i="15"/>
  <c r="AN33" i="15"/>
  <c r="AM33" i="15" s="1"/>
  <c r="AL33" i="15"/>
  <c r="AN32" i="15"/>
  <c r="AL32" i="15"/>
  <c r="AN31" i="15"/>
  <c r="AM31" i="15" s="1"/>
  <c r="AL31" i="15"/>
  <c r="AN30" i="15"/>
  <c r="AL30" i="15"/>
  <c r="AN29" i="15"/>
  <c r="AM29" i="15" s="1"/>
  <c r="AL29" i="15"/>
  <c r="AN28" i="15"/>
  <c r="AL28" i="15"/>
  <c r="AN27" i="15"/>
  <c r="AM27" i="15" s="1"/>
  <c r="AL27" i="15"/>
  <c r="AN26" i="15"/>
  <c r="AL26" i="15"/>
  <c r="AN25" i="15"/>
  <c r="AM25" i="15" s="1"/>
  <c r="AL25" i="15"/>
  <c r="AN24" i="15"/>
  <c r="AL24" i="15"/>
  <c r="AN23" i="15"/>
  <c r="AM23" i="15" s="1"/>
  <c r="AL23" i="15"/>
  <c r="AN22" i="15"/>
  <c r="AL22" i="15"/>
  <c r="AN21" i="15"/>
  <c r="AM21" i="15" s="1"/>
  <c r="AL21" i="15"/>
  <c r="AN20" i="15"/>
  <c r="AL20" i="15"/>
  <c r="AN19" i="15"/>
  <c r="AM19" i="15" s="1"/>
  <c r="AL19" i="15"/>
  <c r="AN18" i="15"/>
  <c r="AL18" i="15"/>
  <c r="AN17" i="15"/>
  <c r="AM17" i="15" s="1"/>
  <c r="AL17" i="15"/>
  <c r="AN16" i="15"/>
  <c r="AL16" i="15"/>
  <c r="AN15" i="15"/>
  <c r="AM15" i="15" s="1"/>
  <c r="AL15" i="15"/>
  <c r="AN14" i="15"/>
  <c r="AL14" i="15"/>
  <c r="AN13" i="15"/>
  <c r="AM13" i="15" s="1"/>
  <c r="AL13" i="15"/>
  <c r="AN12" i="15"/>
  <c r="AL12" i="15"/>
  <c r="AN11" i="15"/>
  <c r="AM11" i="15" s="1"/>
  <c r="AL11" i="15"/>
  <c r="AN10" i="15"/>
  <c r="AL10" i="15"/>
  <c r="AN9" i="15"/>
  <c r="AM9" i="15" s="1"/>
  <c r="AL9" i="15"/>
  <c r="AN8" i="15"/>
  <c r="AL8" i="15"/>
  <c r="AN7" i="15"/>
  <c r="AM7" i="15" s="1"/>
  <c r="AL7" i="15"/>
  <c r="AN6" i="15"/>
  <c r="AL6" i="15"/>
  <c r="AN5" i="15"/>
  <c r="AM5" i="15" s="1"/>
  <c r="AL5" i="15"/>
  <c r="AN4" i="15"/>
  <c r="AL4" i="15"/>
  <c r="AN3" i="15"/>
  <c r="AM3" i="15" s="1"/>
  <c r="AL3" i="15"/>
  <c r="AK466" i="15"/>
  <c r="AJ466" i="15"/>
  <c r="AK465" i="15"/>
  <c r="AJ465" i="15"/>
  <c r="AK464" i="15"/>
  <c r="AJ464" i="15"/>
  <c r="AK463" i="15"/>
  <c r="AJ463" i="15"/>
  <c r="AK462" i="15"/>
  <c r="AJ462" i="15"/>
  <c r="AK461" i="15"/>
  <c r="AJ461" i="15"/>
  <c r="AK460" i="15"/>
  <c r="AJ460" i="15"/>
  <c r="AK459" i="15"/>
  <c r="AJ459" i="15"/>
  <c r="AK458" i="15"/>
  <c r="AJ458" i="15"/>
  <c r="AK457" i="15"/>
  <c r="AJ457" i="15"/>
  <c r="AK456" i="15"/>
  <c r="AJ456" i="15"/>
  <c r="AK455" i="15"/>
  <c r="AJ455" i="15"/>
  <c r="AK454" i="15"/>
  <c r="AJ454" i="15"/>
  <c r="AK453" i="15"/>
  <c r="AJ453" i="15"/>
  <c r="AK452" i="15"/>
  <c r="AJ452" i="15"/>
  <c r="AK451" i="15"/>
  <c r="AJ451" i="15"/>
  <c r="AK450" i="15"/>
  <c r="AJ450" i="15"/>
  <c r="AK449" i="15"/>
  <c r="AJ449" i="15"/>
  <c r="AK448" i="15"/>
  <c r="AJ448" i="15"/>
  <c r="AK447" i="15"/>
  <c r="AJ447" i="15"/>
  <c r="AK446" i="15"/>
  <c r="AJ446" i="15"/>
  <c r="AK445" i="15"/>
  <c r="AJ445" i="15"/>
  <c r="AK444" i="15"/>
  <c r="AJ444" i="15"/>
  <c r="AK443" i="15"/>
  <c r="AJ443" i="15"/>
  <c r="AK442" i="15"/>
  <c r="AJ442" i="15"/>
  <c r="AK441" i="15"/>
  <c r="AJ441" i="15"/>
  <c r="AK440" i="15"/>
  <c r="AJ440" i="15"/>
  <c r="AK439" i="15"/>
  <c r="AJ439" i="15"/>
  <c r="AK438" i="15"/>
  <c r="AJ438" i="15"/>
  <c r="AK437" i="15"/>
  <c r="AJ437" i="15"/>
  <c r="AK436" i="15"/>
  <c r="AJ436" i="15"/>
  <c r="AK435" i="15"/>
  <c r="AJ435" i="15"/>
  <c r="AK434" i="15"/>
  <c r="AJ434" i="15"/>
  <c r="AK433" i="15"/>
  <c r="AJ433" i="15"/>
  <c r="AK432" i="15"/>
  <c r="AJ432" i="15"/>
  <c r="AK431" i="15"/>
  <c r="AJ431" i="15"/>
  <c r="AK430" i="15"/>
  <c r="AJ430" i="15"/>
  <c r="AK429" i="15"/>
  <c r="AJ429" i="15"/>
  <c r="AK428" i="15"/>
  <c r="AJ428" i="15"/>
  <c r="AK427" i="15"/>
  <c r="AJ427" i="15"/>
  <c r="AK426" i="15"/>
  <c r="AJ426" i="15"/>
  <c r="AK425" i="15"/>
  <c r="AJ425" i="15"/>
  <c r="AK424" i="15"/>
  <c r="AJ424" i="15"/>
  <c r="AK423" i="15"/>
  <c r="AJ423" i="15"/>
  <c r="AK422" i="15"/>
  <c r="AJ422" i="15"/>
  <c r="AK421" i="15"/>
  <c r="AJ421" i="15"/>
  <c r="AK420" i="15"/>
  <c r="AJ420" i="15"/>
  <c r="AK419" i="15"/>
  <c r="AJ419" i="15"/>
  <c r="AK418" i="15"/>
  <c r="AJ418" i="15"/>
  <c r="AK417" i="15"/>
  <c r="AJ417" i="15"/>
  <c r="AK416" i="15"/>
  <c r="AJ416" i="15"/>
  <c r="AK415" i="15"/>
  <c r="AJ415" i="15"/>
  <c r="AK414" i="15"/>
  <c r="AJ414" i="15"/>
  <c r="AK413" i="15"/>
  <c r="AJ413" i="15"/>
  <c r="AK412" i="15"/>
  <c r="AJ412" i="15"/>
  <c r="AK411" i="15"/>
  <c r="AJ411" i="15"/>
  <c r="AK410" i="15"/>
  <c r="AJ410" i="15"/>
  <c r="AK409" i="15"/>
  <c r="AJ409" i="15"/>
  <c r="AK408" i="15"/>
  <c r="AJ408" i="15"/>
  <c r="AK407" i="15"/>
  <c r="AJ407" i="15"/>
  <c r="AK406" i="15"/>
  <c r="AJ406" i="15"/>
  <c r="AK405" i="15"/>
  <c r="AJ405" i="15"/>
  <c r="AK404" i="15"/>
  <c r="AJ404" i="15"/>
  <c r="AK403" i="15"/>
  <c r="AJ403" i="15"/>
  <c r="AK402" i="15"/>
  <c r="AJ402" i="15"/>
  <c r="AK401" i="15"/>
  <c r="AJ401" i="15"/>
  <c r="AK400" i="15"/>
  <c r="AJ400" i="15"/>
  <c r="AK399" i="15"/>
  <c r="AJ399" i="15"/>
  <c r="AK398" i="15"/>
  <c r="AJ398" i="15"/>
  <c r="AK397" i="15"/>
  <c r="AJ397" i="15"/>
  <c r="AK396" i="15"/>
  <c r="AJ396" i="15"/>
  <c r="AK395" i="15"/>
  <c r="AJ395" i="15"/>
  <c r="AK394" i="15"/>
  <c r="AJ394" i="15"/>
  <c r="AK393" i="15"/>
  <c r="AJ393" i="15"/>
  <c r="AK392" i="15"/>
  <c r="AJ392" i="15"/>
  <c r="AK391" i="15"/>
  <c r="AJ391" i="15"/>
  <c r="AK390" i="15"/>
  <c r="AJ390" i="15"/>
  <c r="AK389" i="15"/>
  <c r="AJ389" i="15"/>
  <c r="AK388" i="15"/>
  <c r="AJ388" i="15"/>
  <c r="AK387" i="15"/>
  <c r="AJ387" i="15"/>
  <c r="AK386" i="15"/>
  <c r="AJ386" i="15"/>
  <c r="AK385" i="15"/>
  <c r="AJ385" i="15"/>
  <c r="AK384" i="15"/>
  <c r="AJ384" i="15"/>
  <c r="AK383" i="15"/>
  <c r="AJ383" i="15"/>
  <c r="AK382" i="15"/>
  <c r="AJ382" i="15"/>
  <c r="AK381" i="15"/>
  <c r="AJ381" i="15"/>
  <c r="AK380" i="15"/>
  <c r="AJ380" i="15"/>
  <c r="AK379" i="15"/>
  <c r="AJ379" i="15"/>
  <c r="AK378" i="15"/>
  <c r="AJ378" i="15"/>
  <c r="AK377" i="15"/>
  <c r="AJ377" i="15"/>
  <c r="AK376" i="15"/>
  <c r="AJ376" i="15"/>
  <c r="AK375" i="15"/>
  <c r="AJ375" i="15"/>
  <c r="AK374" i="15"/>
  <c r="AJ374" i="15"/>
  <c r="AK373" i="15"/>
  <c r="AJ373" i="15"/>
  <c r="AK372" i="15"/>
  <c r="AJ372" i="15"/>
  <c r="AK371" i="15"/>
  <c r="AJ371" i="15"/>
  <c r="AK370" i="15"/>
  <c r="AJ370" i="15"/>
  <c r="AK369" i="15"/>
  <c r="AJ369" i="15"/>
  <c r="AK368" i="15"/>
  <c r="AJ368" i="15"/>
  <c r="AK367" i="15"/>
  <c r="AJ367" i="15"/>
  <c r="AK366" i="15"/>
  <c r="AJ366" i="15"/>
  <c r="AK365" i="15"/>
  <c r="AJ365" i="15"/>
  <c r="AK364" i="15"/>
  <c r="AJ364" i="15"/>
  <c r="AK363" i="15"/>
  <c r="AJ363" i="15"/>
  <c r="AK362" i="15"/>
  <c r="AJ362" i="15"/>
  <c r="AK361" i="15"/>
  <c r="AJ361" i="15"/>
  <c r="AK360" i="15"/>
  <c r="AJ360" i="15"/>
  <c r="AK359" i="15"/>
  <c r="AJ359" i="15"/>
  <c r="AK358" i="15"/>
  <c r="AJ358" i="15"/>
  <c r="AK357" i="15"/>
  <c r="AJ357" i="15"/>
  <c r="AK356" i="15"/>
  <c r="AJ356" i="15"/>
  <c r="AK355" i="15"/>
  <c r="AJ355" i="15"/>
  <c r="AK354" i="15"/>
  <c r="AJ354" i="15"/>
  <c r="AK353" i="15"/>
  <c r="AJ353" i="15"/>
  <c r="AK352" i="15"/>
  <c r="AJ352" i="15"/>
  <c r="AK351" i="15"/>
  <c r="AJ351" i="15"/>
  <c r="AK350" i="15"/>
  <c r="AJ350" i="15"/>
  <c r="AK349" i="15"/>
  <c r="AJ349" i="15"/>
  <c r="AK348" i="15"/>
  <c r="AJ348" i="15"/>
  <c r="AK347" i="15"/>
  <c r="AJ347" i="15"/>
  <c r="AK346" i="15"/>
  <c r="AJ346" i="15"/>
  <c r="AK345" i="15"/>
  <c r="AJ345" i="15"/>
  <c r="AK344" i="15"/>
  <c r="AJ344" i="15"/>
  <c r="AK343" i="15"/>
  <c r="AJ343" i="15"/>
  <c r="AK342" i="15"/>
  <c r="AJ342" i="15"/>
  <c r="AK341" i="15"/>
  <c r="AJ341" i="15"/>
  <c r="AK340" i="15"/>
  <c r="AJ340" i="15"/>
  <c r="AK339" i="15"/>
  <c r="AJ339" i="15"/>
  <c r="AK338" i="15"/>
  <c r="AJ338" i="15"/>
  <c r="AK337" i="15"/>
  <c r="AJ337" i="15"/>
  <c r="AK336" i="15"/>
  <c r="AJ336" i="15"/>
  <c r="AK335" i="15"/>
  <c r="AJ335" i="15"/>
  <c r="AK334" i="15"/>
  <c r="AJ334" i="15"/>
  <c r="AK333" i="15"/>
  <c r="AJ333" i="15"/>
  <c r="AK332" i="15"/>
  <c r="AJ332" i="15"/>
  <c r="AK331" i="15"/>
  <c r="AJ331" i="15"/>
  <c r="AK330" i="15"/>
  <c r="AJ330" i="15"/>
  <c r="AK329" i="15"/>
  <c r="AJ329" i="15"/>
  <c r="AK328" i="15"/>
  <c r="AJ328" i="15"/>
  <c r="AK327" i="15"/>
  <c r="AJ327" i="15"/>
  <c r="AK326" i="15"/>
  <c r="AJ326" i="15"/>
  <c r="AK325" i="15"/>
  <c r="AJ325" i="15"/>
  <c r="AK324" i="15"/>
  <c r="AJ324" i="15"/>
  <c r="AK323" i="15"/>
  <c r="AJ323" i="15"/>
  <c r="AK322" i="15"/>
  <c r="AJ322" i="15"/>
  <c r="AK321" i="15"/>
  <c r="AJ321" i="15"/>
  <c r="AK320" i="15"/>
  <c r="AJ320" i="15"/>
  <c r="AK319" i="15"/>
  <c r="AJ319" i="15"/>
  <c r="AK318" i="15"/>
  <c r="AJ318" i="15"/>
  <c r="AK317" i="15"/>
  <c r="AJ317" i="15"/>
  <c r="AK316" i="15"/>
  <c r="AJ316" i="15"/>
  <c r="AK315" i="15"/>
  <c r="AJ315" i="15"/>
  <c r="AK314" i="15"/>
  <c r="AJ314" i="15"/>
  <c r="AK313" i="15"/>
  <c r="AJ313" i="15"/>
  <c r="AK312" i="15"/>
  <c r="AJ312" i="15"/>
  <c r="AK311" i="15"/>
  <c r="AJ311" i="15"/>
  <c r="AK310" i="15"/>
  <c r="AJ310" i="15"/>
  <c r="AK309" i="15"/>
  <c r="AJ309" i="15"/>
  <c r="AK308" i="15"/>
  <c r="AJ308" i="15"/>
  <c r="AK307" i="15"/>
  <c r="AJ307" i="15"/>
  <c r="AK306" i="15"/>
  <c r="AJ306" i="15"/>
  <c r="AK305" i="15"/>
  <c r="AJ305" i="15"/>
  <c r="AK304" i="15"/>
  <c r="AJ304" i="15"/>
  <c r="AK303" i="15"/>
  <c r="AJ303" i="15"/>
  <c r="AK302" i="15"/>
  <c r="AJ302" i="15"/>
  <c r="AK301" i="15"/>
  <c r="AJ301" i="15"/>
  <c r="AK300" i="15"/>
  <c r="AJ300" i="15"/>
  <c r="AK299" i="15"/>
  <c r="AJ299" i="15"/>
  <c r="AK298" i="15"/>
  <c r="AJ298" i="15"/>
  <c r="AK297" i="15"/>
  <c r="AJ297" i="15"/>
  <c r="AK296" i="15"/>
  <c r="AJ296" i="15"/>
  <c r="AK295" i="15"/>
  <c r="AJ295" i="15"/>
  <c r="AK294" i="15"/>
  <c r="AJ294" i="15"/>
  <c r="AK293" i="15"/>
  <c r="AJ293" i="15"/>
  <c r="AK292" i="15"/>
  <c r="AJ292" i="15"/>
  <c r="AK291" i="15"/>
  <c r="AJ291" i="15"/>
  <c r="AK290" i="15"/>
  <c r="AJ290" i="15"/>
  <c r="AK289" i="15"/>
  <c r="AJ289" i="15"/>
  <c r="AK288" i="15"/>
  <c r="AJ288" i="15"/>
  <c r="AK287" i="15"/>
  <c r="AJ287" i="15"/>
  <c r="AK286" i="15"/>
  <c r="AJ286" i="15"/>
  <c r="AK285" i="15"/>
  <c r="AJ285" i="15"/>
  <c r="AK284" i="15"/>
  <c r="AJ284" i="15"/>
  <c r="AK283" i="15"/>
  <c r="AJ283" i="15"/>
  <c r="AK282" i="15"/>
  <c r="AJ282" i="15"/>
  <c r="AK281" i="15"/>
  <c r="AJ281" i="15"/>
  <c r="AK280" i="15"/>
  <c r="AJ280" i="15"/>
  <c r="AK279" i="15"/>
  <c r="AJ279" i="15"/>
  <c r="AK278" i="15"/>
  <c r="AJ278" i="15"/>
  <c r="AK277" i="15"/>
  <c r="AJ277" i="15"/>
  <c r="AK276" i="15"/>
  <c r="AJ276" i="15"/>
  <c r="AK275" i="15"/>
  <c r="AJ275" i="15"/>
  <c r="AK274" i="15"/>
  <c r="AJ274" i="15"/>
  <c r="AK273" i="15"/>
  <c r="AJ273" i="15"/>
  <c r="AK272" i="15"/>
  <c r="AJ272" i="15"/>
  <c r="AK271" i="15"/>
  <c r="AJ271" i="15"/>
  <c r="AK270" i="15"/>
  <c r="AJ270" i="15"/>
  <c r="AK269" i="15"/>
  <c r="AJ269" i="15"/>
  <c r="AK268" i="15"/>
  <c r="AJ268" i="15"/>
  <c r="AK267" i="15"/>
  <c r="AJ267" i="15"/>
  <c r="AK266" i="15"/>
  <c r="AJ266" i="15"/>
  <c r="AK265" i="15"/>
  <c r="AJ265" i="15"/>
  <c r="AK264" i="15"/>
  <c r="AJ264" i="15"/>
  <c r="AK263" i="15"/>
  <c r="AJ263" i="15"/>
  <c r="AK262" i="15"/>
  <c r="AJ262" i="15"/>
  <c r="AK261" i="15"/>
  <c r="AJ261" i="15"/>
  <c r="AK260" i="15"/>
  <c r="AJ260" i="15"/>
  <c r="AK259" i="15"/>
  <c r="AJ259" i="15"/>
  <c r="AK258" i="15"/>
  <c r="AJ258" i="15"/>
  <c r="AK257" i="15"/>
  <c r="AJ257" i="15"/>
  <c r="AK256" i="15"/>
  <c r="AJ256" i="15"/>
  <c r="AK255" i="15"/>
  <c r="AJ255" i="15"/>
  <c r="AK254" i="15"/>
  <c r="AJ254" i="15"/>
  <c r="AK253" i="15"/>
  <c r="AJ253" i="15"/>
  <c r="AK252" i="15"/>
  <c r="AJ252" i="15"/>
  <c r="AK251" i="15"/>
  <c r="AJ251" i="15"/>
  <c r="AK250" i="15"/>
  <c r="AJ250" i="15"/>
  <c r="AK249" i="15"/>
  <c r="AJ249" i="15"/>
  <c r="AK248" i="15"/>
  <c r="AJ248" i="15"/>
  <c r="AK247" i="15"/>
  <c r="AJ247" i="15"/>
  <c r="AK246" i="15"/>
  <c r="AJ246" i="15"/>
  <c r="AK245" i="15"/>
  <c r="AJ245" i="15"/>
  <c r="AK244" i="15"/>
  <c r="AJ244" i="15"/>
  <c r="AK243" i="15"/>
  <c r="AJ243" i="15"/>
  <c r="AK242" i="15"/>
  <c r="AJ242" i="15"/>
  <c r="AK241" i="15"/>
  <c r="AJ241" i="15"/>
  <c r="AK240" i="15"/>
  <c r="AJ240" i="15"/>
  <c r="AK239" i="15"/>
  <c r="AJ239" i="15"/>
  <c r="AK238" i="15"/>
  <c r="AJ238" i="15"/>
  <c r="AK237" i="15"/>
  <c r="AJ237" i="15"/>
  <c r="AK236" i="15"/>
  <c r="AJ236" i="15"/>
  <c r="AK235" i="15"/>
  <c r="AJ235" i="15"/>
  <c r="AK234" i="15"/>
  <c r="AJ234" i="15"/>
  <c r="AK233" i="15"/>
  <c r="AJ233" i="15"/>
  <c r="AK232" i="15"/>
  <c r="AJ232" i="15"/>
  <c r="AK231" i="15"/>
  <c r="AJ231" i="15"/>
  <c r="AK230" i="15"/>
  <c r="AJ230" i="15"/>
  <c r="AK229" i="15"/>
  <c r="AJ229" i="15"/>
  <c r="AK228" i="15"/>
  <c r="AJ228" i="15"/>
  <c r="AK227" i="15"/>
  <c r="AJ227" i="15"/>
  <c r="AK226" i="15"/>
  <c r="AJ226" i="15"/>
  <c r="AK225" i="15"/>
  <c r="AJ225" i="15"/>
  <c r="AK224" i="15"/>
  <c r="AJ224" i="15"/>
  <c r="AK223" i="15"/>
  <c r="AJ223" i="15"/>
  <c r="AK222" i="15"/>
  <c r="AJ222" i="15"/>
  <c r="AK221" i="15"/>
  <c r="AJ221" i="15"/>
  <c r="AK220" i="15"/>
  <c r="AJ220" i="15"/>
  <c r="AK219" i="15"/>
  <c r="AJ219" i="15"/>
  <c r="AK218" i="15"/>
  <c r="AJ218" i="15"/>
  <c r="AK217" i="15"/>
  <c r="AJ217" i="15"/>
  <c r="AK216" i="15"/>
  <c r="AJ216" i="15"/>
  <c r="AK215" i="15"/>
  <c r="AJ215" i="15"/>
  <c r="AK214" i="15"/>
  <c r="AJ214" i="15"/>
  <c r="AK213" i="15"/>
  <c r="AJ213" i="15"/>
  <c r="AK212" i="15"/>
  <c r="AJ212" i="15"/>
  <c r="AK211" i="15"/>
  <c r="AJ211" i="15"/>
  <c r="AK210" i="15"/>
  <c r="AJ210" i="15"/>
  <c r="AK209" i="15"/>
  <c r="AJ209" i="15"/>
  <c r="AK208" i="15"/>
  <c r="AJ208" i="15"/>
  <c r="AK207" i="15"/>
  <c r="AJ207" i="15"/>
  <c r="AK206" i="15"/>
  <c r="AJ206" i="15"/>
  <c r="AK205" i="15"/>
  <c r="AJ205" i="15"/>
  <c r="AK204" i="15"/>
  <c r="AJ204" i="15"/>
  <c r="AK203" i="15"/>
  <c r="AJ203" i="15"/>
  <c r="AK202" i="15"/>
  <c r="AJ202" i="15"/>
  <c r="AK201" i="15"/>
  <c r="AJ201" i="15"/>
  <c r="AK200" i="15"/>
  <c r="AJ200" i="15"/>
  <c r="AK199" i="15"/>
  <c r="AJ199" i="15"/>
  <c r="AK198" i="15"/>
  <c r="AJ198" i="15"/>
  <c r="AK197" i="15"/>
  <c r="AJ197" i="15"/>
  <c r="AK196" i="15"/>
  <c r="AJ196" i="15"/>
  <c r="AK195" i="15"/>
  <c r="AJ195" i="15"/>
  <c r="AK194" i="15"/>
  <c r="AJ194" i="15"/>
  <c r="AK193" i="15"/>
  <c r="AJ193" i="15"/>
  <c r="AK192" i="15"/>
  <c r="AJ192" i="15"/>
  <c r="AK191" i="15"/>
  <c r="AJ191" i="15"/>
  <c r="AK190" i="15"/>
  <c r="AJ190" i="15"/>
  <c r="AK189" i="15"/>
  <c r="AJ189" i="15"/>
  <c r="AK188" i="15"/>
  <c r="AJ188" i="15"/>
  <c r="AK187" i="15"/>
  <c r="AJ187" i="15"/>
  <c r="AK186" i="15"/>
  <c r="AJ186" i="15"/>
  <c r="AK185" i="15"/>
  <c r="AJ185" i="15"/>
  <c r="AK184" i="15"/>
  <c r="AJ184" i="15"/>
  <c r="AK183" i="15"/>
  <c r="AJ183" i="15"/>
  <c r="AK182" i="15"/>
  <c r="AJ182" i="15"/>
  <c r="AK181" i="15"/>
  <c r="AJ181" i="15"/>
  <c r="AK180" i="15"/>
  <c r="AJ180" i="15"/>
  <c r="AK179" i="15"/>
  <c r="AJ179" i="15"/>
  <c r="AK178" i="15"/>
  <c r="AJ178" i="15"/>
  <c r="AK177" i="15"/>
  <c r="AJ177" i="15"/>
  <c r="AK176" i="15"/>
  <c r="AJ176" i="15"/>
  <c r="AK175" i="15"/>
  <c r="AJ175" i="15"/>
  <c r="AK174" i="15"/>
  <c r="AJ174" i="15"/>
  <c r="AK173" i="15"/>
  <c r="AJ173" i="15"/>
  <c r="AK172" i="15"/>
  <c r="AJ172" i="15"/>
  <c r="AK171" i="15"/>
  <c r="AJ171" i="15"/>
  <c r="AK170" i="15"/>
  <c r="AJ170" i="15"/>
  <c r="AK169" i="15"/>
  <c r="AJ169" i="15"/>
  <c r="AK168" i="15"/>
  <c r="AJ168" i="15"/>
  <c r="AK167" i="15"/>
  <c r="AJ167" i="15"/>
  <c r="AK166" i="15"/>
  <c r="AJ166" i="15"/>
  <c r="AK165" i="15"/>
  <c r="AJ165" i="15"/>
  <c r="AK164" i="15"/>
  <c r="AJ164" i="15"/>
  <c r="AK163" i="15"/>
  <c r="AJ163" i="15"/>
  <c r="AK162" i="15"/>
  <c r="AJ162" i="15"/>
  <c r="AK161" i="15"/>
  <c r="AJ161" i="15"/>
  <c r="AK160" i="15"/>
  <c r="AJ160" i="15"/>
  <c r="AK159" i="15"/>
  <c r="AJ159" i="15"/>
  <c r="AK158" i="15"/>
  <c r="AJ158" i="15"/>
  <c r="AK157" i="15"/>
  <c r="AJ157" i="15"/>
  <c r="AK156" i="15"/>
  <c r="AJ156" i="15"/>
  <c r="AK155" i="15"/>
  <c r="AJ155" i="15"/>
  <c r="AK154" i="15"/>
  <c r="AJ154" i="15"/>
  <c r="AK153" i="15"/>
  <c r="AJ153" i="15"/>
  <c r="AK152" i="15"/>
  <c r="AJ152" i="15"/>
  <c r="AK151" i="15"/>
  <c r="AJ151" i="15"/>
  <c r="AK150" i="15"/>
  <c r="AJ150" i="15"/>
  <c r="AK149" i="15"/>
  <c r="AJ149" i="15"/>
  <c r="AK148" i="15"/>
  <c r="AJ148" i="15"/>
  <c r="AK147" i="15"/>
  <c r="AJ147" i="15"/>
  <c r="AK146" i="15"/>
  <c r="AJ146" i="15"/>
  <c r="AK145" i="15"/>
  <c r="AJ145" i="15"/>
  <c r="AK144" i="15"/>
  <c r="AJ144" i="15"/>
  <c r="AK143" i="15"/>
  <c r="AJ143" i="15"/>
  <c r="AK142" i="15"/>
  <c r="AJ142" i="15"/>
  <c r="AK141" i="15"/>
  <c r="AJ141" i="15"/>
  <c r="AK140" i="15"/>
  <c r="AJ140" i="15"/>
  <c r="AK139" i="15"/>
  <c r="AJ139" i="15"/>
  <c r="AK138" i="15"/>
  <c r="AJ138" i="15"/>
  <c r="AK137" i="15"/>
  <c r="AJ137" i="15"/>
  <c r="AK136" i="15"/>
  <c r="AJ136" i="15"/>
  <c r="AK135" i="15"/>
  <c r="AJ135" i="15"/>
  <c r="AK134" i="15"/>
  <c r="AJ134" i="15"/>
  <c r="AK133" i="15"/>
  <c r="AJ133" i="15"/>
  <c r="AK132" i="15"/>
  <c r="AJ132" i="15"/>
  <c r="AK131" i="15"/>
  <c r="AJ131" i="15"/>
  <c r="AK130" i="15"/>
  <c r="AJ130" i="15"/>
  <c r="AK129" i="15"/>
  <c r="AJ129" i="15"/>
  <c r="AK128" i="15"/>
  <c r="AJ128" i="15"/>
  <c r="AK127" i="15"/>
  <c r="AJ127" i="15"/>
  <c r="AK126" i="15"/>
  <c r="AJ126" i="15"/>
  <c r="AK125" i="15"/>
  <c r="AJ125" i="15"/>
  <c r="AK124" i="15"/>
  <c r="AJ124" i="15"/>
  <c r="AK123" i="15"/>
  <c r="AJ123" i="15"/>
  <c r="AK122" i="15"/>
  <c r="AJ122" i="15"/>
  <c r="AK121" i="15"/>
  <c r="AJ121" i="15"/>
  <c r="AK120" i="15"/>
  <c r="AJ120" i="15"/>
  <c r="AK119" i="15"/>
  <c r="AJ119" i="15"/>
  <c r="AK118" i="15"/>
  <c r="AJ118" i="15"/>
  <c r="AK117" i="15"/>
  <c r="AJ117" i="15"/>
  <c r="AK116" i="15"/>
  <c r="AJ116" i="15"/>
  <c r="AK115" i="15"/>
  <c r="AJ115" i="15"/>
  <c r="AK114" i="15"/>
  <c r="AJ114" i="15"/>
  <c r="AK113" i="15"/>
  <c r="AJ113" i="15"/>
  <c r="AK112" i="15"/>
  <c r="AJ112" i="15"/>
  <c r="AK111" i="15"/>
  <c r="AJ111" i="15"/>
  <c r="AK110" i="15"/>
  <c r="AJ110" i="15"/>
  <c r="AK109" i="15"/>
  <c r="AJ109" i="15"/>
  <c r="AK108" i="15"/>
  <c r="AJ108" i="15"/>
  <c r="AK107" i="15"/>
  <c r="AJ107" i="15"/>
  <c r="AK106" i="15"/>
  <c r="AJ106" i="15"/>
  <c r="AK105" i="15"/>
  <c r="AJ105" i="15"/>
  <c r="AK104" i="15"/>
  <c r="AJ104" i="15"/>
  <c r="AK103" i="15"/>
  <c r="AJ103" i="15"/>
  <c r="AK102" i="15"/>
  <c r="AJ102" i="15"/>
  <c r="AK101" i="15"/>
  <c r="AJ101" i="15"/>
  <c r="AK100" i="15"/>
  <c r="AJ100" i="15"/>
  <c r="AK99" i="15"/>
  <c r="AJ99" i="15"/>
  <c r="AK98" i="15"/>
  <c r="AJ98" i="15"/>
  <c r="AK97" i="15"/>
  <c r="AJ97" i="15"/>
  <c r="AK96" i="15"/>
  <c r="AJ96" i="15"/>
  <c r="AK95" i="15"/>
  <c r="AJ95" i="15"/>
  <c r="AK94" i="15"/>
  <c r="AJ94" i="15"/>
  <c r="AK93" i="15"/>
  <c r="AJ93" i="15"/>
  <c r="AK92" i="15"/>
  <c r="AJ92" i="15"/>
  <c r="AK91" i="15"/>
  <c r="AJ91" i="15"/>
  <c r="AK90" i="15"/>
  <c r="AJ90" i="15"/>
  <c r="AK89" i="15"/>
  <c r="AJ89" i="15"/>
  <c r="AK88" i="15"/>
  <c r="AJ88" i="15"/>
  <c r="AK87" i="15"/>
  <c r="AJ87" i="15"/>
  <c r="AK86" i="15"/>
  <c r="AJ86" i="15"/>
  <c r="AK85" i="15"/>
  <c r="AJ85" i="15"/>
  <c r="AK84" i="15"/>
  <c r="AJ84" i="15"/>
  <c r="AK83" i="15"/>
  <c r="AJ83" i="15"/>
  <c r="AK82" i="15"/>
  <c r="AJ82" i="15"/>
  <c r="AK81" i="15"/>
  <c r="AJ81" i="15"/>
  <c r="AK80" i="15"/>
  <c r="AJ80" i="15"/>
  <c r="AK79" i="15"/>
  <c r="AJ79" i="15"/>
  <c r="AK78" i="15"/>
  <c r="AJ78" i="15"/>
  <c r="AK77" i="15"/>
  <c r="AJ77" i="15"/>
  <c r="AK76" i="15"/>
  <c r="AJ76" i="15"/>
  <c r="AK75" i="15"/>
  <c r="AJ75" i="15"/>
  <c r="AK74" i="15"/>
  <c r="AJ74" i="15"/>
  <c r="AK73" i="15"/>
  <c r="AJ73" i="15"/>
  <c r="AK72" i="15"/>
  <c r="AJ72" i="15"/>
  <c r="AK71" i="15"/>
  <c r="AJ71" i="15"/>
  <c r="AK70" i="15"/>
  <c r="AJ70" i="15"/>
  <c r="AK69" i="15"/>
  <c r="AJ69" i="15"/>
  <c r="AK68" i="15"/>
  <c r="AJ68" i="15"/>
  <c r="AK67" i="15"/>
  <c r="AJ67" i="15"/>
  <c r="AK66" i="15"/>
  <c r="AJ66" i="15"/>
  <c r="AK65" i="15"/>
  <c r="AJ65" i="15"/>
  <c r="AK64" i="15"/>
  <c r="AJ64" i="15"/>
  <c r="AK63" i="15"/>
  <c r="AJ63" i="15"/>
  <c r="AK62" i="15"/>
  <c r="AJ62" i="15"/>
  <c r="AK61" i="15"/>
  <c r="AJ61" i="15"/>
  <c r="AK60" i="15"/>
  <c r="AJ60" i="15"/>
  <c r="AK59" i="15"/>
  <c r="AJ59" i="15"/>
  <c r="AK58" i="15"/>
  <c r="AJ58" i="15"/>
  <c r="AK57" i="15"/>
  <c r="AJ57" i="15"/>
  <c r="AK56" i="15"/>
  <c r="AJ56" i="15"/>
  <c r="AK55" i="15"/>
  <c r="AJ55" i="15"/>
  <c r="AK54" i="15"/>
  <c r="AJ54" i="15"/>
  <c r="AK53" i="15"/>
  <c r="AJ53" i="15"/>
  <c r="AK52" i="15"/>
  <c r="AJ52" i="15"/>
  <c r="AK51" i="15"/>
  <c r="AJ51" i="15"/>
  <c r="AK50" i="15"/>
  <c r="AJ50" i="15"/>
  <c r="AK49" i="15"/>
  <c r="AJ49" i="15"/>
  <c r="AK48" i="15"/>
  <c r="AJ48" i="15"/>
  <c r="AK47" i="15"/>
  <c r="AJ47" i="15"/>
  <c r="AK46" i="15"/>
  <c r="AJ46" i="15"/>
  <c r="AK45" i="15"/>
  <c r="AJ45" i="15"/>
  <c r="AK44" i="15"/>
  <c r="AJ44" i="15"/>
  <c r="AK43" i="15"/>
  <c r="AJ43" i="15"/>
  <c r="AK42" i="15"/>
  <c r="AJ42" i="15"/>
  <c r="AK41" i="15"/>
  <c r="AJ41" i="15"/>
  <c r="AK40" i="15"/>
  <c r="AJ40" i="15"/>
  <c r="AK39" i="15"/>
  <c r="AJ39" i="15"/>
  <c r="AK38" i="15"/>
  <c r="AJ38" i="15"/>
  <c r="AK37" i="15"/>
  <c r="AJ37" i="15"/>
  <c r="AK36" i="15"/>
  <c r="AJ36" i="15"/>
  <c r="AK35" i="15"/>
  <c r="AJ35" i="15"/>
  <c r="AK34" i="15"/>
  <c r="AJ34" i="15"/>
  <c r="AK33" i="15"/>
  <c r="AJ33" i="15"/>
  <c r="AK32" i="15"/>
  <c r="AJ32" i="15"/>
  <c r="AK31" i="15"/>
  <c r="AJ31" i="15"/>
  <c r="AK30" i="15"/>
  <c r="AJ30" i="15"/>
  <c r="AK29" i="15"/>
  <c r="AJ29" i="15"/>
  <c r="AK28" i="15"/>
  <c r="AJ28" i="15"/>
  <c r="AK27" i="15"/>
  <c r="AJ27" i="15"/>
  <c r="AK26" i="15"/>
  <c r="AJ26" i="15"/>
  <c r="AK25" i="15"/>
  <c r="AJ25" i="15"/>
  <c r="AK24" i="15"/>
  <c r="AJ24" i="15"/>
  <c r="AK23" i="15"/>
  <c r="AJ23" i="15"/>
  <c r="AK22" i="15"/>
  <c r="AJ22" i="15"/>
  <c r="AK21" i="15"/>
  <c r="AJ21" i="15"/>
  <c r="AK20" i="15"/>
  <c r="AJ20" i="15"/>
  <c r="AK19" i="15"/>
  <c r="AJ19" i="15"/>
  <c r="AK18" i="15"/>
  <c r="AJ18" i="15"/>
  <c r="AK17" i="15"/>
  <c r="AJ17" i="15"/>
  <c r="AK16" i="15"/>
  <c r="AJ16" i="15"/>
  <c r="AK15" i="15"/>
  <c r="AJ15" i="15"/>
  <c r="AK14" i="15"/>
  <c r="AJ14" i="15"/>
  <c r="AK13" i="15"/>
  <c r="AJ13" i="15"/>
  <c r="AK12" i="15"/>
  <c r="AJ12" i="15"/>
  <c r="AK11" i="15"/>
  <c r="AJ11" i="15"/>
  <c r="AK10" i="15"/>
  <c r="AJ10" i="15"/>
  <c r="AK9" i="15"/>
  <c r="AJ9" i="15"/>
  <c r="AK8" i="15"/>
  <c r="AJ8" i="15"/>
  <c r="AK7" i="15"/>
  <c r="AJ7" i="15"/>
  <c r="AK6" i="15"/>
  <c r="AJ6" i="15"/>
  <c r="AK5" i="15"/>
  <c r="AJ5" i="15"/>
  <c r="AK4" i="15"/>
  <c r="AJ4" i="15"/>
  <c r="AK3" i="15"/>
  <c r="AJ3" i="15"/>
  <c r="AM12" i="15" l="1"/>
  <c r="AM30" i="15"/>
  <c r="AM60" i="15"/>
  <c r="AM78" i="15"/>
  <c r="AM96" i="15"/>
  <c r="AM114" i="15"/>
  <c r="AM132" i="15"/>
  <c r="AM150" i="15"/>
  <c r="AM168" i="15"/>
  <c r="AM186" i="15"/>
  <c r="AM210" i="15"/>
  <c r="AM228" i="15"/>
  <c r="AM246" i="15"/>
  <c r="AM264" i="15"/>
  <c r="AM282" i="15"/>
  <c r="AM300" i="15"/>
  <c r="AM318" i="15"/>
  <c r="AM336" i="15"/>
  <c r="AM354" i="15"/>
  <c r="AM372" i="15"/>
  <c r="AM390" i="15"/>
  <c r="AM408" i="15"/>
  <c r="AM791" i="15"/>
  <c r="AM18" i="15"/>
  <c r="AM36" i="15"/>
  <c r="AM48" i="15"/>
  <c r="AM66" i="15"/>
  <c r="AM84" i="15"/>
  <c r="AM102" i="15"/>
  <c r="AM126" i="15"/>
  <c r="AM144" i="15"/>
  <c r="AM162" i="15"/>
  <c r="AM180" i="15"/>
  <c r="AM198" i="15"/>
  <c r="AM216" i="15"/>
  <c r="AM234" i="15"/>
  <c r="AM252" i="15"/>
  <c r="AM270" i="15"/>
  <c r="AM288" i="15"/>
  <c r="AM306" i="15"/>
  <c r="AM324" i="15"/>
  <c r="AM342" i="15"/>
  <c r="AM360" i="15"/>
  <c r="AM378" i="15"/>
  <c r="AM396" i="15"/>
  <c r="AM414" i="15"/>
  <c r="AM6" i="15"/>
  <c r="AM24" i="15"/>
  <c r="AM42" i="15"/>
  <c r="AM54" i="15"/>
  <c r="AM72" i="15"/>
  <c r="AM90" i="15"/>
  <c r="AM108" i="15"/>
  <c r="AM120" i="15"/>
  <c r="AM138" i="15"/>
  <c r="AM156" i="15"/>
  <c r="AM174" i="15"/>
  <c r="AM192" i="15"/>
  <c r="AM204" i="15"/>
  <c r="AM222" i="15"/>
  <c r="AM240" i="15"/>
  <c r="AM258" i="15"/>
  <c r="AM276" i="15"/>
  <c r="AM294" i="15"/>
  <c r="AM312" i="15"/>
  <c r="AM330" i="15"/>
  <c r="AM348" i="15"/>
  <c r="AM366" i="15"/>
  <c r="AM384" i="15"/>
  <c r="AM402" i="15"/>
  <c r="AM420" i="15"/>
  <c r="AM331" i="15"/>
  <c r="AM337" i="15"/>
  <c r="AM343" i="15"/>
  <c r="AM421" i="15"/>
  <c r="AM427" i="15"/>
  <c r="AM433" i="15"/>
  <c r="AM457" i="15"/>
  <c r="AM463" i="15"/>
  <c r="AM8" i="15"/>
  <c r="AM38" i="15"/>
  <c r="AM56" i="15"/>
  <c r="AM74" i="15"/>
  <c r="AM98" i="15"/>
  <c r="AM122" i="15"/>
  <c r="AM140" i="15"/>
  <c r="AM164" i="15"/>
  <c r="AM188" i="15"/>
  <c r="AM206" i="15"/>
  <c r="AM230" i="15"/>
  <c r="AM248" i="15"/>
  <c r="AM266" i="15"/>
  <c r="AM284" i="15"/>
  <c r="AM314" i="15"/>
  <c r="AM332" i="15"/>
  <c r="AM14" i="15"/>
  <c r="AM26" i="15"/>
  <c r="AM44" i="15"/>
  <c r="AM62" i="15"/>
  <c r="AM80" i="15"/>
  <c r="AM92" i="15"/>
  <c r="AM110" i="15"/>
  <c r="AM134" i="15"/>
  <c r="AM152" i="15"/>
  <c r="AM170" i="15"/>
  <c r="AM182" i="15"/>
  <c r="AM200" i="15"/>
  <c r="AM218" i="15"/>
  <c r="AM236" i="15"/>
  <c r="AM254" i="15"/>
  <c r="AM272" i="15"/>
  <c r="AM290" i="15"/>
  <c r="AM308" i="15"/>
  <c r="AM326" i="15"/>
  <c r="AM344" i="15"/>
  <c r="AM20" i="15"/>
  <c r="AM32" i="15"/>
  <c r="AM50" i="15"/>
  <c r="AM68" i="15"/>
  <c r="AM86" i="15"/>
  <c r="AM104" i="15"/>
  <c r="AM116" i="15"/>
  <c r="AM128" i="15"/>
  <c r="AM146" i="15"/>
  <c r="AM158" i="15"/>
  <c r="AM176" i="15"/>
  <c r="AM194" i="15"/>
  <c r="AM212" i="15"/>
  <c r="AM224" i="15"/>
  <c r="AM242" i="15"/>
  <c r="AM260" i="15"/>
  <c r="AM278" i="15"/>
  <c r="AM296" i="15"/>
  <c r="AM302" i="15"/>
  <c r="AM320" i="15"/>
  <c r="AM338" i="15"/>
  <c r="AM441" i="15"/>
  <c r="AM459" i="15"/>
  <c r="AM465" i="15"/>
  <c r="AM10" i="15"/>
  <c r="AM22" i="15"/>
  <c r="AM34" i="15"/>
  <c r="AM46" i="15"/>
  <c r="AM58" i="15"/>
  <c r="AM70" i="15"/>
  <c r="AM82" i="15"/>
  <c r="AM94" i="15"/>
  <c r="AM106" i="15"/>
  <c r="AM118" i="15"/>
  <c r="AM130" i="15"/>
  <c r="AM142" i="15"/>
  <c r="AM154" i="15"/>
  <c r="AM160" i="15"/>
  <c r="AM172" i="15"/>
  <c r="AM184" i="15"/>
  <c r="AM196" i="15"/>
  <c r="AM208" i="15"/>
  <c r="AM220" i="15"/>
  <c r="AM232" i="15"/>
  <c r="AM244" i="15"/>
  <c r="AM256" i="15"/>
  <c r="AM268" i="15"/>
  <c r="AM280" i="15"/>
  <c r="AM292" i="15"/>
  <c r="AM304" i="15"/>
  <c r="AM316" i="15"/>
  <c r="AM787" i="15"/>
  <c r="AM4" i="15"/>
  <c r="AM16" i="15"/>
  <c r="AM28" i="15"/>
  <c r="AM40" i="15"/>
  <c r="AM52" i="15"/>
  <c r="AM64" i="15"/>
  <c r="AM76" i="15"/>
  <c r="AM88" i="15"/>
  <c r="AM100" i="15"/>
  <c r="AM112" i="15"/>
  <c r="AM124" i="15"/>
  <c r="AM136" i="15"/>
  <c r="AM148" i="15"/>
  <c r="AM166" i="15"/>
  <c r="AM178" i="15"/>
  <c r="AM190" i="15"/>
  <c r="AM202" i="15"/>
  <c r="AM214" i="15"/>
  <c r="AM226" i="15"/>
  <c r="AM238" i="15"/>
  <c r="AM250" i="15"/>
  <c r="AM262" i="15"/>
  <c r="AM274" i="15"/>
  <c r="AM286" i="15"/>
  <c r="AM298" i="15"/>
  <c r="AM310" i="15"/>
  <c r="P74" i="12"/>
  <c r="P27" i="12"/>
  <c r="P109" i="9"/>
  <c r="Q354" i="9"/>
  <c r="P310" i="12"/>
  <c r="P41" i="12"/>
  <c r="P41" i="9"/>
  <c r="P109" i="12"/>
  <c r="Q354" i="12"/>
  <c r="P156" i="12"/>
  <c r="P74" i="9"/>
  <c r="P54" i="9"/>
  <c r="P398" i="9"/>
  <c r="Q400" i="9"/>
  <c r="Q290" i="9"/>
  <c r="Q166" i="12"/>
  <c r="P154" i="12"/>
  <c r="P123" i="12"/>
  <c r="Q196" i="9"/>
  <c r="Q234" i="9"/>
  <c r="P211" i="9"/>
  <c r="P230" i="9"/>
  <c r="P154" i="9"/>
  <c r="Q166" i="9"/>
  <c r="P123" i="9"/>
  <c r="P136" i="9"/>
  <c r="O315" i="9"/>
  <c r="P315" i="9" s="1"/>
  <c r="P310" i="9"/>
  <c r="AK481" i="9"/>
  <c r="AK412" i="9"/>
  <c r="AK411" i="9"/>
  <c r="AK414" i="9"/>
  <c r="AK410" i="9"/>
  <c r="AK416" i="9"/>
  <c r="AK415" i="9"/>
  <c r="P156" i="9"/>
  <c r="AL408" i="9"/>
  <c r="P232" i="9"/>
  <c r="P24" i="9"/>
  <c r="P82" i="9"/>
  <c r="O82" i="9" s="1"/>
  <c r="P36" i="9"/>
  <c r="P32" i="9"/>
  <c r="P33" i="9"/>
  <c r="P37" i="9"/>
  <c r="P35" i="9"/>
  <c r="P31" i="9"/>
  <c r="P27" i="9"/>
  <c r="P78" i="9"/>
  <c r="P33" i="12"/>
  <c r="P36" i="12"/>
  <c r="P32" i="12"/>
  <c r="P31" i="12"/>
  <c r="P35" i="12"/>
  <c r="P24" i="12"/>
  <c r="P37" i="12"/>
  <c r="P54" i="12"/>
  <c r="Q85" i="12"/>
  <c r="P72" i="12"/>
  <c r="AS11" i="15"/>
  <c r="AZ11" i="15"/>
  <c r="AS41" i="15"/>
  <c r="AZ41" i="15"/>
  <c r="AZ83" i="15"/>
  <c r="AZ125" i="15"/>
  <c r="AZ155" i="15"/>
  <c r="AO197" i="15"/>
  <c r="AZ197" i="15"/>
  <c r="AZ233" i="15"/>
  <c r="AZ257" i="15"/>
  <c r="AZ287" i="15"/>
  <c r="AZ329" i="15"/>
  <c r="AZ371" i="15"/>
  <c r="AZ431" i="15"/>
  <c r="AZ30" i="15"/>
  <c r="AZ90" i="15"/>
  <c r="AZ132" i="15"/>
  <c r="AZ180" i="15"/>
  <c r="AQ7" i="15"/>
  <c r="AZ7" i="15"/>
  <c r="AQ31" i="15"/>
  <c r="AZ31" i="15"/>
  <c r="AQ43" i="15"/>
  <c r="AZ43" i="15"/>
  <c r="AZ73" i="15"/>
  <c r="AZ91" i="15"/>
  <c r="AZ127" i="15"/>
  <c r="AP169" i="15"/>
  <c r="AZ169" i="15"/>
  <c r="AS14" i="15"/>
  <c r="AZ14" i="15"/>
  <c r="AS32" i="15"/>
  <c r="AZ32" i="15"/>
  <c r="AS50" i="15"/>
  <c r="AZ50" i="15"/>
  <c r="AZ62" i="15"/>
  <c r="AS80" i="15"/>
  <c r="AZ80" i="15"/>
  <c r="AZ104" i="15"/>
  <c r="AS122" i="15"/>
  <c r="AZ122" i="15"/>
  <c r="AZ134" i="15"/>
  <c r="AZ146" i="15"/>
  <c r="AZ170" i="15"/>
  <c r="AZ206" i="15"/>
  <c r="AS3" i="15"/>
  <c r="AZ3" i="15"/>
  <c r="AZ9" i="15"/>
  <c r="AZ15" i="15"/>
  <c r="AZ21" i="15"/>
  <c r="AZ27" i="15"/>
  <c r="AZ33" i="15"/>
  <c r="AZ39" i="15"/>
  <c r="AZ45" i="15"/>
  <c r="AZ51" i="15"/>
  <c r="AZ57" i="15"/>
  <c r="AZ63" i="15"/>
  <c r="AZ69" i="15"/>
  <c r="AZ75" i="15"/>
  <c r="AZ81" i="15"/>
  <c r="AZ87" i="15"/>
  <c r="AZ93" i="15"/>
  <c r="AZ99" i="15"/>
  <c r="AZ105" i="15"/>
  <c r="AZ111" i="15"/>
  <c r="AZ117" i="15"/>
  <c r="AZ123" i="15"/>
  <c r="AZ129" i="15"/>
  <c r="AZ135" i="15"/>
  <c r="AZ141" i="15"/>
  <c r="AZ147" i="15"/>
  <c r="AQ153" i="15"/>
  <c r="AZ153" i="15"/>
  <c r="AZ159" i="15"/>
  <c r="AQ165" i="15"/>
  <c r="AZ165" i="15"/>
  <c r="AZ171" i="15"/>
  <c r="AQ177" i="15"/>
  <c r="AZ177" i="15"/>
  <c r="AZ183" i="15"/>
  <c r="AZ189" i="15"/>
  <c r="AZ195" i="15"/>
  <c r="AZ201" i="15"/>
  <c r="AQ207" i="15"/>
  <c r="AZ207" i="15"/>
  <c r="AZ213" i="15"/>
  <c r="AZ219" i="15"/>
  <c r="AQ225" i="15"/>
  <c r="AZ225" i="15"/>
  <c r="AZ231" i="15"/>
  <c r="AZ237" i="15"/>
  <c r="AQ243" i="15"/>
  <c r="AZ243" i="15"/>
  <c r="AZ249" i="15"/>
  <c r="AZ255" i="15"/>
  <c r="AQ261" i="15"/>
  <c r="AZ261" i="15"/>
  <c r="AZ267" i="15"/>
  <c r="AZ273" i="15"/>
  <c r="AZ279" i="15"/>
  <c r="AZ285" i="15"/>
  <c r="AZ291" i="15"/>
  <c r="AQ297" i="15"/>
  <c r="AZ297" i="15"/>
  <c r="AZ303" i="15"/>
  <c r="AZ309" i="15"/>
  <c r="AQ315" i="15"/>
  <c r="AZ315" i="15"/>
  <c r="AZ321" i="15"/>
  <c r="AZ327" i="15"/>
  <c r="AQ333" i="15"/>
  <c r="AZ333" i="15"/>
  <c r="AZ339" i="15"/>
  <c r="AZ345" i="15"/>
  <c r="AQ351" i="15"/>
  <c r="AZ351" i="15"/>
  <c r="AZ357" i="15"/>
  <c r="AQ363" i="15"/>
  <c r="AZ363" i="15"/>
  <c r="AZ369" i="15"/>
  <c r="AZ375" i="15"/>
  <c r="AZ381" i="15"/>
  <c r="AZ387" i="15"/>
  <c r="AZ393" i="15"/>
  <c r="AZ399" i="15"/>
  <c r="AZ405" i="15"/>
  <c r="AZ411" i="15"/>
  <c r="AZ417" i="15"/>
  <c r="AZ423" i="15"/>
  <c r="AZ429" i="15"/>
  <c r="AZ435" i="15"/>
  <c r="AZ441" i="15"/>
  <c r="AZ447" i="15"/>
  <c r="AZ453" i="15"/>
  <c r="AZ459" i="15"/>
  <c r="AZ465" i="15"/>
  <c r="AZ468" i="15"/>
  <c r="AZ471" i="15"/>
  <c r="AZ474" i="15"/>
  <c r="AZ477" i="15"/>
  <c r="AZ480" i="15"/>
  <c r="AZ483" i="15"/>
  <c r="AZ486" i="15"/>
  <c r="AZ489" i="15"/>
  <c r="AZ492" i="15"/>
  <c r="AZ495" i="15"/>
  <c r="AZ498" i="15"/>
  <c r="AZ501" i="15"/>
  <c r="AZ504" i="15"/>
  <c r="AZ507" i="15"/>
  <c r="AZ510" i="15"/>
  <c r="AZ513" i="15"/>
  <c r="AZ516" i="15"/>
  <c r="AZ519" i="15"/>
  <c r="AZ522" i="15"/>
  <c r="AZ525" i="15"/>
  <c r="AZ528" i="15"/>
  <c r="AZ531" i="15"/>
  <c r="AZ534" i="15"/>
  <c r="AZ537" i="15"/>
  <c r="AZ540" i="15"/>
  <c r="AZ543" i="15"/>
  <c r="AZ546" i="15"/>
  <c r="AZ549" i="15"/>
  <c r="AZ552" i="15"/>
  <c r="AZ555" i="15"/>
  <c r="AZ558" i="15"/>
  <c r="AZ561" i="15"/>
  <c r="AZ564" i="15"/>
  <c r="AZ567" i="15"/>
  <c r="AZ570" i="15"/>
  <c r="AZ573" i="15"/>
  <c r="AZ576" i="15"/>
  <c r="AZ579" i="15"/>
  <c r="AZ582" i="15"/>
  <c r="AZ585" i="15"/>
  <c r="AZ588" i="15"/>
  <c r="AZ591" i="15"/>
  <c r="AZ594" i="15"/>
  <c r="AZ597" i="15"/>
  <c r="AZ600" i="15"/>
  <c r="AZ603" i="15"/>
  <c r="AZ606" i="15"/>
  <c r="AZ609" i="15"/>
  <c r="AZ612" i="15"/>
  <c r="AZ615" i="15"/>
  <c r="AZ618" i="15"/>
  <c r="AZ621" i="15"/>
  <c r="AZ624" i="15"/>
  <c r="AZ627" i="15"/>
  <c r="AZ630" i="15"/>
  <c r="AZ633" i="15"/>
  <c r="AZ636" i="15"/>
  <c r="AZ639" i="15"/>
  <c r="AZ642" i="15"/>
  <c r="AZ645" i="15"/>
  <c r="AZ648" i="15"/>
  <c r="AZ651" i="15"/>
  <c r="AZ654" i="15"/>
  <c r="AZ657" i="15"/>
  <c r="AZ660" i="15"/>
  <c r="AZ663" i="15"/>
  <c r="AZ666" i="15"/>
  <c r="AZ669" i="15"/>
  <c r="AZ672" i="15"/>
  <c r="AZ675" i="15"/>
  <c r="AZ678" i="15"/>
  <c r="AZ681" i="15"/>
  <c r="AZ684" i="15"/>
  <c r="AZ687" i="15"/>
  <c r="AZ690" i="15"/>
  <c r="AZ693" i="15"/>
  <c r="AZ696" i="15"/>
  <c r="AZ699" i="15"/>
  <c r="AZ702" i="15"/>
  <c r="AZ705" i="15"/>
  <c r="AZ708" i="15"/>
  <c r="AZ711" i="15"/>
  <c r="AZ714" i="15"/>
  <c r="AZ717" i="15"/>
  <c r="AZ720" i="15"/>
  <c r="AZ723" i="15"/>
  <c r="AZ726" i="15"/>
  <c r="AZ729" i="15"/>
  <c r="AZ732" i="15"/>
  <c r="AZ735" i="15"/>
  <c r="AZ738" i="15"/>
  <c r="AZ741" i="15"/>
  <c r="AZ744" i="15"/>
  <c r="AZ747" i="15"/>
  <c r="AZ750" i="15"/>
  <c r="AZ753" i="15"/>
  <c r="AZ756" i="15"/>
  <c r="AZ759" i="15"/>
  <c r="AZ762" i="15"/>
  <c r="AZ765" i="15"/>
  <c r="AZ768" i="15"/>
  <c r="AZ771" i="15"/>
  <c r="AZ774" i="15"/>
  <c r="AZ777" i="15"/>
  <c r="AZ780" i="15"/>
  <c r="AZ783" i="15"/>
  <c r="AZ786" i="15"/>
  <c r="AZ789" i="15"/>
  <c r="AZ792" i="15"/>
  <c r="AZ10" i="15"/>
  <c r="AZ22" i="15"/>
  <c r="AZ34" i="15"/>
  <c r="AZ46" i="15"/>
  <c r="AZ58" i="15"/>
  <c r="AZ76" i="15"/>
  <c r="AZ88" i="15"/>
  <c r="AZ100" i="15"/>
  <c r="AZ112" i="15"/>
  <c r="AZ124" i="15"/>
  <c r="AZ136" i="15"/>
  <c r="AZ154" i="15"/>
  <c r="AZ166" i="15"/>
  <c r="AZ178" i="15"/>
  <c r="AZ190" i="15"/>
  <c r="AZ202" i="15"/>
  <c r="AZ214" i="15"/>
  <c r="AZ226" i="15"/>
  <c r="AZ238" i="15"/>
  <c r="AZ250" i="15"/>
  <c r="AZ256" i="15"/>
  <c r="AZ268" i="15"/>
  <c r="AZ274" i="15"/>
  <c r="AZ280" i="15"/>
  <c r="AZ286" i="15"/>
  <c r="AZ292" i="15"/>
  <c r="AZ298" i="15"/>
  <c r="AZ310" i="15"/>
  <c r="AZ316" i="15"/>
  <c r="AZ322" i="15"/>
  <c r="AZ328" i="15"/>
  <c r="AZ334" i="15"/>
  <c r="AZ340" i="15"/>
  <c r="AZ346" i="15"/>
  <c r="AZ352" i="15"/>
  <c r="AZ358" i="15"/>
  <c r="AZ364" i="15"/>
  <c r="AZ370" i="15"/>
  <c r="AZ376" i="15"/>
  <c r="AZ382" i="15"/>
  <c r="AZ388" i="15"/>
  <c r="AZ394" i="15"/>
  <c r="AZ400" i="15"/>
  <c r="AZ406" i="15"/>
  <c r="AZ412" i="15"/>
  <c r="AZ418" i="15"/>
  <c r="AZ424" i="15"/>
  <c r="AZ430" i="15"/>
  <c r="AZ436" i="15"/>
  <c r="AZ442" i="15"/>
  <c r="AZ448" i="15"/>
  <c r="AZ454" i="15"/>
  <c r="AZ460" i="15"/>
  <c r="AZ466" i="15"/>
  <c r="AZ4" i="15"/>
  <c r="AZ16" i="15"/>
  <c r="AZ28" i="15"/>
  <c r="AZ40" i="15"/>
  <c r="AZ52" i="15"/>
  <c r="AZ64" i="15"/>
  <c r="AZ70" i="15"/>
  <c r="AZ82" i="15"/>
  <c r="AZ94" i="15"/>
  <c r="AZ106" i="15"/>
  <c r="AZ118" i="15"/>
  <c r="AZ130" i="15"/>
  <c r="AZ142" i="15"/>
  <c r="AZ148" i="15"/>
  <c r="AZ160" i="15"/>
  <c r="AZ172" i="15"/>
  <c r="AZ184" i="15"/>
  <c r="AZ196" i="15"/>
  <c r="AZ208" i="15"/>
  <c r="AZ220" i="15"/>
  <c r="AZ232" i="15"/>
  <c r="AZ244" i="15"/>
  <c r="AZ262" i="15"/>
  <c r="AZ304" i="15"/>
  <c r="AZ538" i="15"/>
  <c r="AZ541" i="15"/>
  <c r="AZ544" i="15"/>
  <c r="AZ547" i="15"/>
  <c r="AZ550" i="15"/>
  <c r="AZ553" i="15"/>
  <c r="AZ556" i="15"/>
  <c r="AZ559" i="15"/>
  <c r="AZ562" i="15"/>
  <c r="AZ565" i="15"/>
  <c r="AZ568" i="15"/>
  <c r="AZ571" i="15"/>
  <c r="AZ574" i="15"/>
  <c r="AZ577" i="15"/>
  <c r="AZ580" i="15"/>
  <c r="AZ583" i="15"/>
  <c r="AZ586" i="15"/>
  <c r="AZ589" i="15"/>
  <c r="AZ592" i="15"/>
  <c r="AZ595" i="15"/>
  <c r="AZ598" i="15"/>
  <c r="AZ601" i="15"/>
  <c r="AZ604" i="15"/>
  <c r="AZ607" i="15"/>
  <c r="AZ610" i="15"/>
  <c r="AZ613" i="15"/>
  <c r="AZ616" i="15"/>
  <c r="AZ619" i="15"/>
  <c r="AZ622" i="15"/>
  <c r="AZ625" i="15"/>
  <c r="AZ628" i="15"/>
  <c r="AZ631" i="15"/>
  <c r="AZ634" i="15"/>
  <c r="AZ637" i="15"/>
  <c r="AZ640" i="15"/>
  <c r="AZ643" i="15"/>
  <c r="AZ646" i="15"/>
  <c r="AZ649" i="15"/>
  <c r="AZ652" i="15"/>
  <c r="AZ655" i="15"/>
  <c r="AZ658" i="15"/>
  <c r="AZ661" i="15"/>
  <c r="AZ664" i="15"/>
  <c r="AZ667" i="15"/>
  <c r="AZ670" i="15"/>
  <c r="AZ673" i="15"/>
  <c r="AZ676" i="15"/>
  <c r="AZ679" i="15"/>
  <c r="AZ682" i="15"/>
  <c r="AZ685" i="15"/>
  <c r="AZ688" i="15"/>
  <c r="AZ691" i="15"/>
  <c r="AZ694" i="15"/>
  <c r="AZ697" i="15"/>
  <c r="AZ700" i="15"/>
  <c r="AZ703" i="15"/>
  <c r="AZ706" i="15"/>
  <c r="AZ709" i="15"/>
  <c r="AZ712" i="15"/>
  <c r="AZ715" i="15"/>
  <c r="AZ718" i="15"/>
  <c r="AZ721" i="15"/>
  <c r="AZ724" i="15"/>
  <c r="AZ727" i="15"/>
  <c r="AZ730" i="15"/>
  <c r="AZ733" i="15"/>
  <c r="AZ736" i="15"/>
  <c r="AZ739" i="15"/>
  <c r="AZ742" i="15"/>
  <c r="AZ745" i="15"/>
  <c r="AZ748" i="15"/>
  <c r="AZ751" i="15"/>
  <c r="AZ754" i="15"/>
  <c r="AZ757" i="15"/>
  <c r="AZ760" i="15"/>
  <c r="AZ763" i="15"/>
  <c r="AZ766" i="15"/>
  <c r="AZ769" i="15"/>
  <c r="AZ772" i="15"/>
  <c r="AZ775" i="15"/>
  <c r="AZ778" i="15"/>
  <c r="AZ781" i="15"/>
  <c r="AZ784" i="15"/>
  <c r="AZ787" i="15"/>
  <c r="AZ790" i="15"/>
  <c r="AS23" i="15"/>
  <c r="AZ23" i="15"/>
  <c r="AZ59" i="15"/>
  <c r="AZ89" i="15"/>
  <c r="AZ137" i="15"/>
  <c r="AZ179" i="15"/>
  <c r="AZ221" i="15"/>
  <c r="AZ275" i="15"/>
  <c r="AZ317" i="15"/>
  <c r="AZ359" i="15"/>
  <c r="AZ395" i="15"/>
  <c r="AZ443" i="15"/>
  <c r="AZ469" i="15"/>
  <c r="AZ472" i="15"/>
  <c r="AZ475" i="15"/>
  <c r="AZ478" i="15"/>
  <c r="AZ481" i="15"/>
  <c r="AZ484" i="15"/>
  <c r="AZ487" i="15"/>
  <c r="AZ490" i="15"/>
  <c r="AZ493" i="15"/>
  <c r="AZ496" i="15"/>
  <c r="AZ499" i="15"/>
  <c r="AZ502" i="15"/>
  <c r="AZ505" i="15"/>
  <c r="AZ508" i="15"/>
  <c r="AZ511" i="15"/>
  <c r="AZ514" i="15"/>
  <c r="AZ517" i="15"/>
  <c r="AZ520" i="15"/>
  <c r="AZ523" i="15"/>
  <c r="AZ526" i="15"/>
  <c r="AZ529" i="15"/>
  <c r="AZ532" i="15"/>
  <c r="AZ535" i="15"/>
  <c r="AZ17" i="15"/>
  <c r="AZ77" i="15"/>
  <c r="AZ113" i="15"/>
  <c r="AZ167" i="15"/>
  <c r="AZ215" i="15"/>
  <c r="AZ263" i="15"/>
  <c r="AZ323" i="15"/>
  <c r="AZ377" i="15"/>
  <c r="AZ425" i="15"/>
  <c r="AZ6" i="15"/>
  <c r="AZ48" i="15"/>
  <c r="AZ72" i="15"/>
  <c r="AZ120" i="15"/>
  <c r="AZ150" i="15"/>
  <c r="AZ162" i="15"/>
  <c r="AZ186" i="15"/>
  <c r="AZ210" i="15"/>
  <c r="AZ216" i="15"/>
  <c r="AZ222" i="15"/>
  <c r="AZ228" i="15"/>
  <c r="AZ234" i="15"/>
  <c r="AZ240" i="15"/>
  <c r="AZ246" i="15"/>
  <c r="AZ252" i="15"/>
  <c r="AZ258" i="15"/>
  <c r="AZ264" i="15"/>
  <c r="AZ270" i="15"/>
  <c r="AZ276" i="15"/>
  <c r="AZ282" i="15"/>
  <c r="AQ288" i="15"/>
  <c r="AZ288" i="15"/>
  <c r="AZ294" i="15"/>
  <c r="AZ300" i="15"/>
  <c r="AQ306" i="15"/>
  <c r="AZ306" i="15"/>
  <c r="AZ312" i="15"/>
  <c r="AZ318" i="15"/>
  <c r="AZ324" i="15"/>
  <c r="AZ330" i="15"/>
  <c r="AZ336" i="15"/>
  <c r="AZ342" i="15"/>
  <c r="AZ348" i="15"/>
  <c r="AZ354" i="15"/>
  <c r="AZ360" i="15"/>
  <c r="AZ366" i="15"/>
  <c r="AZ372" i="15"/>
  <c r="AZ378" i="15"/>
  <c r="AZ384" i="15"/>
  <c r="AZ390" i="15"/>
  <c r="AZ396" i="15"/>
  <c r="AZ402" i="15"/>
  <c r="AZ408" i="15"/>
  <c r="AZ414" i="15"/>
  <c r="AZ420" i="15"/>
  <c r="AZ426" i="15"/>
  <c r="AZ432" i="15"/>
  <c r="AZ438" i="15"/>
  <c r="AZ444" i="15"/>
  <c r="AZ450" i="15"/>
  <c r="AZ456" i="15"/>
  <c r="AZ462" i="15"/>
  <c r="AZ47" i="15"/>
  <c r="AZ101" i="15"/>
  <c r="AZ161" i="15"/>
  <c r="AZ227" i="15"/>
  <c r="AZ293" i="15"/>
  <c r="AZ353" i="15"/>
  <c r="AZ407" i="15"/>
  <c r="AZ455" i="15"/>
  <c r="AZ42" i="15"/>
  <c r="AZ78" i="15"/>
  <c r="AZ114" i="15"/>
  <c r="AZ168" i="15"/>
  <c r="AZ65" i="15"/>
  <c r="AZ131" i="15"/>
  <c r="AZ185" i="15"/>
  <c r="AZ245" i="15"/>
  <c r="AZ311" i="15"/>
  <c r="AZ383" i="15"/>
  <c r="AZ449" i="15"/>
  <c r="AZ24" i="15"/>
  <c r="AZ66" i="15"/>
  <c r="AZ102" i="15"/>
  <c r="AZ138" i="15"/>
  <c r="AZ192" i="15"/>
  <c r="AZ19" i="15"/>
  <c r="AZ67" i="15"/>
  <c r="AZ109" i="15"/>
  <c r="AZ139" i="15"/>
  <c r="AP157" i="15"/>
  <c r="AZ157" i="15"/>
  <c r="AZ181" i="15"/>
  <c r="AP193" i="15"/>
  <c r="AZ193" i="15"/>
  <c r="AZ205" i="15"/>
  <c r="AZ217" i="15"/>
  <c r="AZ229" i="15"/>
  <c r="AZ241" i="15"/>
  <c r="AZ253" i="15"/>
  <c r="AZ265" i="15"/>
  <c r="AZ271" i="15"/>
  <c r="AZ277" i="15"/>
  <c r="AZ283" i="15"/>
  <c r="AZ289" i="15"/>
  <c r="AZ301" i="15"/>
  <c r="AZ307" i="15"/>
  <c r="AZ313" i="15"/>
  <c r="AZ319" i="15"/>
  <c r="AZ325" i="15"/>
  <c r="AZ331" i="15"/>
  <c r="AZ337" i="15"/>
  <c r="AZ343" i="15"/>
  <c r="AZ349" i="15"/>
  <c r="AZ355" i="15"/>
  <c r="AZ361" i="15"/>
  <c r="AZ367" i="15"/>
  <c r="AZ373" i="15"/>
  <c r="AZ379" i="15"/>
  <c r="AZ385" i="15"/>
  <c r="AZ391" i="15"/>
  <c r="AZ403" i="15"/>
  <c r="AZ421" i="15"/>
  <c r="AZ433" i="15"/>
  <c r="AZ457" i="15"/>
  <c r="AZ467" i="15"/>
  <c r="AZ470" i="15"/>
  <c r="AZ473" i="15"/>
  <c r="AZ476" i="15"/>
  <c r="AZ479" i="15"/>
  <c r="AZ482" i="15"/>
  <c r="AZ485" i="15"/>
  <c r="AZ488" i="15"/>
  <c r="AZ491" i="15"/>
  <c r="AZ494" i="15"/>
  <c r="AZ497" i="15"/>
  <c r="AZ500" i="15"/>
  <c r="AZ503" i="15"/>
  <c r="AZ506" i="15"/>
  <c r="AZ509" i="15"/>
  <c r="AZ512" i="15"/>
  <c r="AZ515" i="15"/>
  <c r="AZ518" i="15"/>
  <c r="AZ521" i="15"/>
  <c r="AZ524" i="15"/>
  <c r="AZ527" i="15"/>
  <c r="AZ530" i="15"/>
  <c r="AZ533" i="15"/>
  <c r="AZ536" i="15"/>
  <c r="AZ539" i="15"/>
  <c r="AZ542" i="15"/>
  <c r="AZ545" i="15"/>
  <c r="AZ548" i="15"/>
  <c r="AZ551" i="15"/>
  <c r="AZ554" i="15"/>
  <c r="AZ557" i="15"/>
  <c r="AZ560" i="15"/>
  <c r="AZ563" i="15"/>
  <c r="AZ566" i="15"/>
  <c r="AZ569" i="15"/>
  <c r="AZ572" i="15"/>
  <c r="AZ575" i="15"/>
  <c r="AZ578" i="15"/>
  <c r="AZ581" i="15"/>
  <c r="AZ584" i="15"/>
  <c r="AZ587" i="15"/>
  <c r="AZ590" i="15"/>
  <c r="AZ593" i="15"/>
  <c r="AZ596" i="15"/>
  <c r="AZ599" i="15"/>
  <c r="AZ602" i="15"/>
  <c r="AZ605" i="15"/>
  <c r="AZ608" i="15"/>
  <c r="AZ611" i="15"/>
  <c r="AZ614" i="15"/>
  <c r="AZ617" i="15"/>
  <c r="AZ620" i="15"/>
  <c r="AZ623" i="15"/>
  <c r="AZ626" i="15"/>
  <c r="AZ629" i="15"/>
  <c r="AZ632" i="15"/>
  <c r="AZ635" i="15"/>
  <c r="AZ638" i="15"/>
  <c r="AZ641" i="15"/>
  <c r="AZ644" i="15"/>
  <c r="AZ647" i="15"/>
  <c r="AZ650" i="15"/>
  <c r="AZ653" i="15"/>
  <c r="AZ656" i="15"/>
  <c r="AZ659" i="15"/>
  <c r="AZ662" i="15"/>
  <c r="AZ665" i="15"/>
  <c r="AZ668" i="15"/>
  <c r="AZ671" i="15"/>
  <c r="AZ674" i="15"/>
  <c r="AZ677" i="15"/>
  <c r="AZ680" i="15"/>
  <c r="AZ683" i="15"/>
  <c r="AZ686" i="15"/>
  <c r="AZ689" i="15"/>
  <c r="AZ692" i="15"/>
  <c r="AZ695" i="15"/>
  <c r="AZ698" i="15"/>
  <c r="AZ701" i="15"/>
  <c r="AZ704" i="15"/>
  <c r="AZ707" i="15"/>
  <c r="AZ710" i="15"/>
  <c r="AZ713" i="15"/>
  <c r="AZ716" i="15"/>
  <c r="AZ719" i="15"/>
  <c r="AZ722" i="15"/>
  <c r="AZ725" i="15"/>
  <c r="AZ728" i="15"/>
  <c r="AZ731" i="15"/>
  <c r="AZ734" i="15"/>
  <c r="AZ737" i="15"/>
  <c r="AZ740" i="15"/>
  <c r="AZ743" i="15"/>
  <c r="AZ746" i="15"/>
  <c r="AZ749" i="15"/>
  <c r="AZ752" i="15"/>
  <c r="AZ755" i="15"/>
  <c r="AZ758" i="15"/>
  <c r="AZ761" i="15"/>
  <c r="AZ764" i="15"/>
  <c r="AZ767" i="15"/>
  <c r="AZ770" i="15"/>
  <c r="AZ773" i="15"/>
  <c r="AZ776" i="15"/>
  <c r="AZ779" i="15"/>
  <c r="AZ782" i="15"/>
  <c r="AZ785" i="15"/>
  <c r="AZ788" i="15"/>
  <c r="AZ791" i="15"/>
  <c r="AS5" i="15"/>
  <c r="AZ5" i="15"/>
  <c r="AS29" i="15"/>
  <c r="AZ29" i="15"/>
  <c r="AS71" i="15"/>
  <c r="AZ71" i="15"/>
  <c r="AS107" i="15"/>
  <c r="AZ107" i="15"/>
  <c r="AZ143" i="15"/>
  <c r="AZ173" i="15"/>
  <c r="AZ209" i="15"/>
  <c r="AZ251" i="15"/>
  <c r="AZ299" i="15"/>
  <c r="AZ347" i="15"/>
  <c r="AZ401" i="15"/>
  <c r="AZ18" i="15"/>
  <c r="AZ60" i="15"/>
  <c r="AZ108" i="15"/>
  <c r="AZ144" i="15"/>
  <c r="AZ198" i="15"/>
  <c r="AQ13" i="15"/>
  <c r="AZ13" i="15"/>
  <c r="AZ49" i="15"/>
  <c r="AZ85" i="15"/>
  <c r="AZ115" i="15"/>
  <c r="AZ133" i="15"/>
  <c r="AP145" i="15"/>
  <c r="AZ145" i="15"/>
  <c r="AZ175" i="15"/>
  <c r="AZ187" i="15"/>
  <c r="AZ199" i="15"/>
  <c r="AZ211" i="15"/>
  <c r="AZ223" i="15"/>
  <c r="AZ235" i="15"/>
  <c r="AZ247" i="15"/>
  <c r="AZ259" i="15"/>
  <c r="AZ295" i="15"/>
  <c r="AZ397" i="15"/>
  <c r="AZ409" i="15"/>
  <c r="AZ415" i="15"/>
  <c r="AZ427" i="15"/>
  <c r="AZ439" i="15"/>
  <c r="AZ445" i="15"/>
  <c r="AZ451" i="15"/>
  <c r="AZ463" i="15"/>
  <c r="AZ35" i="15"/>
  <c r="AZ95" i="15"/>
  <c r="AO149" i="15"/>
  <c r="AZ149" i="15"/>
  <c r="AZ203" i="15"/>
  <c r="AZ239" i="15"/>
  <c r="AZ281" i="15"/>
  <c r="AZ305" i="15"/>
  <c r="AZ335" i="15"/>
  <c r="AZ365" i="15"/>
  <c r="AZ389" i="15"/>
  <c r="AZ413" i="15"/>
  <c r="AZ437" i="15"/>
  <c r="AZ461" i="15"/>
  <c r="AZ36" i="15"/>
  <c r="AZ84" i="15"/>
  <c r="AZ126" i="15"/>
  <c r="AZ174" i="15"/>
  <c r="AZ37" i="15"/>
  <c r="AZ61" i="15"/>
  <c r="AZ97" i="15"/>
  <c r="AZ163" i="15"/>
  <c r="AZ20" i="15"/>
  <c r="AS44" i="15"/>
  <c r="AZ44" i="15"/>
  <c r="AS74" i="15"/>
  <c r="AZ74" i="15"/>
  <c r="AS92" i="15"/>
  <c r="AZ92" i="15"/>
  <c r="AS110" i="15"/>
  <c r="AZ110" i="15"/>
  <c r="AS128" i="15"/>
  <c r="AZ128" i="15"/>
  <c r="AZ152" i="15"/>
  <c r="AZ164" i="15"/>
  <c r="AZ176" i="15"/>
  <c r="AZ182" i="15"/>
  <c r="AZ188" i="15"/>
  <c r="AZ194" i="15"/>
  <c r="AZ212" i="15"/>
  <c r="AZ218" i="15"/>
  <c r="AZ224" i="15"/>
  <c r="AZ230" i="15"/>
  <c r="AZ236" i="15"/>
  <c r="AZ242" i="15"/>
  <c r="AZ248" i="15"/>
  <c r="AZ254" i="15"/>
  <c r="AZ260" i="15"/>
  <c r="AZ266" i="15"/>
  <c r="AZ272" i="15"/>
  <c r="AZ278" i="15"/>
  <c r="AZ284" i="15"/>
  <c r="AZ290" i="15"/>
  <c r="AZ296" i="15"/>
  <c r="AZ302" i="15"/>
  <c r="AZ308" i="15"/>
  <c r="AZ314" i="15"/>
  <c r="AZ320" i="15"/>
  <c r="AZ326" i="15"/>
  <c r="AZ332" i="15"/>
  <c r="AZ338" i="15"/>
  <c r="AZ344" i="15"/>
  <c r="AZ350" i="15"/>
  <c r="AZ356" i="15"/>
  <c r="AZ362" i="15"/>
  <c r="AZ368" i="15"/>
  <c r="AZ374" i="15"/>
  <c r="AZ380" i="15"/>
  <c r="AZ386" i="15"/>
  <c r="AZ392" i="15"/>
  <c r="AZ398" i="15"/>
  <c r="AZ404" i="15"/>
  <c r="AZ410" i="15"/>
  <c r="AZ416" i="15"/>
  <c r="AZ422" i="15"/>
  <c r="AZ428" i="15"/>
  <c r="AZ434" i="15"/>
  <c r="AZ440" i="15"/>
  <c r="AZ446" i="15"/>
  <c r="AZ452" i="15"/>
  <c r="AZ458" i="15"/>
  <c r="AZ464" i="15"/>
  <c r="AZ53" i="15"/>
  <c r="AZ119" i="15"/>
  <c r="AZ191" i="15"/>
  <c r="AZ269" i="15"/>
  <c r="AZ341" i="15"/>
  <c r="AZ419" i="15"/>
  <c r="AZ12" i="15"/>
  <c r="AZ54" i="15"/>
  <c r="AZ96" i="15"/>
  <c r="AZ156" i="15"/>
  <c r="AZ204" i="15"/>
  <c r="AQ25" i="15"/>
  <c r="AZ25" i="15"/>
  <c r="AZ55" i="15"/>
  <c r="AZ79" i="15"/>
  <c r="AZ103" i="15"/>
  <c r="AZ121" i="15"/>
  <c r="AZ151" i="15"/>
  <c r="AS8" i="15"/>
  <c r="AZ8" i="15"/>
  <c r="AS26" i="15"/>
  <c r="AZ26" i="15"/>
  <c r="AZ38" i="15"/>
  <c r="AS56" i="15"/>
  <c r="AZ56" i="15"/>
  <c r="AZ68" i="15"/>
  <c r="AS86" i="15"/>
  <c r="AZ86" i="15"/>
  <c r="AZ98" i="15"/>
  <c r="AS116" i="15"/>
  <c r="AZ116" i="15"/>
  <c r="AZ140" i="15"/>
  <c r="AZ158" i="15"/>
  <c r="AZ200" i="15"/>
  <c r="AP4" i="15"/>
  <c r="AO4" i="15"/>
  <c r="AQ4" i="15"/>
  <c r="AS4" i="15"/>
  <c r="AS10" i="15"/>
  <c r="AP10" i="15"/>
  <c r="AO10" i="15"/>
  <c r="AQ10" i="15"/>
  <c r="AS16" i="15"/>
  <c r="AP16" i="15"/>
  <c r="AO16" i="15"/>
  <c r="AQ16" i="15"/>
  <c r="AS22" i="15"/>
  <c r="AP22" i="15"/>
  <c r="AO22" i="15"/>
  <c r="AQ22" i="15"/>
  <c r="AS34" i="15"/>
  <c r="AP34" i="15"/>
  <c r="AO34" i="15"/>
  <c r="AQ34" i="15"/>
  <c r="AS40" i="15"/>
  <c r="AP40" i="15"/>
  <c r="AO40" i="15"/>
  <c r="AQ40" i="15"/>
  <c r="AS46" i="15"/>
  <c r="AQ46" i="15"/>
  <c r="AP46" i="15"/>
  <c r="AO46" i="15"/>
  <c r="AS52" i="15"/>
  <c r="AQ52" i="15"/>
  <c r="AP52" i="15"/>
  <c r="AO52" i="15"/>
  <c r="AS58" i="15"/>
  <c r="AQ58" i="15"/>
  <c r="AP58" i="15"/>
  <c r="AO58" i="15"/>
  <c r="AS64" i="15"/>
  <c r="AQ64" i="15"/>
  <c r="AP64" i="15"/>
  <c r="AO64" i="15"/>
  <c r="AS70" i="15"/>
  <c r="AQ70" i="15"/>
  <c r="AP70" i="15"/>
  <c r="AO70" i="15"/>
  <c r="AS76" i="15"/>
  <c r="AQ76" i="15"/>
  <c r="AP76" i="15"/>
  <c r="AO76" i="15"/>
  <c r="AS82" i="15"/>
  <c r="AQ82" i="15"/>
  <c r="AP82" i="15"/>
  <c r="AO82" i="15"/>
  <c r="AS88" i="15"/>
  <c r="AQ88" i="15"/>
  <c r="AP88" i="15"/>
  <c r="AO88" i="15"/>
  <c r="AS94" i="15"/>
  <c r="AQ94" i="15"/>
  <c r="AP94" i="15"/>
  <c r="AO94" i="15"/>
  <c r="AS100" i="15"/>
  <c r="AQ100" i="15"/>
  <c r="AP100" i="15"/>
  <c r="AO100" i="15"/>
  <c r="AS106" i="15"/>
  <c r="AQ106" i="15"/>
  <c r="AP106" i="15"/>
  <c r="AO106" i="15"/>
  <c r="AS112" i="15"/>
  <c r="AQ112" i="15"/>
  <c r="AP112" i="15"/>
  <c r="AO112" i="15"/>
  <c r="AS118" i="15"/>
  <c r="AQ118" i="15"/>
  <c r="AP118" i="15"/>
  <c r="AO118" i="15"/>
  <c r="AS124" i="15"/>
  <c r="AQ124" i="15"/>
  <c r="AP124" i="15"/>
  <c r="AO124" i="15"/>
  <c r="AS130" i="15"/>
  <c r="AQ130" i="15"/>
  <c r="AP130" i="15"/>
  <c r="AO130" i="15"/>
  <c r="AS136" i="15"/>
  <c r="AQ136" i="15"/>
  <c r="AP136" i="15"/>
  <c r="AO136" i="15"/>
  <c r="AS142" i="15"/>
  <c r="AQ142" i="15"/>
  <c r="AP142" i="15"/>
  <c r="AO142" i="15"/>
  <c r="AS148" i="15"/>
  <c r="AQ148" i="15"/>
  <c r="AP148" i="15"/>
  <c r="AO148" i="15"/>
  <c r="AS154" i="15"/>
  <c r="AQ154" i="15"/>
  <c r="AP154" i="15"/>
  <c r="AO154" i="15"/>
  <c r="AS160" i="15"/>
  <c r="AQ160" i="15"/>
  <c r="AP160" i="15"/>
  <c r="AO160" i="15"/>
  <c r="AS166" i="15"/>
  <c r="AQ166" i="15"/>
  <c r="AP166" i="15"/>
  <c r="AO166" i="15"/>
  <c r="AS178" i="15"/>
  <c r="AQ178" i="15"/>
  <c r="AP178" i="15"/>
  <c r="AO178" i="15"/>
  <c r="AS184" i="15"/>
  <c r="AQ184" i="15"/>
  <c r="AP184" i="15"/>
  <c r="AO184" i="15"/>
  <c r="AS190" i="15"/>
  <c r="AQ190" i="15"/>
  <c r="AP190" i="15"/>
  <c r="AO190" i="15"/>
  <c r="AS196" i="15"/>
  <c r="AQ196" i="15"/>
  <c r="AP196" i="15"/>
  <c r="AO196" i="15"/>
  <c r="AS202" i="15"/>
  <c r="AQ202" i="15"/>
  <c r="AP202" i="15"/>
  <c r="AO202" i="15"/>
  <c r="AS208" i="15"/>
  <c r="AQ208" i="15"/>
  <c r="AO208" i="15"/>
  <c r="AP208" i="15"/>
  <c r="AS214" i="15"/>
  <c r="AQ214" i="15"/>
  <c r="AO214" i="15"/>
  <c r="AP214" i="15"/>
  <c r="AS220" i="15"/>
  <c r="AQ220" i="15"/>
  <c r="AO220" i="15"/>
  <c r="AP220" i="15"/>
  <c r="AS226" i="15"/>
  <c r="AQ226" i="15"/>
  <c r="AO226" i="15"/>
  <c r="AP226" i="15"/>
  <c r="AS232" i="15"/>
  <c r="AQ232" i="15"/>
  <c r="AO232" i="15"/>
  <c r="AP232" i="15"/>
  <c r="AS238" i="15"/>
  <c r="AQ238" i="15"/>
  <c r="AO238" i="15"/>
  <c r="AP238" i="15"/>
  <c r="AS244" i="15"/>
  <c r="AQ244" i="15"/>
  <c r="AO244" i="15"/>
  <c r="AP244" i="15"/>
  <c r="AS250" i="15"/>
  <c r="AQ250" i="15"/>
  <c r="AO250" i="15"/>
  <c r="AP250" i="15"/>
  <c r="AS256" i="15"/>
  <c r="AQ256" i="15"/>
  <c r="AO256" i="15"/>
  <c r="AP256" i="15"/>
  <c r="AS262" i="15"/>
  <c r="AQ262" i="15"/>
  <c r="AO262" i="15"/>
  <c r="AP262" i="15"/>
  <c r="AS268" i="15"/>
  <c r="AQ268" i="15"/>
  <c r="AO268" i="15"/>
  <c r="AP268" i="15"/>
  <c r="AS274" i="15"/>
  <c r="AQ274" i="15"/>
  <c r="AO274" i="15"/>
  <c r="AP274" i="15"/>
  <c r="AS280" i="15"/>
  <c r="AQ280" i="15"/>
  <c r="AO280" i="15"/>
  <c r="AP280" i="15"/>
  <c r="AS286" i="15"/>
  <c r="AQ286" i="15"/>
  <c r="AO286" i="15"/>
  <c r="AP286" i="15"/>
  <c r="AS292" i="15"/>
  <c r="AQ292" i="15"/>
  <c r="AO292" i="15"/>
  <c r="AP292" i="15"/>
  <c r="AS298" i="15"/>
  <c r="AQ298" i="15"/>
  <c r="AO298" i="15"/>
  <c r="AP298" i="15"/>
  <c r="AS304" i="15"/>
  <c r="AQ304" i="15"/>
  <c r="AO304" i="15"/>
  <c r="AP304" i="15"/>
  <c r="AS310" i="15"/>
  <c r="AQ310" i="15"/>
  <c r="AO310" i="15"/>
  <c r="AP310" i="15"/>
  <c r="AS316" i="15"/>
  <c r="AQ316" i="15"/>
  <c r="AO316" i="15"/>
  <c r="AP316" i="15"/>
  <c r="AS322" i="15"/>
  <c r="AQ322" i="15"/>
  <c r="AO322" i="15"/>
  <c r="AP322" i="15"/>
  <c r="AS328" i="15"/>
  <c r="AQ328" i="15"/>
  <c r="AO328" i="15"/>
  <c r="AP328" i="15"/>
  <c r="AS334" i="15"/>
  <c r="AQ334" i="15"/>
  <c r="AO334" i="15"/>
  <c r="AP334" i="15"/>
  <c r="AS340" i="15"/>
  <c r="AQ340" i="15"/>
  <c r="AO340" i="15"/>
  <c r="AP340" i="15"/>
  <c r="AS346" i="15"/>
  <c r="AQ346" i="15"/>
  <c r="AO346" i="15"/>
  <c r="AP346" i="15"/>
  <c r="AS352" i="15"/>
  <c r="AQ352" i="15"/>
  <c r="AP352" i="15"/>
  <c r="AO352" i="15"/>
  <c r="AS358" i="15"/>
  <c r="AQ358" i="15"/>
  <c r="AP358" i="15"/>
  <c r="AO358" i="15"/>
  <c r="AS364" i="15"/>
  <c r="AQ364" i="15"/>
  <c r="AP364" i="15"/>
  <c r="AO364" i="15"/>
  <c r="AS370" i="15"/>
  <c r="AQ370" i="15"/>
  <c r="AP370" i="15"/>
  <c r="AO370" i="15"/>
  <c r="AS376" i="15"/>
  <c r="AQ376" i="15"/>
  <c r="AP376" i="15"/>
  <c r="AO376" i="15"/>
  <c r="AS382" i="15"/>
  <c r="AQ382" i="15"/>
  <c r="AP382" i="15"/>
  <c r="AO382" i="15"/>
  <c r="AS388" i="15"/>
  <c r="AQ388" i="15"/>
  <c r="AP388" i="15"/>
  <c r="AO388" i="15"/>
  <c r="AS394" i="15"/>
  <c r="AQ394" i="15"/>
  <c r="AP394" i="15"/>
  <c r="AO394" i="15"/>
  <c r="AS400" i="15"/>
  <c r="AQ400" i="15"/>
  <c r="AP400" i="15"/>
  <c r="AO400" i="15"/>
  <c r="AS406" i="15"/>
  <c r="AQ406" i="15"/>
  <c r="AP406" i="15"/>
  <c r="AO406" i="15"/>
  <c r="AS412" i="15"/>
  <c r="AQ412" i="15"/>
  <c r="AP412" i="15"/>
  <c r="AO412" i="15"/>
  <c r="AS418" i="15"/>
  <c r="AQ418" i="15"/>
  <c r="AP418" i="15"/>
  <c r="AO418" i="15"/>
  <c r="AS28" i="15"/>
  <c r="AP28" i="15"/>
  <c r="AO28" i="15"/>
  <c r="AQ28" i="15"/>
  <c r="AS172" i="15"/>
  <c r="AQ172" i="15"/>
  <c r="AP172" i="15"/>
  <c r="AO172" i="15"/>
  <c r="AS424" i="15"/>
  <c r="AQ424" i="15"/>
  <c r="AP424" i="15"/>
  <c r="AO424" i="15"/>
  <c r="AS430" i="15"/>
  <c r="AQ430" i="15"/>
  <c r="AP430" i="15"/>
  <c r="AO430" i="15"/>
  <c r="AS442" i="15"/>
  <c r="AQ442" i="15"/>
  <c r="AP442" i="15"/>
  <c r="AO442" i="15"/>
  <c r="AS448" i="15"/>
  <c r="AQ448" i="15"/>
  <c r="AP448" i="15"/>
  <c r="AO448" i="15"/>
  <c r="AS460" i="15"/>
  <c r="AQ460" i="15"/>
  <c r="AP460" i="15"/>
  <c r="AO460" i="15"/>
  <c r="AS466" i="15"/>
  <c r="AQ466" i="15"/>
  <c r="AP466" i="15"/>
  <c r="AO466" i="15"/>
  <c r="AS514" i="15"/>
  <c r="AQ514" i="15"/>
  <c r="AP514" i="15"/>
  <c r="AO514" i="15"/>
  <c r="AS517" i="15"/>
  <c r="AQ517" i="15"/>
  <c r="AP517" i="15"/>
  <c r="AO517" i="15"/>
  <c r="AS573" i="15"/>
  <c r="AP573" i="15"/>
  <c r="AQ573" i="15"/>
  <c r="AO573" i="15"/>
  <c r="AS626" i="15"/>
  <c r="AQ626" i="15"/>
  <c r="AP626" i="15"/>
  <c r="AO626" i="15"/>
  <c r="AS646" i="15"/>
  <c r="AQ646" i="15"/>
  <c r="AP646" i="15"/>
  <c r="AO646" i="15"/>
  <c r="AO467" i="15"/>
  <c r="AP467" i="15"/>
  <c r="AS467" i="15"/>
  <c r="AQ467" i="15"/>
  <c r="AS520" i="15"/>
  <c r="AQ520" i="15"/>
  <c r="AP520" i="15"/>
  <c r="AO520" i="15"/>
  <c r="AS523" i="15"/>
  <c r="AQ523" i="15"/>
  <c r="AP523" i="15"/>
  <c r="AO523" i="15"/>
  <c r="AS526" i="15"/>
  <c r="AQ526" i="15"/>
  <c r="AP526" i="15"/>
  <c r="AO526" i="15"/>
  <c r="AS529" i="15"/>
  <c r="AQ529" i="15"/>
  <c r="AP529" i="15"/>
  <c r="AO529" i="15"/>
  <c r="AS532" i="15"/>
  <c r="AQ532" i="15"/>
  <c r="AP532" i="15"/>
  <c r="AO532" i="15"/>
  <c r="AS535" i="15"/>
  <c r="AQ535" i="15"/>
  <c r="AP535" i="15"/>
  <c r="AO535" i="15"/>
  <c r="AS538" i="15"/>
  <c r="AQ538" i="15"/>
  <c r="AP538" i="15"/>
  <c r="AO538" i="15"/>
  <c r="AS541" i="15"/>
  <c r="AQ541" i="15"/>
  <c r="AP541" i="15"/>
  <c r="AO541" i="15"/>
  <c r="AS544" i="15"/>
  <c r="AQ544" i="15"/>
  <c r="AP544" i="15"/>
  <c r="AO544" i="15"/>
  <c r="AS547" i="15"/>
  <c r="AQ547" i="15"/>
  <c r="AO547" i="15"/>
  <c r="AP547" i="15"/>
  <c r="AQ550" i="15"/>
  <c r="AS550" i="15"/>
  <c r="AP550" i="15"/>
  <c r="AO550" i="15"/>
  <c r="AO553" i="15"/>
  <c r="AP553" i="15"/>
  <c r="AS553" i="15"/>
  <c r="AQ553" i="15"/>
  <c r="AQ556" i="15"/>
  <c r="AP556" i="15"/>
  <c r="AO556" i="15"/>
  <c r="AS556" i="15"/>
  <c r="AS559" i="15"/>
  <c r="AQ559" i="15"/>
  <c r="AP559" i="15"/>
  <c r="AO559" i="15"/>
  <c r="AP576" i="15"/>
  <c r="AO576" i="15"/>
  <c r="AQ576" i="15"/>
  <c r="AS576" i="15"/>
  <c r="AS436" i="15"/>
  <c r="AQ436" i="15"/>
  <c r="AP436" i="15"/>
  <c r="AO436" i="15"/>
  <c r="AS454" i="15"/>
  <c r="AQ454" i="15"/>
  <c r="AP454" i="15"/>
  <c r="AO454" i="15"/>
  <c r="AS511" i="15"/>
  <c r="AQ511" i="15"/>
  <c r="AP511" i="15"/>
  <c r="AO511" i="15"/>
  <c r="AS629" i="15"/>
  <c r="AQ629" i="15"/>
  <c r="AP629" i="15"/>
  <c r="AO629" i="15"/>
  <c r="AQ5" i="15"/>
  <c r="AP5" i="15"/>
  <c r="AO5" i="15"/>
  <c r="AQ11" i="15"/>
  <c r="AP11" i="15"/>
  <c r="AO11" i="15"/>
  <c r="AQ17" i="15"/>
  <c r="AP17" i="15"/>
  <c r="AO17" i="15"/>
  <c r="AQ23" i="15"/>
  <c r="AP23" i="15"/>
  <c r="AO23" i="15"/>
  <c r="AQ29" i="15"/>
  <c r="AP29" i="15"/>
  <c r="AO29" i="15"/>
  <c r="AQ35" i="15"/>
  <c r="AP35" i="15"/>
  <c r="AO35" i="15"/>
  <c r="AQ41" i="15"/>
  <c r="AP41" i="15"/>
  <c r="AO41" i="15"/>
  <c r="AQ47" i="15"/>
  <c r="AP47" i="15"/>
  <c r="AO47" i="15"/>
  <c r="AQ53" i="15"/>
  <c r="AP53" i="15"/>
  <c r="AO53" i="15"/>
  <c r="AQ59" i="15"/>
  <c r="AP59" i="15"/>
  <c r="AO59" i="15"/>
  <c r="AQ65" i="15"/>
  <c r="AP65" i="15"/>
  <c r="AO65" i="15"/>
  <c r="AQ71" i="15"/>
  <c r="AP71" i="15"/>
  <c r="AO71" i="15"/>
  <c r="AQ77" i="15"/>
  <c r="AP77" i="15"/>
  <c r="AO77" i="15"/>
  <c r="AQ83" i="15"/>
  <c r="AP83" i="15"/>
  <c r="AO83" i="15"/>
  <c r="AQ89" i="15"/>
  <c r="AP89" i="15"/>
  <c r="AO89" i="15"/>
  <c r="AQ95" i="15"/>
  <c r="AP95" i="15"/>
  <c r="AO95" i="15"/>
  <c r="AQ101" i="15"/>
  <c r="AP101" i="15"/>
  <c r="AO101" i="15"/>
  <c r="AQ107" i="15"/>
  <c r="AP107" i="15"/>
  <c r="AO107" i="15"/>
  <c r="AQ113" i="15"/>
  <c r="AP113" i="15"/>
  <c r="AO113" i="15"/>
  <c r="AQ119" i="15"/>
  <c r="AP119" i="15"/>
  <c r="AO119" i="15"/>
  <c r="AQ125" i="15"/>
  <c r="AP125" i="15"/>
  <c r="AO125" i="15"/>
  <c r="AQ131" i="15"/>
  <c r="AP131" i="15"/>
  <c r="AO131" i="15"/>
  <c r="AQ137" i="15"/>
  <c r="AP137" i="15"/>
  <c r="AO137" i="15"/>
  <c r="AQ143" i="15"/>
  <c r="AS143" i="15"/>
  <c r="AP143" i="15"/>
  <c r="AO143" i="15"/>
  <c r="AQ149" i="15"/>
  <c r="AS149" i="15"/>
  <c r="AP149" i="15"/>
  <c r="AQ155" i="15"/>
  <c r="AS155" i="15"/>
  <c r="AP155" i="15"/>
  <c r="AO155" i="15"/>
  <c r="AQ161" i="15"/>
  <c r="AS161" i="15"/>
  <c r="AP161" i="15"/>
  <c r="AQ167" i="15"/>
  <c r="AS167" i="15"/>
  <c r="AP167" i="15"/>
  <c r="AO167" i="15"/>
  <c r="AQ173" i="15"/>
  <c r="AS173" i="15"/>
  <c r="AP173" i="15"/>
  <c r="AQ179" i="15"/>
  <c r="AS179" i="15"/>
  <c r="AP179" i="15"/>
  <c r="AO179" i="15"/>
  <c r="AQ185" i="15"/>
  <c r="AS185" i="15"/>
  <c r="AP185" i="15"/>
  <c r="AQ191" i="15"/>
  <c r="AS191" i="15"/>
  <c r="AP191" i="15"/>
  <c r="AO191" i="15"/>
  <c r="AS197" i="15"/>
  <c r="AQ197" i="15"/>
  <c r="AP197" i="15"/>
  <c r="AS203" i="15"/>
  <c r="AQ203" i="15"/>
  <c r="AP203" i="15"/>
  <c r="AO203" i="15"/>
  <c r="AS209" i="15"/>
  <c r="AQ209" i="15"/>
  <c r="AP209" i="15"/>
  <c r="AO209" i="15"/>
  <c r="AS215" i="15"/>
  <c r="AQ215" i="15"/>
  <c r="AP215" i="15"/>
  <c r="AO215" i="15"/>
  <c r="AS221" i="15"/>
  <c r="AQ221" i="15"/>
  <c r="AP221" i="15"/>
  <c r="AO221" i="15"/>
  <c r="AS227" i="15"/>
  <c r="AQ227" i="15"/>
  <c r="AP227" i="15"/>
  <c r="AO227" i="15"/>
  <c r="AS233" i="15"/>
  <c r="AQ233" i="15"/>
  <c r="AP233" i="15"/>
  <c r="AO233" i="15"/>
  <c r="AS239" i="15"/>
  <c r="AQ239" i="15"/>
  <c r="AP239" i="15"/>
  <c r="AO239" i="15"/>
  <c r="AS245" i="15"/>
  <c r="AQ245" i="15"/>
  <c r="AP245" i="15"/>
  <c r="AO245" i="15"/>
  <c r="AS251" i="15"/>
  <c r="AQ251" i="15"/>
  <c r="AP251" i="15"/>
  <c r="AO251" i="15"/>
  <c r="AS257" i="15"/>
  <c r="AQ257" i="15"/>
  <c r="AP257" i="15"/>
  <c r="AO257" i="15"/>
  <c r="AS263" i="15"/>
  <c r="AQ263" i="15"/>
  <c r="AP263" i="15"/>
  <c r="AO263" i="15"/>
  <c r="AS269" i="15"/>
  <c r="AQ269" i="15"/>
  <c r="AP269" i="15"/>
  <c r="AO269" i="15"/>
  <c r="AS275" i="15"/>
  <c r="AQ275" i="15"/>
  <c r="AP275" i="15"/>
  <c r="AO275" i="15"/>
  <c r="AS281" i="15"/>
  <c r="AQ281" i="15"/>
  <c r="AP281" i="15"/>
  <c r="AO281" i="15"/>
  <c r="AS287" i="15"/>
  <c r="AQ287" i="15"/>
  <c r="AP287" i="15"/>
  <c r="AO287" i="15"/>
  <c r="AS293" i="15"/>
  <c r="AQ293" i="15"/>
  <c r="AP293" i="15"/>
  <c r="AO293" i="15"/>
  <c r="AS299" i="15"/>
  <c r="AQ299" i="15"/>
  <c r="AP299" i="15"/>
  <c r="AO299" i="15"/>
  <c r="AS305" i="15"/>
  <c r="AQ305" i="15"/>
  <c r="AP305" i="15"/>
  <c r="AO305" i="15"/>
  <c r="AS311" i="15"/>
  <c r="AQ311" i="15"/>
  <c r="AP311" i="15"/>
  <c r="AO311" i="15"/>
  <c r="AS317" i="15"/>
  <c r="AQ317" i="15"/>
  <c r="AP317" i="15"/>
  <c r="AO317" i="15"/>
  <c r="AS323" i="15"/>
  <c r="AQ323" i="15"/>
  <c r="AP323" i="15"/>
  <c r="AO323" i="15"/>
  <c r="AS329" i="15"/>
  <c r="AQ329" i="15"/>
  <c r="AP329" i="15"/>
  <c r="AO329" i="15"/>
  <c r="AS335" i="15"/>
  <c r="AQ335" i="15"/>
  <c r="AP335" i="15"/>
  <c r="AO335" i="15"/>
  <c r="AS341" i="15"/>
  <c r="AQ341" i="15"/>
  <c r="AP341" i="15"/>
  <c r="AO341" i="15"/>
  <c r="AS347" i="15"/>
  <c r="AQ347" i="15"/>
  <c r="AP347" i="15"/>
  <c r="AO347" i="15"/>
  <c r="AS353" i="15"/>
  <c r="AQ353" i="15"/>
  <c r="AP353" i="15"/>
  <c r="AO353" i="15"/>
  <c r="AS359" i="15"/>
  <c r="AQ359" i="15"/>
  <c r="AP359" i="15"/>
  <c r="AO359" i="15"/>
  <c r="AS365" i="15"/>
  <c r="AQ365" i="15"/>
  <c r="AP365" i="15"/>
  <c r="AO365" i="15"/>
  <c r="AS371" i="15"/>
  <c r="AQ371" i="15"/>
  <c r="AP371" i="15"/>
  <c r="AO371" i="15"/>
  <c r="AS377" i="15"/>
  <c r="AQ377" i="15"/>
  <c r="AP377" i="15"/>
  <c r="AO377" i="15"/>
  <c r="AO383" i="15"/>
  <c r="AS383" i="15"/>
  <c r="AQ383" i="15"/>
  <c r="AO389" i="15"/>
  <c r="AS389" i="15"/>
  <c r="AQ389" i="15"/>
  <c r="AP389" i="15"/>
  <c r="AO395" i="15"/>
  <c r="AS395" i="15"/>
  <c r="AQ395" i="15"/>
  <c r="AP395" i="15"/>
  <c r="AO401" i="15"/>
  <c r="AS401" i="15"/>
  <c r="AQ401" i="15"/>
  <c r="AP401" i="15"/>
  <c r="AO407" i="15"/>
  <c r="AS407" i="15"/>
  <c r="AQ407" i="15"/>
  <c r="AP407" i="15"/>
  <c r="AO413" i="15"/>
  <c r="AQ413" i="15"/>
  <c r="AP413" i="15"/>
  <c r="AO419" i="15"/>
  <c r="AS419" i="15"/>
  <c r="AQ419" i="15"/>
  <c r="AP419" i="15"/>
  <c r="AO425" i="15"/>
  <c r="AS425" i="15"/>
  <c r="AQ425" i="15"/>
  <c r="AP425" i="15"/>
  <c r="AO431" i="15"/>
  <c r="AS431" i="15"/>
  <c r="AQ431" i="15"/>
  <c r="AP431" i="15"/>
  <c r="AO437" i="15"/>
  <c r="AP437" i="15"/>
  <c r="AS437" i="15"/>
  <c r="AQ437" i="15"/>
  <c r="AO443" i="15"/>
  <c r="AP443" i="15"/>
  <c r="AS443" i="15"/>
  <c r="AQ443" i="15"/>
  <c r="AO449" i="15"/>
  <c r="AP449" i="15"/>
  <c r="AS449" i="15"/>
  <c r="AQ449" i="15"/>
  <c r="AO455" i="15"/>
  <c r="AP455" i="15"/>
  <c r="AS455" i="15"/>
  <c r="AQ455" i="15"/>
  <c r="AO461" i="15"/>
  <c r="AP461" i="15"/>
  <c r="AS461" i="15"/>
  <c r="AQ461" i="15"/>
  <c r="AO470" i="15"/>
  <c r="AP470" i="15"/>
  <c r="AS470" i="15"/>
  <c r="AQ470" i="15"/>
  <c r="AO473" i="15"/>
  <c r="AP473" i="15"/>
  <c r="AS473" i="15"/>
  <c r="AQ473" i="15"/>
  <c r="AO476" i="15"/>
  <c r="AP476" i="15"/>
  <c r="AS476" i="15"/>
  <c r="AQ476" i="15"/>
  <c r="AO479" i="15"/>
  <c r="AP479" i="15"/>
  <c r="AS479" i="15"/>
  <c r="AQ479" i="15"/>
  <c r="AO482" i="15"/>
  <c r="AP482" i="15"/>
  <c r="AS482" i="15"/>
  <c r="AQ482" i="15"/>
  <c r="AS562" i="15"/>
  <c r="AQ562" i="15"/>
  <c r="AP562" i="15"/>
  <c r="AO562" i="15"/>
  <c r="AS565" i="15"/>
  <c r="AQ565" i="15"/>
  <c r="AO565" i="15"/>
  <c r="AP565" i="15"/>
  <c r="AS568" i="15"/>
  <c r="AQ568" i="15"/>
  <c r="AP568" i="15"/>
  <c r="AO568" i="15"/>
  <c r="AS579" i="15"/>
  <c r="AQ579" i="15"/>
  <c r="AP579" i="15"/>
  <c r="AO579" i="15"/>
  <c r="AS582" i="15"/>
  <c r="AP582" i="15"/>
  <c r="AQ582" i="15"/>
  <c r="AO582" i="15"/>
  <c r="AP585" i="15"/>
  <c r="AO585" i="15"/>
  <c r="AQ585" i="15"/>
  <c r="AS585" i="15"/>
  <c r="AS588" i="15"/>
  <c r="AQ588" i="15"/>
  <c r="AP588" i="15"/>
  <c r="AO588" i="15"/>
  <c r="AS591" i="15"/>
  <c r="AO591" i="15"/>
  <c r="AQ591" i="15"/>
  <c r="AP591" i="15"/>
  <c r="AS594" i="15"/>
  <c r="AQ594" i="15"/>
  <c r="AP594" i="15"/>
  <c r="AO594" i="15"/>
  <c r="AS597" i="15"/>
  <c r="AP597" i="15"/>
  <c r="AQ597" i="15"/>
  <c r="AO597" i="15"/>
  <c r="AQ600" i="15"/>
  <c r="AP600" i="15"/>
  <c r="AO600" i="15"/>
  <c r="AS600" i="15"/>
  <c r="AS603" i="15"/>
  <c r="AQ603" i="15"/>
  <c r="AP603" i="15"/>
  <c r="AO603" i="15"/>
  <c r="AS632" i="15"/>
  <c r="AQ632" i="15"/>
  <c r="AP632" i="15"/>
  <c r="AO632" i="15"/>
  <c r="AS635" i="15"/>
  <c r="AQ635" i="15"/>
  <c r="AP635" i="15"/>
  <c r="AO635" i="15"/>
  <c r="AS649" i="15"/>
  <c r="AQ649" i="15"/>
  <c r="AP649" i="15"/>
  <c r="AO649" i="15"/>
  <c r="AS652" i="15"/>
  <c r="AQ652" i="15"/>
  <c r="AP652" i="15"/>
  <c r="AO652" i="15"/>
  <c r="AS655" i="15"/>
  <c r="AQ655" i="15"/>
  <c r="AP655" i="15"/>
  <c r="AO655" i="15"/>
  <c r="AS658" i="15"/>
  <c r="AQ658" i="15"/>
  <c r="AP658" i="15"/>
  <c r="AO658" i="15"/>
  <c r="AS661" i="15"/>
  <c r="AQ661" i="15"/>
  <c r="AP661" i="15"/>
  <c r="AO661" i="15"/>
  <c r="AS664" i="15"/>
  <c r="AQ664" i="15"/>
  <c r="AP664" i="15"/>
  <c r="AO664" i="15"/>
  <c r="AS667" i="15"/>
  <c r="AQ667" i="15"/>
  <c r="AP667" i="15"/>
  <c r="AO667" i="15"/>
  <c r="AS670" i="15"/>
  <c r="AQ670" i="15"/>
  <c r="AP670" i="15"/>
  <c r="AO670" i="15"/>
  <c r="AS673" i="15"/>
  <c r="AQ673" i="15"/>
  <c r="AP673" i="15"/>
  <c r="AO673" i="15"/>
  <c r="AS676" i="15"/>
  <c r="AQ676" i="15"/>
  <c r="AP676" i="15"/>
  <c r="AO676" i="15"/>
  <c r="AS679" i="15"/>
  <c r="AQ679" i="15"/>
  <c r="AP679" i="15"/>
  <c r="AO679" i="15"/>
  <c r="AS682" i="15"/>
  <c r="AQ682" i="15"/>
  <c r="AP682" i="15"/>
  <c r="AO682" i="15"/>
  <c r="AS685" i="15"/>
  <c r="AQ685" i="15"/>
  <c r="AP685" i="15"/>
  <c r="AO685" i="15"/>
  <c r="AS688" i="15"/>
  <c r="AQ688" i="15"/>
  <c r="AP688" i="15"/>
  <c r="AO688" i="15"/>
  <c r="AS691" i="15"/>
  <c r="AQ691" i="15"/>
  <c r="AP691" i="15"/>
  <c r="AO691" i="15"/>
  <c r="AS694" i="15"/>
  <c r="AQ694" i="15"/>
  <c r="AP694" i="15"/>
  <c r="AO694" i="15"/>
  <c r="AS697" i="15"/>
  <c r="AQ697" i="15"/>
  <c r="AP697" i="15"/>
  <c r="AO697" i="15"/>
  <c r="AS700" i="15"/>
  <c r="AQ700" i="15"/>
  <c r="AP700" i="15"/>
  <c r="AO700" i="15"/>
  <c r="AS703" i="15"/>
  <c r="AQ703" i="15"/>
  <c r="AP703" i="15"/>
  <c r="AO703" i="15"/>
  <c r="AS706" i="15"/>
  <c r="AQ706" i="15"/>
  <c r="AP706" i="15"/>
  <c r="AO706" i="15"/>
  <c r="AS709" i="15"/>
  <c r="AQ709" i="15"/>
  <c r="AP709" i="15"/>
  <c r="AO709" i="15"/>
  <c r="AS712" i="15"/>
  <c r="AQ712" i="15"/>
  <c r="AP712" i="15"/>
  <c r="AO712" i="15"/>
  <c r="AS715" i="15"/>
  <c r="AQ715" i="15"/>
  <c r="AP715" i="15"/>
  <c r="AO715" i="15"/>
  <c r="AS718" i="15"/>
  <c r="AQ718" i="15"/>
  <c r="AP718" i="15"/>
  <c r="AO718" i="15"/>
  <c r="AS721" i="15"/>
  <c r="AQ721" i="15"/>
  <c r="AP721" i="15"/>
  <c r="AO721" i="15"/>
  <c r="AS724" i="15"/>
  <c r="AQ724" i="15"/>
  <c r="AP724" i="15"/>
  <c r="AO724" i="15"/>
  <c r="AS727" i="15"/>
  <c r="AQ727" i="15"/>
  <c r="AP727" i="15"/>
  <c r="AO727" i="15"/>
  <c r="AS730" i="15"/>
  <c r="AQ730" i="15"/>
  <c r="AP730" i="15"/>
  <c r="AO730" i="15"/>
  <c r="AS733" i="15"/>
  <c r="AQ733" i="15"/>
  <c r="AP733" i="15"/>
  <c r="AO733" i="15"/>
  <c r="AS736" i="15"/>
  <c r="AQ736" i="15"/>
  <c r="AP736" i="15"/>
  <c r="AO736" i="15"/>
  <c r="AS739" i="15"/>
  <c r="AQ739" i="15"/>
  <c r="AP739" i="15"/>
  <c r="AO739" i="15"/>
  <c r="AS742" i="15"/>
  <c r="AQ742" i="15"/>
  <c r="AP742" i="15"/>
  <c r="AO742" i="15"/>
  <c r="AS745" i="15"/>
  <c r="AQ745" i="15"/>
  <c r="AP745" i="15"/>
  <c r="AO745" i="15"/>
  <c r="AS748" i="15"/>
  <c r="AQ748" i="15"/>
  <c r="AP748" i="15"/>
  <c r="AO748" i="15"/>
  <c r="AS77" i="15"/>
  <c r="AS113" i="15"/>
  <c r="AO485" i="15"/>
  <c r="AP485" i="15"/>
  <c r="AS485" i="15"/>
  <c r="AQ485" i="15"/>
  <c r="AO488" i="15"/>
  <c r="AP488" i="15"/>
  <c r="AS488" i="15"/>
  <c r="AQ488" i="15"/>
  <c r="AO491" i="15"/>
  <c r="AP491" i="15"/>
  <c r="AS491" i="15"/>
  <c r="AO494" i="15"/>
  <c r="AP494" i="15"/>
  <c r="AS494" i="15"/>
  <c r="AQ494" i="15"/>
  <c r="AO497" i="15"/>
  <c r="AP497" i="15"/>
  <c r="AS497" i="15"/>
  <c r="AQ497" i="15"/>
  <c r="AO500" i="15"/>
  <c r="AP500" i="15"/>
  <c r="AS500" i="15"/>
  <c r="AQ500" i="15"/>
  <c r="AO503" i="15"/>
  <c r="AP503" i="15"/>
  <c r="AS503" i="15"/>
  <c r="AQ503" i="15"/>
  <c r="AO506" i="15"/>
  <c r="AP506" i="15"/>
  <c r="AS506" i="15"/>
  <c r="AQ506" i="15"/>
  <c r="AO509" i="15"/>
  <c r="AP509" i="15"/>
  <c r="AS509" i="15"/>
  <c r="AQ509" i="15"/>
  <c r="AS571" i="15"/>
  <c r="AQ571" i="15"/>
  <c r="AP571" i="15"/>
  <c r="AO571" i="15"/>
  <c r="AO606" i="15"/>
  <c r="AP606" i="15"/>
  <c r="AS606" i="15"/>
  <c r="AQ606" i="15"/>
  <c r="AS609" i="15"/>
  <c r="AQ609" i="15"/>
  <c r="AP609" i="15"/>
  <c r="AO609" i="15"/>
  <c r="AO612" i="15"/>
  <c r="AP612" i="15"/>
  <c r="AS612" i="15"/>
  <c r="AQ612" i="15"/>
  <c r="AS615" i="15"/>
  <c r="AQ615" i="15"/>
  <c r="AP615" i="15"/>
  <c r="AO615" i="15"/>
  <c r="AO618" i="15"/>
  <c r="AP618" i="15"/>
  <c r="AS618" i="15"/>
  <c r="AQ618" i="15"/>
  <c r="AS621" i="15"/>
  <c r="AQ621" i="15"/>
  <c r="AP621" i="15"/>
  <c r="AO621" i="15"/>
  <c r="AO624" i="15"/>
  <c r="AP624" i="15"/>
  <c r="AS624" i="15"/>
  <c r="AQ624" i="15"/>
  <c r="AS638" i="15"/>
  <c r="AQ638" i="15"/>
  <c r="AP638" i="15"/>
  <c r="AO638" i="15"/>
  <c r="AS641" i="15"/>
  <c r="AQ641" i="15"/>
  <c r="AP641" i="15"/>
  <c r="AO641" i="15"/>
  <c r="AS644" i="15"/>
  <c r="AQ644" i="15"/>
  <c r="AP644" i="15"/>
  <c r="AO644" i="15"/>
  <c r="AS751" i="15"/>
  <c r="AQ751" i="15"/>
  <c r="AP751" i="15"/>
  <c r="AO751" i="15"/>
  <c r="AS754" i="15"/>
  <c r="AQ754" i="15"/>
  <c r="AP754" i="15"/>
  <c r="AO754" i="15"/>
  <c r="AS757" i="15"/>
  <c r="AQ757" i="15"/>
  <c r="AP757" i="15"/>
  <c r="AO757" i="15"/>
  <c r="AS760" i="15"/>
  <c r="AQ760" i="15"/>
  <c r="AP760" i="15"/>
  <c r="AO760" i="15"/>
  <c r="AS763" i="15"/>
  <c r="AQ763" i="15"/>
  <c r="AP763" i="15"/>
  <c r="AO763" i="15"/>
  <c r="AS766" i="15"/>
  <c r="AQ766" i="15"/>
  <c r="AP766" i="15"/>
  <c r="AO766" i="15"/>
  <c r="AS769" i="15"/>
  <c r="AQ769" i="15"/>
  <c r="AP769" i="15"/>
  <c r="AO769" i="15"/>
  <c r="AS772" i="15"/>
  <c r="AQ772" i="15"/>
  <c r="AP772" i="15"/>
  <c r="AO772" i="15"/>
  <c r="AS775" i="15"/>
  <c r="AQ775" i="15"/>
  <c r="AP775" i="15"/>
  <c r="AO775" i="15"/>
  <c r="AS778" i="15"/>
  <c r="AQ778" i="15"/>
  <c r="AP778" i="15"/>
  <c r="AO778" i="15"/>
  <c r="AS781" i="15"/>
  <c r="AQ781" i="15"/>
  <c r="AP781" i="15"/>
  <c r="AO781" i="15"/>
  <c r="AS784" i="15"/>
  <c r="AQ784" i="15"/>
  <c r="AP784" i="15"/>
  <c r="AO784" i="15"/>
  <c r="AS787" i="15"/>
  <c r="AQ787" i="15"/>
  <c r="AP787" i="15"/>
  <c r="AO787" i="15"/>
  <c r="AS790" i="15"/>
  <c r="AQ790" i="15"/>
  <c r="AP790" i="15"/>
  <c r="AO790" i="15"/>
  <c r="AS6" i="15"/>
  <c r="AQ6" i="15"/>
  <c r="AP6" i="15"/>
  <c r="AO6" i="15"/>
  <c r="AS12" i="15"/>
  <c r="AQ12" i="15"/>
  <c r="AP12" i="15"/>
  <c r="AO12" i="15"/>
  <c r="AS18" i="15"/>
  <c r="AQ18" i="15"/>
  <c r="AP18" i="15"/>
  <c r="AO18" i="15"/>
  <c r="AS24" i="15"/>
  <c r="AQ24" i="15"/>
  <c r="AP24" i="15"/>
  <c r="AO24" i="15"/>
  <c r="AS30" i="15"/>
  <c r="AQ30" i="15"/>
  <c r="AP30" i="15"/>
  <c r="AO30" i="15"/>
  <c r="AS36" i="15"/>
  <c r="AQ36" i="15"/>
  <c r="AP36" i="15"/>
  <c r="AO36" i="15"/>
  <c r="AS42" i="15"/>
  <c r="AQ42" i="15"/>
  <c r="AP42" i="15"/>
  <c r="AO42" i="15"/>
  <c r="AS48" i="15"/>
  <c r="AQ48" i="15"/>
  <c r="AP48" i="15"/>
  <c r="AO48" i="15"/>
  <c r="AS54" i="15"/>
  <c r="AQ54" i="15"/>
  <c r="AP54" i="15"/>
  <c r="AO54" i="15"/>
  <c r="AS60" i="15"/>
  <c r="AQ60" i="15"/>
  <c r="AP60" i="15"/>
  <c r="AO60" i="15"/>
  <c r="AS66" i="15"/>
  <c r="AQ66" i="15"/>
  <c r="AP66" i="15"/>
  <c r="AO66" i="15"/>
  <c r="AS72" i="15"/>
  <c r="AQ72" i="15"/>
  <c r="AP72" i="15"/>
  <c r="AO72" i="15"/>
  <c r="AS78" i="15"/>
  <c r="AQ78" i="15"/>
  <c r="AP78" i="15"/>
  <c r="AO78" i="15"/>
  <c r="AS84" i="15"/>
  <c r="AQ84" i="15"/>
  <c r="AP84" i="15"/>
  <c r="AO84" i="15"/>
  <c r="AS90" i="15"/>
  <c r="AQ90" i="15"/>
  <c r="AP90" i="15"/>
  <c r="AO90" i="15"/>
  <c r="AS96" i="15"/>
  <c r="AQ96" i="15"/>
  <c r="AP96" i="15"/>
  <c r="AO96" i="15"/>
  <c r="AS102" i="15"/>
  <c r="AQ102" i="15"/>
  <c r="AP102" i="15"/>
  <c r="AO102" i="15"/>
  <c r="AS108" i="15"/>
  <c r="AQ108" i="15"/>
  <c r="AP108" i="15"/>
  <c r="AO108" i="15"/>
  <c r="AS114" i="15"/>
  <c r="AQ114" i="15"/>
  <c r="AP114" i="15"/>
  <c r="AO114" i="15"/>
  <c r="AS120" i="15"/>
  <c r="AQ120" i="15"/>
  <c r="AP120" i="15"/>
  <c r="AO120" i="15"/>
  <c r="AS126" i="15"/>
  <c r="AQ126" i="15"/>
  <c r="AP126" i="15"/>
  <c r="AO126" i="15"/>
  <c r="AS132" i="15"/>
  <c r="AQ132" i="15"/>
  <c r="AP132" i="15"/>
  <c r="AO132" i="15"/>
  <c r="AS138" i="15"/>
  <c r="AQ138" i="15"/>
  <c r="AP138" i="15"/>
  <c r="AO138" i="15"/>
  <c r="AP144" i="15"/>
  <c r="AO144" i="15"/>
  <c r="AS144" i="15"/>
  <c r="AQ144" i="15"/>
  <c r="AP150" i="15"/>
  <c r="AO150" i="15"/>
  <c r="AS150" i="15"/>
  <c r="AQ150" i="15"/>
  <c r="AP156" i="15"/>
  <c r="AO156" i="15"/>
  <c r="AS156" i="15"/>
  <c r="AQ156" i="15"/>
  <c r="AP162" i="15"/>
  <c r="AO162" i="15"/>
  <c r="AS162" i="15"/>
  <c r="AQ162" i="15"/>
  <c r="AP168" i="15"/>
  <c r="AO168" i="15"/>
  <c r="AS168" i="15"/>
  <c r="AQ168" i="15"/>
  <c r="AP174" i="15"/>
  <c r="AO174" i="15"/>
  <c r="AS174" i="15"/>
  <c r="AQ174" i="15"/>
  <c r="AP180" i="15"/>
  <c r="AO180" i="15"/>
  <c r="AS180" i="15"/>
  <c r="AQ180" i="15"/>
  <c r="AP186" i="15"/>
  <c r="AO186" i="15"/>
  <c r="AS186" i="15"/>
  <c r="AQ186" i="15"/>
  <c r="AP192" i="15"/>
  <c r="AO192" i="15"/>
  <c r="AS192" i="15"/>
  <c r="AQ192" i="15"/>
  <c r="AP198" i="15"/>
  <c r="AO198" i="15"/>
  <c r="AS198" i="15"/>
  <c r="AQ198" i="15"/>
  <c r="AP204" i="15"/>
  <c r="AO204" i="15"/>
  <c r="AS204" i="15"/>
  <c r="AQ204" i="15"/>
  <c r="AP210" i="15"/>
  <c r="AO210" i="15"/>
  <c r="AS210" i="15"/>
  <c r="AQ210" i="15"/>
  <c r="AP216" i="15"/>
  <c r="AO216" i="15"/>
  <c r="AS216" i="15"/>
  <c r="AP222" i="15"/>
  <c r="AO222" i="15"/>
  <c r="AS222" i="15"/>
  <c r="AQ222" i="15"/>
  <c r="AP228" i="15"/>
  <c r="AO228" i="15"/>
  <c r="AS228" i="15"/>
  <c r="AQ228" i="15"/>
  <c r="AP234" i="15"/>
  <c r="AO234" i="15"/>
  <c r="AS234" i="15"/>
  <c r="AP240" i="15"/>
  <c r="AO240" i="15"/>
  <c r="AS240" i="15"/>
  <c r="AQ240" i="15"/>
  <c r="AP246" i="15"/>
  <c r="AO246" i="15"/>
  <c r="AS246" i="15"/>
  <c r="AQ246" i="15"/>
  <c r="AP252" i="15"/>
  <c r="AO252" i="15"/>
  <c r="AS252" i="15"/>
  <c r="AP258" i="15"/>
  <c r="AO258" i="15"/>
  <c r="AS258" i="15"/>
  <c r="AQ258" i="15"/>
  <c r="AP264" i="15"/>
  <c r="AO264" i="15"/>
  <c r="AS264" i="15"/>
  <c r="AQ264" i="15"/>
  <c r="AP270" i="15"/>
  <c r="AO270" i="15"/>
  <c r="AS270" i="15"/>
  <c r="AP276" i="15"/>
  <c r="AO276" i="15"/>
  <c r="AS276" i="15"/>
  <c r="AQ276" i="15"/>
  <c r="AP282" i="15"/>
  <c r="AO282" i="15"/>
  <c r="AS282" i="15"/>
  <c r="AQ282" i="15"/>
  <c r="AP288" i="15"/>
  <c r="AO288" i="15"/>
  <c r="AS288" i="15"/>
  <c r="AP294" i="15"/>
  <c r="AO294" i="15"/>
  <c r="AS294" i="15"/>
  <c r="AQ294" i="15"/>
  <c r="AP300" i="15"/>
  <c r="AO300" i="15"/>
  <c r="AS300" i="15"/>
  <c r="AQ300" i="15"/>
  <c r="AP306" i="15"/>
  <c r="AO306" i="15"/>
  <c r="AS306" i="15"/>
  <c r="AP312" i="15"/>
  <c r="AO312" i="15"/>
  <c r="AS312" i="15"/>
  <c r="AQ312" i="15"/>
  <c r="AP318" i="15"/>
  <c r="AO318" i="15"/>
  <c r="AS318" i="15"/>
  <c r="AQ318" i="15"/>
  <c r="AP324" i="15"/>
  <c r="AO324" i="15"/>
  <c r="AS324" i="15"/>
  <c r="AP330" i="15"/>
  <c r="AO330" i="15"/>
  <c r="AS330" i="15"/>
  <c r="AQ330" i="15"/>
  <c r="AP336" i="15"/>
  <c r="AO336" i="15"/>
  <c r="AS336" i="15"/>
  <c r="AQ336" i="15"/>
  <c r="AP342" i="15"/>
  <c r="AO342" i="15"/>
  <c r="AS342" i="15"/>
  <c r="AP348" i="15"/>
  <c r="AO348" i="15"/>
  <c r="AS348" i="15"/>
  <c r="AQ348" i="15"/>
  <c r="AP354" i="15"/>
  <c r="AO354" i="15"/>
  <c r="AS354" i="15"/>
  <c r="AQ354" i="15"/>
  <c r="AP360" i="15"/>
  <c r="AO360" i="15"/>
  <c r="AS360" i="15"/>
  <c r="AQ360" i="15"/>
  <c r="AP366" i="15"/>
  <c r="AO366" i="15"/>
  <c r="AS366" i="15"/>
  <c r="AQ366" i="15"/>
  <c r="AP372" i="15"/>
  <c r="AO372" i="15"/>
  <c r="AS372" i="15"/>
  <c r="AQ372" i="15"/>
  <c r="AP378" i="15"/>
  <c r="AO378" i="15"/>
  <c r="AS378" i="15"/>
  <c r="AQ378" i="15"/>
  <c r="AS384" i="15"/>
  <c r="AQ384" i="15"/>
  <c r="AP384" i="15"/>
  <c r="AO384" i="15"/>
  <c r="AS390" i="15"/>
  <c r="AQ390" i="15"/>
  <c r="AP390" i="15"/>
  <c r="AO390" i="15"/>
  <c r="AS396" i="15"/>
  <c r="AQ396" i="15"/>
  <c r="AP396" i="15"/>
  <c r="AO396" i="15"/>
  <c r="AQ402" i="15"/>
  <c r="AP402" i="15"/>
  <c r="AO402" i="15"/>
  <c r="AS402" i="15"/>
  <c r="AO408" i="15"/>
  <c r="AS408" i="15"/>
  <c r="AQ408" i="15"/>
  <c r="AP408" i="15"/>
  <c r="AS414" i="15"/>
  <c r="AQ414" i="15"/>
  <c r="AP414" i="15"/>
  <c r="AO414" i="15"/>
  <c r="AS420" i="15"/>
  <c r="AQ420" i="15"/>
  <c r="AP420" i="15"/>
  <c r="AO420" i="15"/>
  <c r="AS426" i="15"/>
  <c r="AQ426" i="15"/>
  <c r="AP426" i="15"/>
  <c r="AO426" i="15"/>
  <c r="AS432" i="15"/>
  <c r="AQ432" i="15"/>
  <c r="AP432" i="15"/>
  <c r="AO432" i="15"/>
  <c r="AS438" i="15"/>
  <c r="AQ438" i="15"/>
  <c r="AP438" i="15"/>
  <c r="AO438" i="15"/>
  <c r="AS444" i="15"/>
  <c r="AQ444" i="15"/>
  <c r="AO444" i="15"/>
  <c r="AP444" i="15"/>
  <c r="AS450" i="15"/>
  <c r="AQ450" i="15"/>
  <c r="AP450" i="15"/>
  <c r="AO450" i="15"/>
  <c r="AS456" i="15"/>
  <c r="AQ456" i="15"/>
  <c r="AO456" i="15"/>
  <c r="AP456" i="15"/>
  <c r="AS462" i="15"/>
  <c r="AQ462" i="15"/>
  <c r="AO462" i="15"/>
  <c r="AP462" i="15"/>
  <c r="AO512" i="15"/>
  <c r="AP512" i="15"/>
  <c r="AS512" i="15"/>
  <c r="AQ512" i="15"/>
  <c r="AO515" i="15"/>
  <c r="AP515" i="15"/>
  <c r="AS515" i="15"/>
  <c r="AQ515" i="15"/>
  <c r="AO518" i="15"/>
  <c r="AP518" i="15"/>
  <c r="AS518" i="15"/>
  <c r="AQ518" i="15"/>
  <c r="AS574" i="15"/>
  <c r="AQ574" i="15"/>
  <c r="AP574" i="15"/>
  <c r="AO574" i="15"/>
  <c r="AS627" i="15"/>
  <c r="AQ627" i="15"/>
  <c r="AP627" i="15"/>
  <c r="AO627" i="15"/>
  <c r="AO630" i="15"/>
  <c r="AP630" i="15"/>
  <c r="AS630" i="15"/>
  <c r="AQ630" i="15"/>
  <c r="AS47" i="15"/>
  <c r="AS83" i="15"/>
  <c r="AS119" i="15"/>
  <c r="AO161" i="15"/>
  <c r="AQ216" i="15"/>
  <c r="AQ324" i="15"/>
  <c r="AS471" i="15"/>
  <c r="AQ471" i="15"/>
  <c r="AO471" i="15"/>
  <c r="AP471" i="15"/>
  <c r="AS474" i="15"/>
  <c r="AQ474" i="15"/>
  <c r="AO474" i="15"/>
  <c r="AP474" i="15"/>
  <c r="AS477" i="15"/>
  <c r="AQ477" i="15"/>
  <c r="AO477" i="15"/>
  <c r="AP477" i="15"/>
  <c r="AS480" i="15"/>
  <c r="AQ480" i="15"/>
  <c r="AO480" i="15"/>
  <c r="AP480" i="15"/>
  <c r="AS483" i="15"/>
  <c r="AQ483" i="15"/>
  <c r="AO483" i="15"/>
  <c r="AP483" i="15"/>
  <c r="AS563" i="15"/>
  <c r="AP563" i="15"/>
  <c r="AQ563" i="15"/>
  <c r="AO563" i="15"/>
  <c r="AS566" i="15"/>
  <c r="AP566" i="15"/>
  <c r="AQ566" i="15"/>
  <c r="AO566" i="15"/>
  <c r="AS577" i="15"/>
  <c r="AQ577" i="15"/>
  <c r="AP577" i="15"/>
  <c r="AO577" i="15"/>
  <c r="AS580" i="15"/>
  <c r="AQ580" i="15"/>
  <c r="AP580" i="15"/>
  <c r="AO580" i="15"/>
  <c r="AS583" i="15"/>
  <c r="AQ583" i="15"/>
  <c r="AP583" i="15"/>
  <c r="AO583" i="15"/>
  <c r="AS586" i="15"/>
  <c r="AQ586" i="15"/>
  <c r="AP586" i="15"/>
  <c r="AO586" i="15"/>
  <c r="AS589" i="15"/>
  <c r="AQ589" i="15"/>
  <c r="AP589" i="15"/>
  <c r="AO589" i="15"/>
  <c r="AS592" i="15"/>
  <c r="AQ592" i="15"/>
  <c r="AP592" i="15"/>
  <c r="AO592" i="15"/>
  <c r="AS595" i="15"/>
  <c r="AQ595" i="15"/>
  <c r="AO595" i="15"/>
  <c r="AP595" i="15"/>
  <c r="AS598" i="15"/>
  <c r="AQ598" i="15"/>
  <c r="AP598" i="15"/>
  <c r="AO598" i="15"/>
  <c r="AS601" i="15"/>
  <c r="AQ601" i="15"/>
  <c r="AP601" i="15"/>
  <c r="AO601" i="15"/>
  <c r="AS604" i="15"/>
  <c r="AQ604" i="15"/>
  <c r="AP604" i="15"/>
  <c r="AO604" i="15"/>
  <c r="AS633" i="15"/>
  <c r="AQ633" i="15"/>
  <c r="AP633" i="15"/>
  <c r="AO633" i="15"/>
  <c r="AS650" i="15"/>
  <c r="AQ650" i="15"/>
  <c r="AP650" i="15"/>
  <c r="AO650" i="15"/>
  <c r="AS653" i="15"/>
  <c r="AQ653" i="15"/>
  <c r="AP653" i="15"/>
  <c r="AO653" i="15"/>
  <c r="AS656" i="15"/>
  <c r="AQ656" i="15"/>
  <c r="AP656" i="15"/>
  <c r="AO656" i="15"/>
  <c r="AS659" i="15"/>
  <c r="AQ659" i="15"/>
  <c r="AP659" i="15"/>
  <c r="AO659" i="15"/>
  <c r="AS662" i="15"/>
  <c r="AQ662" i="15"/>
  <c r="AP662" i="15"/>
  <c r="AO662" i="15"/>
  <c r="AS665" i="15"/>
  <c r="AQ665" i="15"/>
  <c r="AP665" i="15"/>
  <c r="AO665" i="15"/>
  <c r="AS668" i="15"/>
  <c r="AQ668" i="15"/>
  <c r="AP668" i="15"/>
  <c r="AO668" i="15"/>
  <c r="AS671" i="15"/>
  <c r="AQ671" i="15"/>
  <c r="AP671" i="15"/>
  <c r="AO671" i="15"/>
  <c r="AS674" i="15"/>
  <c r="AQ674" i="15"/>
  <c r="AP674" i="15"/>
  <c r="AO674" i="15"/>
  <c r="AS677" i="15"/>
  <c r="AQ677" i="15"/>
  <c r="AP677" i="15"/>
  <c r="AO677" i="15"/>
  <c r="AS680" i="15"/>
  <c r="AQ680" i="15"/>
  <c r="AP680" i="15"/>
  <c r="AO680" i="15"/>
  <c r="AS683" i="15"/>
  <c r="AQ683" i="15"/>
  <c r="AP683" i="15"/>
  <c r="AO683" i="15"/>
  <c r="AS686" i="15"/>
  <c r="AQ686" i="15"/>
  <c r="AP686" i="15"/>
  <c r="AO686" i="15"/>
  <c r="AS689" i="15"/>
  <c r="AQ689" i="15"/>
  <c r="AP689" i="15"/>
  <c r="AO689" i="15"/>
  <c r="AS692" i="15"/>
  <c r="AQ692" i="15"/>
  <c r="AP692" i="15"/>
  <c r="AO692" i="15"/>
  <c r="AS695" i="15"/>
  <c r="AQ695" i="15"/>
  <c r="AP695" i="15"/>
  <c r="AO695" i="15"/>
  <c r="AS698" i="15"/>
  <c r="AQ698" i="15"/>
  <c r="AP698" i="15"/>
  <c r="AO698" i="15"/>
  <c r="AS701" i="15"/>
  <c r="AQ701" i="15"/>
  <c r="AP701" i="15"/>
  <c r="AO701" i="15"/>
  <c r="AS704" i="15"/>
  <c r="AQ704" i="15"/>
  <c r="AP704" i="15"/>
  <c r="AO704" i="15"/>
  <c r="AS707" i="15"/>
  <c r="AQ707" i="15"/>
  <c r="AP707" i="15"/>
  <c r="AO707" i="15"/>
  <c r="AS710" i="15"/>
  <c r="AQ710" i="15"/>
  <c r="AP710" i="15"/>
  <c r="AO710" i="15"/>
  <c r="AS713" i="15"/>
  <c r="AQ713" i="15"/>
  <c r="AP713" i="15"/>
  <c r="AO713" i="15"/>
  <c r="AS716" i="15"/>
  <c r="AQ716" i="15"/>
  <c r="AP716" i="15"/>
  <c r="AO716" i="15"/>
  <c r="AS719" i="15"/>
  <c r="AQ719" i="15"/>
  <c r="AP719" i="15"/>
  <c r="AO719" i="15"/>
  <c r="AS722" i="15"/>
  <c r="AQ722" i="15"/>
  <c r="AP722" i="15"/>
  <c r="AO722" i="15"/>
  <c r="AS725" i="15"/>
  <c r="AQ725" i="15"/>
  <c r="AP725" i="15"/>
  <c r="AO725" i="15"/>
  <c r="AS728" i="15"/>
  <c r="AQ728" i="15"/>
  <c r="AP728" i="15"/>
  <c r="AO728" i="15"/>
  <c r="AS731" i="15"/>
  <c r="AQ731" i="15"/>
  <c r="AP731" i="15"/>
  <c r="AO731" i="15"/>
  <c r="AS734" i="15"/>
  <c r="AQ734" i="15"/>
  <c r="AP734" i="15"/>
  <c r="AO734" i="15"/>
  <c r="AS737" i="15"/>
  <c r="AQ737" i="15"/>
  <c r="AP737" i="15"/>
  <c r="AO737" i="15"/>
  <c r="AS740" i="15"/>
  <c r="AQ740" i="15"/>
  <c r="AP740" i="15"/>
  <c r="AO740" i="15"/>
  <c r="AS743" i="15"/>
  <c r="AQ743" i="15"/>
  <c r="AP743" i="15"/>
  <c r="AO743" i="15"/>
  <c r="AS746" i="15"/>
  <c r="AQ746" i="15"/>
  <c r="AP746" i="15"/>
  <c r="AO746" i="15"/>
  <c r="AS53" i="15"/>
  <c r="AS89" i="15"/>
  <c r="AS125" i="15"/>
  <c r="AQ234" i="15"/>
  <c r="AQ342" i="15"/>
  <c r="AO524" i="15"/>
  <c r="AP524" i="15"/>
  <c r="AS524" i="15"/>
  <c r="AQ524" i="15"/>
  <c r="AO536" i="15"/>
  <c r="AP536" i="15"/>
  <c r="AS536" i="15"/>
  <c r="AQ536" i="15"/>
  <c r="AS545" i="15"/>
  <c r="AP545" i="15"/>
  <c r="AQ545" i="15"/>
  <c r="AO545" i="15"/>
  <c r="AS557" i="15"/>
  <c r="AP557" i="15"/>
  <c r="AQ557" i="15"/>
  <c r="AO557" i="15"/>
  <c r="AS560" i="15"/>
  <c r="AP560" i="15"/>
  <c r="AO560" i="15"/>
  <c r="AQ560" i="15"/>
  <c r="AS19" i="15"/>
  <c r="AP19" i="15"/>
  <c r="AO19" i="15"/>
  <c r="AS31" i="15"/>
  <c r="AP31" i="15"/>
  <c r="AO31" i="15"/>
  <c r="AS55" i="15"/>
  <c r="AQ55" i="15"/>
  <c r="AP55" i="15"/>
  <c r="AO55" i="15"/>
  <c r="AS73" i="15"/>
  <c r="AQ73" i="15"/>
  <c r="AP73" i="15"/>
  <c r="AO73" i="15"/>
  <c r="AS85" i="15"/>
  <c r="AQ85" i="15"/>
  <c r="AP85" i="15"/>
  <c r="AO85" i="15"/>
  <c r="AS97" i="15"/>
  <c r="AQ97" i="15"/>
  <c r="AP97" i="15"/>
  <c r="AO97" i="15"/>
  <c r="AS109" i="15"/>
  <c r="AQ109" i="15"/>
  <c r="AP109" i="15"/>
  <c r="AO109" i="15"/>
  <c r="AS133" i="15"/>
  <c r="AQ133" i="15"/>
  <c r="AP133" i="15"/>
  <c r="AO133" i="15"/>
  <c r="AS151" i="15"/>
  <c r="AQ151" i="15"/>
  <c r="AP151" i="15"/>
  <c r="AO151" i="15"/>
  <c r="AO157" i="15"/>
  <c r="AS157" i="15"/>
  <c r="AQ157" i="15"/>
  <c r="AS175" i="15"/>
  <c r="AQ175" i="15"/>
  <c r="AP175" i="15"/>
  <c r="AO175" i="15"/>
  <c r="AO193" i="15"/>
  <c r="AS193" i="15"/>
  <c r="AQ193" i="15"/>
  <c r="AS211" i="15"/>
  <c r="AQ211" i="15"/>
  <c r="AO211" i="15"/>
  <c r="AP211" i="15"/>
  <c r="AS241" i="15"/>
  <c r="AQ241" i="15"/>
  <c r="AO241" i="15"/>
  <c r="AP241" i="15"/>
  <c r="AS265" i="15"/>
  <c r="AQ265" i="15"/>
  <c r="AO265" i="15"/>
  <c r="AP265" i="15"/>
  <c r="AS289" i="15"/>
  <c r="AQ289" i="15"/>
  <c r="AO289" i="15"/>
  <c r="AP289" i="15"/>
  <c r="AS325" i="15"/>
  <c r="AQ325" i="15"/>
  <c r="AO325" i="15"/>
  <c r="AP325" i="15"/>
  <c r="AS349" i="15"/>
  <c r="AQ349" i="15"/>
  <c r="AO349" i="15"/>
  <c r="AP349" i="15"/>
  <c r="AQ379" i="15"/>
  <c r="AS379" i="15"/>
  <c r="AP379" i="15"/>
  <c r="AO379" i="15"/>
  <c r="AS403" i="15"/>
  <c r="AQ403" i="15"/>
  <c r="AP403" i="15"/>
  <c r="AO403" i="15"/>
  <c r="AS427" i="15"/>
  <c r="AQ427" i="15"/>
  <c r="AP427" i="15"/>
  <c r="AO427" i="15"/>
  <c r="AS457" i="15"/>
  <c r="AQ457" i="15"/>
  <c r="AP457" i="15"/>
  <c r="AO457" i="15"/>
  <c r="AS486" i="15"/>
  <c r="AQ486" i="15"/>
  <c r="AO486" i="15"/>
  <c r="AP486" i="15"/>
  <c r="AS489" i="15"/>
  <c r="AQ489" i="15"/>
  <c r="AO489" i="15"/>
  <c r="AP489" i="15"/>
  <c r="AS492" i="15"/>
  <c r="AQ492" i="15"/>
  <c r="AO492" i="15"/>
  <c r="AP492" i="15"/>
  <c r="AS495" i="15"/>
  <c r="AQ495" i="15"/>
  <c r="AO495" i="15"/>
  <c r="AP495" i="15"/>
  <c r="AS498" i="15"/>
  <c r="AQ498" i="15"/>
  <c r="AO498" i="15"/>
  <c r="AP498" i="15"/>
  <c r="AS501" i="15"/>
  <c r="AQ501" i="15"/>
  <c r="AO501" i="15"/>
  <c r="AP501" i="15"/>
  <c r="AS504" i="15"/>
  <c r="AQ504" i="15"/>
  <c r="AO504" i="15"/>
  <c r="AP504" i="15"/>
  <c r="AS507" i="15"/>
  <c r="AQ507" i="15"/>
  <c r="AO507" i="15"/>
  <c r="AP507" i="15"/>
  <c r="AS510" i="15"/>
  <c r="AQ510" i="15"/>
  <c r="AO510" i="15"/>
  <c r="AP510" i="15"/>
  <c r="AS569" i="15"/>
  <c r="AP569" i="15"/>
  <c r="AQ569" i="15"/>
  <c r="AO569" i="15"/>
  <c r="AS607" i="15"/>
  <c r="AQ607" i="15"/>
  <c r="AO607" i="15"/>
  <c r="AP607" i="15"/>
  <c r="AS610" i="15"/>
  <c r="AQ610" i="15"/>
  <c r="AP610" i="15"/>
  <c r="AO610" i="15"/>
  <c r="AS613" i="15"/>
  <c r="AQ613" i="15"/>
  <c r="AO613" i="15"/>
  <c r="AP613" i="15"/>
  <c r="AS616" i="15"/>
  <c r="AQ616" i="15"/>
  <c r="AP616" i="15"/>
  <c r="AO616" i="15"/>
  <c r="AS619" i="15"/>
  <c r="AQ619" i="15"/>
  <c r="AO619" i="15"/>
  <c r="AP619" i="15"/>
  <c r="AS622" i="15"/>
  <c r="AQ622" i="15"/>
  <c r="AP622" i="15"/>
  <c r="AO622" i="15"/>
  <c r="AS625" i="15"/>
  <c r="AQ625" i="15"/>
  <c r="AO625" i="15"/>
  <c r="AP625" i="15"/>
  <c r="AO636" i="15"/>
  <c r="AP636" i="15"/>
  <c r="AS636" i="15"/>
  <c r="AQ636" i="15"/>
  <c r="AS639" i="15"/>
  <c r="AQ639" i="15"/>
  <c r="AP639" i="15"/>
  <c r="AO639" i="15"/>
  <c r="AP642" i="15"/>
  <c r="AO642" i="15"/>
  <c r="AQ642" i="15"/>
  <c r="AS642" i="15"/>
  <c r="AQ645" i="15"/>
  <c r="AP645" i="15"/>
  <c r="AS645" i="15"/>
  <c r="AO645" i="15"/>
  <c r="AS749" i="15"/>
  <c r="AQ749" i="15"/>
  <c r="AP749" i="15"/>
  <c r="AO749" i="15"/>
  <c r="AS752" i="15"/>
  <c r="AQ752" i="15"/>
  <c r="AP752" i="15"/>
  <c r="AO752" i="15"/>
  <c r="AS755" i="15"/>
  <c r="AQ755" i="15"/>
  <c r="AP755" i="15"/>
  <c r="AO755" i="15"/>
  <c r="AS758" i="15"/>
  <c r="AQ758" i="15"/>
  <c r="AP758" i="15"/>
  <c r="AO758" i="15"/>
  <c r="AS761" i="15"/>
  <c r="AQ761" i="15"/>
  <c r="AP761" i="15"/>
  <c r="AO761" i="15"/>
  <c r="AS764" i="15"/>
  <c r="AQ764" i="15"/>
  <c r="AP764" i="15"/>
  <c r="AO764" i="15"/>
  <c r="AS767" i="15"/>
  <c r="AQ767" i="15"/>
  <c r="AP767" i="15"/>
  <c r="AO767" i="15"/>
  <c r="AS770" i="15"/>
  <c r="AQ770" i="15"/>
  <c r="AP770" i="15"/>
  <c r="AO770" i="15"/>
  <c r="AS773" i="15"/>
  <c r="AQ773" i="15"/>
  <c r="AP773" i="15"/>
  <c r="AO773" i="15"/>
  <c r="AS776" i="15"/>
  <c r="AQ776" i="15"/>
  <c r="AP776" i="15"/>
  <c r="AO776" i="15"/>
  <c r="AS779" i="15"/>
  <c r="AQ779" i="15"/>
  <c r="AP779" i="15"/>
  <c r="AO779" i="15"/>
  <c r="AS782" i="15"/>
  <c r="AQ782" i="15"/>
  <c r="AP782" i="15"/>
  <c r="AO782" i="15"/>
  <c r="AS785" i="15"/>
  <c r="AQ785" i="15"/>
  <c r="AP785" i="15"/>
  <c r="AO785" i="15"/>
  <c r="AS788" i="15"/>
  <c r="AQ788" i="15"/>
  <c r="AP788" i="15"/>
  <c r="AO788" i="15"/>
  <c r="AS791" i="15"/>
  <c r="AQ791" i="15"/>
  <c r="AP791" i="15"/>
  <c r="AO791" i="15"/>
  <c r="AO173" i="15"/>
  <c r="AO521" i="15"/>
  <c r="AP521" i="15"/>
  <c r="AS521" i="15"/>
  <c r="AQ521" i="15"/>
  <c r="AO530" i="15"/>
  <c r="AP530" i="15"/>
  <c r="AS530" i="15"/>
  <c r="AQ530" i="15"/>
  <c r="AS542" i="15"/>
  <c r="AP542" i="15"/>
  <c r="AO542" i="15"/>
  <c r="AQ542" i="15"/>
  <c r="AS551" i="15"/>
  <c r="AP551" i="15"/>
  <c r="AQ551" i="15"/>
  <c r="AO551" i="15"/>
  <c r="AS13" i="15"/>
  <c r="AP13" i="15"/>
  <c r="AO13" i="15"/>
  <c r="AS37" i="15"/>
  <c r="AP37" i="15"/>
  <c r="AO37" i="15"/>
  <c r="AS67" i="15"/>
  <c r="AQ67" i="15"/>
  <c r="AP67" i="15"/>
  <c r="AO67" i="15"/>
  <c r="AS103" i="15"/>
  <c r="AQ103" i="15"/>
  <c r="AP103" i="15"/>
  <c r="AO103" i="15"/>
  <c r="AS139" i="15"/>
  <c r="AQ139" i="15"/>
  <c r="AP139" i="15"/>
  <c r="AO139" i="15"/>
  <c r="AO169" i="15"/>
  <c r="AS169" i="15"/>
  <c r="AQ169" i="15"/>
  <c r="AS199" i="15"/>
  <c r="AQ199" i="15"/>
  <c r="AP199" i="15"/>
  <c r="AO199" i="15"/>
  <c r="AS229" i="15"/>
  <c r="AQ229" i="15"/>
  <c r="AO229" i="15"/>
  <c r="AP229" i="15"/>
  <c r="AS247" i="15"/>
  <c r="AQ247" i="15"/>
  <c r="AO247" i="15"/>
  <c r="AP247" i="15"/>
  <c r="AS277" i="15"/>
  <c r="AQ277" i="15"/>
  <c r="AO277" i="15"/>
  <c r="AP277" i="15"/>
  <c r="AS307" i="15"/>
  <c r="AQ307" i="15"/>
  <c r="AO307" i="15"/>
  <c r="AP307" i="15"/>
  <c r="AS337" i="15"/>
  <c r="AQ337" i="15"/>
  <c r="AO337" i="15"/>
  <c r="AP337" i="15"/>
  <c r="AS361" i="15"/>
  <c r="AQ361" i="15"/>
  <c r="AP361" i="15"/>
  <c r="AO361" i="15"/>
  <c r="AS373" i="15"/>
  <c r="AQ373" i="15"/>
  <c r="AP373" i="15"/>
  <c r="AO373" i="15"/>
  <c r="AS391" i="15"/>
  <c r="AQ391" i="15"/>
  <c r="AP391" i="15"/>
  <c r="AO391" i="15"/>
  <c r="AS421" i="15"/>
  <c r="AQ421" i="15"/>
  <c r="AP421" i="15"/>
  <c r="AO421" i="15"/>
  <c r="AS451" i="15"/>
  <c r="AQ451" i="15"/>
  <c r="AP451" i="15"/>
  <c r="AO451" i="15"/>
  <c r="AQ8" i="15"/>
  <c r="AP8" i="15"/>
  <c r="AO8" i="15"/>
  <c r="AQ14" i="15"/>
  <c r="AP14" i="15"/>
  <c r="AO14" i="15"/>
  <c r="AQ20" i="15"/>
  <c r="AP20" i="15"/>
  <c r="AO20" i="15"/>
  <c r="AQ26" i="15"/>
  <c r="AP26" i="15"/>
  <c r="AO26" i="15"/>
  <c r="AQ32" i="15"/>
  <c r="AP32" i="15"/>
  <c r="AO32" i="15"/>
  <c r="AQ38" i="15"/>
  <c r="AP38" i="15"/>
  <c r="AO38" i="15"/>
  <c r="AQ44" i="15"/>
  <c r="AP44" i="15"/>
  <c r="AO44" i="15"/>
  <c r="AQ50" i="15"/>
  <c r="AP50" i="15"/>
  <c r="AO50" i="15"/>
  <c r="AQ56" i="15"/>
  <c r="AP56" i="15"/>
  <c r="AO56" i="15"/>
  <c r="AQ62" i="15"/>
  <c r="AP62" i="15"/>
  <c r="AO62" i="15"/>
  <c r="AQ68" i="15"/>
  <c r="AP68" i="15"/>
  <c r="AO68" i="15"/>
  <c r="AQ74" i="15"/>
  <c r="AP74" i="15"/>
  <c r="AO74" i="15"/>
  <c r="AQ80" i="15"/>
  <c r="AP80" i="15"/>
  <c r="AO80" i="15"/>
  <c r="AQ86" i="15"/>
  <c r="AP86" i="15"/>
  <c r="AO86" i="15"/>
  <c r="AQ92" i="15"/>
  <c r="AP92" i="15"/>
  <c r="AO92" i="15"/>
  <c r="AQ98" i="15"/>
  <c r="AP98" i="15"/>
  <c r="AO98" i="15"/>
  <c r="AQ104" i="15"/>
  <c r="AP104" i="15"/>
  <c r="AO104" i="15"/>
  <c r="AQ110" i="15"/>
  <c r="AP110" i="15"/>
  <c r="AO110" i="15"/>
  <c r="AQ116" i="15"/>
  <c r="AP116" i="15"/>
  <c r="AO116" i="15"/>
  <c r="AQ122" i="15"/>
  <c r="AP122" i="15"/>
  <c r="AO122" i="15"/>
  <c r="AQ128" i="15"/>
  <c r="AP128" i="15"/>
  <c r="AO128" i="15"/>
  <c r="AQ134" i="15"/>
  <c r="AP134" i="15"/>
  <c r="AO134" i="15"/>
  <c r="AQ140" i="15"/>
  <c r="AS140" i="15"/>
  <c r="AP140" i="15"/>
  <c r="AO140" i="15"/>
  <c r="AQ146" i="15"/>
  <c r="AS146" i="15"/>
  <c r="AP146" i="15"/>
  <c r="AO146" i="15"/>
  <c r="AQ152" i="15"/>
  <c r="AS152" i="15"/>
  <c r="AP152" i="15"/>
  <c r="AO152" i="15"/>
  <c r="AQ158" i="15"/>
  <c r="AS158" i="15"/>
  <c r="AP158" i="15"/>
  <c r="AO158" i="15"/>
  <c r="AQ164" i="15"/>
  <c r="AS164" i="15"/>
  <c r="AP164" i="15"/>
  <c r="AO164" i="15"/>
  <c r="AQ170" i="15"/>
  <c r="AS170" i="15"/>
  <c r="AP170" i="15"/>
  <c r="AO170" i="15"/>
  <c r="AQ176" i="15"/>
  <c r="AS176" i="15"/>
  <c r="AP176" i="15"/>
  <c r="AO176" i="15"/>
  <c r="AQ182" i="15"/>
  <c r="AS182" i="15"/>
  <c r="AP182" i="15"/>
  <c r="AO182" i="15"/>
  <c r="AQ188" i="15"/>
  <c r="AS188" i="15"/>
  <c r="AP188" i="15"/>
  <c r="AO188" i="15"/>
  <c r="AQ194" i="15"/>
  <c r="AS194" i="15"/>
  <c r="AP194" i="15"/>
  <c r="AO194" i="15"/>
  <c r="AS200" i="15"/>
  <c r="AQ200" i="15"/>
  <c r="AP200" i="15"/>
  <c r="AO200" i="15"/>
  <c r="AS206" i="15"/>
  <c r="AQ206" i="15"/>
  <c r="AP206" i="15"/>
  <c r="AO206" i="15"/>
  <c r="AS212" i="15"/>
  <c r="AQ212" i="15"/>
  <c r="AP212" i="15"/>
  <c r="AO212" i="15"/>
  <c r="AS218" i="15"/>
  <c r="AQ218" i="15"/>
  <c r="AP218" i="15"/>
  <c r="AO218" i="15"/>
  <c r="AS224" i="15"/>
  <c r="AQ224" i="15"/>
  <c r="AP224" i="15"/>
  <c r="AO224" i="15"/>
  <c r="AS230" i="15"/>
  <c r="AQ230" i="15"/>
  <c r="AP230" i="15"/>
  <c r="AO230" i="15"/>
  <c r="AS236" i="15"/>
  <c r="AQ236" i="15"/>
  <c r="AP236" i="15"/>
  <c r="AO236" i="15"/>
  <c r="AS242" i="15"/>
  <c r="AQ242" i="15"/>
  <c r="AP242" i="15"/>
  <c r="AO242" i="15"/>
  <c r="AS248" i="15"/>
  <c r="AQ248" i="15"/>
  <c r="AP248" i="15"/>
  <c r="AO248" i="15"/>
  <c r="AS254" i="15"/>
  <c r="AQ254" i="15"/>
  <c r="AP254" i="15"/>
  <c r="AO254" i="15"/>
  <c r="AS260" i="15"/>
  <c r="AQ260" i="15"/>
  <c r="AP260" i="15"/>
  <c r="AO260" i="15"/>
  <c r="AS266" i="15"/>
  <c r="AQ266" i="15"/>
  <c r="AP266" i="15"/>
  <c r="AO266" i="15"/>
  <c r="AS272" i="15"/>
  <c r="AQ272" i="15"/>
  <c r="AP272" i="15"/>
  <c r="AO272" i="15"/>
  <c r="AS278" i="15"/>
  <c r="AQ278" i="15"/>
  <c r="AP278" i="15"/>
  <c r="AO278" i="15"/>
  <c r="AS284" i="15"/>
  <c r="AQ284" i="15"/>
  <c r="AP284" i="15"/>
  <c r="AO284" i="15"/>
  <c r="AS290" i="15"/>
  <c r="AQ290" i="15"/>
  <c r="AP290" i="15"/>
  <c r="AO290" i="15"/>
  <c r="AS296" i="15"/>
  <c r="AQ296" i="15"/>
  <c r="AP296" i="15"/>
  <c r="AO296" i="15"/>
  <c r="AS302" i="15"/>
  <c r="AQ302" i="15"/>
  <c r="AP302" i="15"/>
  <c r="AO302" i="15"/>
  <c r="AS308" i="15"/>
  <c r="AQ308" i="15"/>
  <c r="AP308" i="15"/>
  <c r="AO308" i="15"/>
  <c r="AS314" i="15"/>
  <c r="AQ314" i="15"/>
  <c r="AP314" i="15"/>
  <c r="AO314" i="15"/>
  <c r="AS320" i="15"/>
  <c r="AQ320" i="15"/>
  <c r="AP320" i="15"/>
  <c r="AO320" i="15"/>
  <c r="AS326" i="15"/>
  <c r="AQ326" i="15"/>
  <c r="AP326" i="15"/>
  <c r="AO326" i="15"/>
  <c r="AS332" i="15"/>
  <c r="AQ332" i="15"/>
  <c r="AP332" i="15"/>
  <c r="AO332" i="15"/>
  <c r="AS338" i="15"/>
  <c r="AQ338" i="15"/>
  <c r="AP338" i="15"/>
  <c r="AO338" i="15"/>
  <c r="AS344" i="15"/>
  <c r="AQ344" i="15"/>
  <c r="AP344" i="15"/>
  <c r="AO344" i="15"/>
  <c r="AS350" i="15"/>
  <c r="AQ350" i="15"/>
  <c r="AP350" i="15"/>
  <c r="AO350" i="15"/>
  <c r="AS356" i="15"/>
  <c r="AQ356" i="15"/>
  <c r="AP356" i="15"/>
  <c r="AO356" i="15"/>
  <c r="AS362" i="15"/>
  <c r="AQ362" i="15"/>
  <c r="AP362" i="15"/>
  <c r="AO362" i="15"/>
  <c r="AS368" i="15"/>
  <c r="AQ368" i="15"/>
  <c r="AP368" i="15"/>
  <c r="AO368" i="15"/>
  <c r="AS374" i="15"/>
  <c r="AQ374" i="15"/>
  <c r="AP374" i="15"/>
  <c r="AO374" i="15"/>
  <c r="AO380" i="15"/>
  <c r="AS380" i="15"/>
  <c r="AQ380" i="15"/>
  <c r="AP380" i="15"/>
  <c r="AO386" i="15"/>
  <c r="AS386" i="15"/>
  <c r="AQ386" i="15"/>
  <c r="AP386" i="15"/>
  <c r="AO392" i="15"/>
  <c r="AS392" i="15"/>
  <c r="AQ392" i="15"/>
  <c r="AP392" i="15"/>
  <c r="AO398" i="15"/>
  <c r="AP398" i="15"/>
  <c r="AS398" i="15"/>
  <c r="AQ398" i="15"/>
  <c r="AO404" i="15"/>
  <c r="AS404" i="15"/>
  <c r="AQ404" i="15"/>
  <c r="AP404" i="15"/>
  <c r="AO410" i="15"/>
  <c r="AS410" i="15"/>
  <c r="AQ410" i="15"/>
  <c r="AP410" i="15"/>
  <c r="AO416" i="15"/>
  <c r="AS416" i="15"/>
  <c r="AQ416" i="15"/>
  <c r="AP416" i="15"/>
  <c r="AO422" i="15"/>
  <c r="AS422" i="15"/>
  <c r="AQ422" i="15"/>
  <c r="AP422" i="15"/>
  <c r="AO428" i="15"/>
  <c r="AS428" i="15"/>
  <c r="AQ428" i="15"/>
  <c r="AP428" i="15"/>
  <c r="AO434" i="15"/>
  <c r="AP434" i="15"/>
  <c r="AS434" i="15"/>
  <c r="AQ434" i="15"/>
  <c r="AO440" i="15"/>
  <c r="AP440" i="15"/>
  <c r="AS440" i="15"/>
  <c r="AQ440" i="15"/>
  <c r="AO446" i="15"/>
  <c r="AP446" i="15"/>
  <c r="AS446" i="15"/>
  <c r="AQ446" i="15"/>
  <c r="AO452" i="15"/>
  <c r="AP452" i="15"/>
  <c r="AS452" i="15"/>
  <c r="AQ452" i="15"/>
  <c r="AO458" i="15"/>
  <c r="AP458" i="15"/>
  <c r="AS458" i="15"/>
  <c r="AQ458" i="15"/>
  <c r="AO464" i="15"/>
  <c r="AP464" i="15"/>
  <c r="AS464" i="15"/>
  <c r="AQ464" i="15"/>
  <c r="AS513" i="15"/>
  <c r="AQ513" i="15"/>
  <c r="AO513" i="15"/>
  <c r="AP513" i="15"/>
  <c r="AS516" i="15"/>
  <c r="AQ516" i="15"/>
  <c r="AO516" i="15"/>
  <c r="AP516" i="15"/>
  <c r="AS572" i="15"/>
  <c r="AP572" i="15"/>
  <c r="AO572" i="15"/>
  <c r="AQ572" i="15"/>
  <c r="AS575" i="15"/>
  <c r="AP575" i="15"/>
  <c r="AQ575" i="15"/>
  <c r="AO575" i="15"/>
  <c r="AS628" i="15"/>
  <c r="AQ628" i="15"/>
  <c r="AP628" i="15"/>
  <c r="AO628" i="15"/>
  <c r="AS59" i="15"/>
  <c r="AS95" i="15"/>
  <c r="AS131" i="15"/>
  <c r="AQ252" i="15"/>
  <c r="AS468" i="15"/>
  <c r="AQ468" i="15"/>
  <c r="AO468" i="15"/>
  <c r="AP468" i="15"/>
  <c r="AO527" i="15"/>
  <c r="AP527" i="15"/>
  <c r="AS527" i="15"/>
  <c r="AQ527" i="15"/>
  <c r="AO533" i="15"/>
  <c r="AP533" i="15"/>
  <c r="AS533" i="15"/>
  <c r="AQ533" i="15"/>
  <c r="AS548" i="15"/>
  <c r="AP548" i="15"/>
  <c r="AQ548" i="15"/>
  <c r="AO548" i="15"/>
  <c r="AS647" i="15"/>
  <c r="AQ647" i="15"/>
  <c r="AP647" i="15"/>
  <c r="AO647" i="15"/>
  <c r="AS7" i="15"/>
  <c r="AP7" i="15"/>
  <c r="AO7" i="15"/>
  <c r="AS43" i="15"/>
  <c r="AP43" i="15"/>
  <c r="AO43" i="15"/>
  <c r="AS79" i="15"/>
  <c r="AQ79" i="15"/>
  <c r="AP79" i="15"/>
  <c r="AO79" i="15"/>
  <c r="AS121" i="15"/>
  <c r="AQ121" i="15"/>
  <c r="AP121" i="15"/>
  <c r="AO121" i="15"/>
  <c r="AO181" i="15"/>
  <c r="AS181" i="15"/>
  <c r="AQ181" i="15"/>
  <c r="AS217" i="15"/>
  <c r="AQ217" i="15"/>
  <c r="AO217" i="15"/>
  <c r="AP217" i="15"/>
  <c r="AS259" i="15"/>
  <c r="AQ259" i="15"/>
  <c r="AO259" i="15"/>
  <c r="AP259" i="15"/>
  <c r="AS295" i="15"/>
  <c r="AQ295" i="15"/>
  <c r="AO295" i="15"/>
  <c r="AP295" i="15"/>
  <c r="AS319" i="15"/>
  <c r="AQ319" i="15"/>
  <c r="AO319" i="15"/>
  <c r="AP319" i="15"/>
  <c r="AS355" i="15"/>
  <c r="AQ355" i="15"/>
  <c r="AP355" i="15"/>
  <c r="AO355" i="15"/>
  <c r="AS385" i="15"/>
  <c r="AQ385" i="15"/>
  <c r="AP385" i="15"/>
  <c r="AO385" i="15"/>
  <c r="AS409" i="15"/>
  <c r="AQ409" i="15"/>
  <c r="AP409" i="15"/>
  <c r="AO409" i="15"/>
  <c r="AS433" i="15"/>
  <c r="AQ433" i="15"/>
  <c r="AP433" i="15"/>
  <c r="AO433" i="15"/>
  <c r="AS445" i="15"/>
  <c r="AQ445" i="15"/>
  <c r="AP445" i="15"/>
  <c r="AO445" i="15"/>
  <c r="AS469" i="15"/>
  <c r="AQ469" i="15"/>
  <c r="AP469" i="15"/>
  <c r="AO469" i="15"/>
  <c r="AS519" i="15"/>
  <c r="AQ519" i="15"/>
  <c r="AO519" i="15"/>
  <c r="AP519" i="15"/>
  <c r="AS522" i="15"/>
  <c r="AQ522" i="15"/>
  <c r="AO522" i="15"/>
  <c r="AP522" i="15"/>
  <c r="AS525" i="15"/>
  <c r="AQ525" i="15"/>
  <c r="AO525" i="15"/>
  <c r="AP525" i="15"/>
  <c r="AS528" i="15"/>
  <c r="AQ528" i="15"/>
  <c r="AO528" i="15"/>
  <c r="AP528" i="15"/>
  <c r="AS531" i="15"/>
  <c r="AQ531" i="15"/>
  <c r="AO531" i="15"/>
  <c r="AP531" i="15"/>
  <c r="AS534" i="15"/>
  <c r="AQ534" i="15"/>
  <c r="AO534" i="15"/>
  <c r="AP534" i="15"/>
  <c r="AS537" i="15"/>
  <c r="AQ537" i="15"/>
  <c r="AO537" i="15"/>
  <c r="AP537" i="15"/>
  <c r="AS540" i="15"/>
  <c r="AQ540" i="15"/>
  <c r="AO540" i="15"/>
  <c r="AP540" i="15"/>
  <c r="AQ543" i="15"/>
  <c r="AS543" i="15"/>
  <c r="AP543" i="15"/>
  <c r="AO543" i="15"/>
  <c r="AO546" i="15"/>
  <c r="AP546" i="15"/>
  <c r="AS546" i="15"/>
  <c r="AQ546" i="15"/>
  <c r="AQ549" i="15"/>
  <c r="AP549" i="15"/>
  <c r="AO549" i="15"/>
  <c r="AS549" i="15"/>
  <c r="AS552" i="15"/>
  <c r="AQ552" i="15"/>
  <c r="AP552" i="15"/>
  <c r="AO552" i="15"/>
  <c r="AS555" i="15"/>
  <c r="AQ555" i="15"/>
  <c r="AP555" i="15"/>
  <c r="AO555" i="15"/>
  <c r="AS558" i="15"/>
  <c r="AQ558" i="15"/>
  <c r="AO558" i="15"/>
  <c r="AP558" i="15"/>
  <c r="AS631" i="15"/>
  <c r="AQ631" i="15"/>
  <c r="AO631" i="15"/>
  <c r="AP631" i="15"/>
  <c r="AS17" i="15"/>
  <c r="AS35" i="15"/>
  <c r="AS62" i="15"/>
  <c r="AS98" i="15"/>
  <c r="AS134" i="15"/>
  <c r="AP181" i="15"/>
  <c r="AP383" i="15"/>
  <c r="AS127" i="15"/>
  <c r="AQ127" i="15"/>
  <c r="AP127" i="15"/>
  <c r="AO127" i="15"/>
  <c r="AS9" i="15"/>
  <c r="AQ9" i="15"/>
  <c r="AP9" i="15"/>
  <c r="AO9" i="15"/>
  <c r="AS15" i="15"/>
  <c r="AQ15" i="15"/>
  <c r="AP15" i="15"/>
  <c r="AO15" i="15"/>
  <c r="AS21" i="15"/>
  <c r="AQ21" i="15"/>
  <c r="AP21" i="15"/>
  <c r="AO21" i="15"/>
  <c r="AS27" i="15"/>
  <c r="AQ27" i="15"/>
  <c r="AP27" i="15"/>
  <c r="AO27" i="15"/>
  <c r="AS33" i="15"/>
  <c r="AQ33" i="15"/>
  <c r="AP33" i="15"/>
  <c r="AO33" i="15"/>
  <c r="AS39" i="15"/>
  <c r="AQ39" i="15"/>
  <c r="AP39" i="15"/>
  <c r="AO39" i="15"/>
  <c r="AS45" i="15"/>
  <c r="AQ45" i="15"/>
  <c r="AP45" i="15"/>
  <c r="AO45" i="15"/>
  <c r="AS51" i="15"/>
  <c r="AQ51" i="15"/>
  <c r="AP51" i="15"/>
  <c r="AO51" i="15"/>
  <c r="AS57" i="15"/>
  <c r="AQ57" i="15"/>
  <c r="AP57" i="15"/>
  <c r="AO57" i="15"/>
  <c r="AS63" i="15"/>
  <c r="AQ63" i="15"/>
  <c r="AP63" i="15"/>
  <c r="AO63" i="15"/>
  <c r="AS69" i="15"/>
  <c r="AQ69" i="15"/>
  <c r="AP69" i="15"/>
  <c r="AO69" i="15"/>
  <c r="AS75" i="15"/>
  <c r="AQ75" i="15"/>
  <c r="AP75" i="15"/>
  <c r="AO75" i="15"/>
  <c r="AS81" i="15"/>
  <c r="AQ81" i="15"/>
  <c r="AP81" i="15"/>
  <c r="AO81" i="15"/>
  <c r="AS87" i="15"/>
  <c r="AQ87" i="15"/>
  <c r="AP87" i="15"/>
  <c r="AO87" i="15"/>
  <c r="AS93" i="15"/>
  <c r="AQ93" i="15"/>
  <c r="AP93" i="15"/>
  <c r="AO93" i="15"/>
  <c r="AS99" i="15"/>
  <c r="AQ99" i="15"/>
  <c r="AP99" i="15"/>
  <c r="AO99" i="15"/>
  <c r="AS105" i="15"/>
  <c r="AQ105" i="15"/>
  <c r="AP105" i="15"/>
  <c r="AO105" i="15"/>
  <c r="AS111" i="15"/>
  <c r="AQ111" i="15"/>
  <c r="AP111" i="15"/>
  <c r="AO111" i="15"/>
  <c r="AS117" i="15"/>
  <c r="AQ117" i="15"/>
  <c r="AP117" i="15"/>
  <c r="AO117" i="15"/>
  <c r="AS123" i="15"/>
  <c r="AQ123" i="15"/>
  <c r="AP123" i="15"/>
  <c r="AO123" i="15"/>
  <c r="AS129" i="15"/>
  <c r="AQ129" i="15"/>
  <c r="AP129" i="15"/>
  <c r="AO129" i="15"/>
  <c r="AS135" i="15"/>
  <c r="AQ135" i="15"/>
  <c r="AP135" i="15"/>
  <c r="AO135" i="15"/>
  <c r="AP141" i="15"/>
  <c r="AO141" i="15"/>
  <c r="AS141" i="15"/>
  <c r="AP147" i="15"/>
  <c r="AO147" i="15"/>
  <c r="AS147" i="15"/>
  <c r="AQ147" i="15"/>
  <c r="AP153" i="15"/>
  <c r="AO153" i="15"/>
  <c r="AS153" i="15"/>
  <c r="AP159" i="15"/>
  <c r="AO159" i="15"/>
  <c r="AS159" i="15"/>
  <c r="AQ159" i="15"/>
  <c r="AP165" i="15"/>
  <c r="AO165" i="15"/>
  <c r="AS165" i="15"/>
  <c r="AP171" i="15"/>
  <c r="AO171" i="15"/>
  <c r="AS171" i="15"/>
  <c r="AQ171" i="15"/>
  <c r="AP177" i="15"/>
  <c r="AO177" i="15"/>
  <c r="AS177" i="15"/>
  <c r="AP183" i="15"/>
  <c r="AO183" i="15"/>
  <c r="AS183" i="15"/>
  <c r="AQ183" i="15"/>
  <c r="AP189" i="15"/>
  <c r="AO189" i="15"/>
  <c r="AS189" i="15"/>
  <c r="AP195" i="15"/>
  <c r="AO195" i="15"/>
  <c r="AS195" i="15"/>
  <c r="AQ195" i="15"/>
  <c r="AP201" i="15"/>
  <c r="AO201" i="15"/>
  <c r="AS201" i="15"/>
  <c r="AQ201" i="15"/>
  <c r="AP207" i="15"/>
  <c r="AO207" i="15"/>
  <c r="AS207" i="15"/>
  <c r="AP213" i="15"/>
  <c r="AO213" i="15"/>
  <c r="AS213" i="15"/>
  <c r="AQ213" i="15"/>
  <c r="AP219" i="15"/>
  <c r="AO219" i="15"/>
  <c r="AS219" i="15"/>
  <c r="AQ219" i="15"/>
  <c r="AP225" i="15"/>
  <c r="AO225" i="15"/>
  <c r="AS225" i="15"/>
  <c r="AP231" i="15"/>
  <c r="AO231" i="15"/>
  <c r="AS231" i="15"/>
  <c r="AQ231" i="15"/>
  <c r="AP237" i="15"/>
  <c r="AO237" i="15"/>
  <c r="AS237" i="15"/>
  <c r="AQ237" i="15"/>
  <c r="AP243" i="15"/>
  <c r="AO243" i="15"/>
  <c r="AS243" i="15"/>
  <c r="AP249" i="15"/>
  <c r="AO249" i="15"/>
  <c r="AS249" i="15"/>
  <c r="AQ249" i="15"/>
  <c r="AP255" i="15"/>
  <c r="AO255" i="15"/>
  <c r="AS255" i="15"/>
  <c r="AQ255" i="15"/>
  <c r="AP261" i="15"/>
  <c r="AO261" i="15"/>
  <c r="AS261" i="15"/>
  <c r="AP267" i="15"/>
  <c r="AO267" i="15"/>
  <c r="AS267" i="15"/>
  <c r="AQ267" i="15"/>
  <c r="AP273" i="15"/>
  <c r="AO273" i="15"/>
  <c r="AS273" i="15"/>
  <c r="AQ273" i="15"/>
  <c r="AP279" i="15"/>
  <c r="AO279" i="15"/>
  <c r="AS279" i="15"/>
  <c r="AP285" i="15"/>
  <c r="AO285" i="15"/>
  <c r="AS285" i="15"/>
  <c r="AQ285" i="15"/>
  <c r="AP291" i="15"/>
  <c r="AO291" i="15"/>
  <c r="AS291" i="15"/>
  <c r="AQ291" i="15"/>
  <c r="AP297" i="15"/>
  <c r="AO297" i="15"/>
  <c r="AS297" i="15"/>
  <c r="AP303" i="15"/>
  <c r="AO303" i="15"/>
  <c r="AS303" i="15"/>
  <c r="AQ303" i="15"/>
  <c r="AP309" i="15"/>
  <c r="AO309" i="15"/>
  <c r="AS309" i="15"/>
  <c r="AQ309" i="15"/>
  <c r="AP315" i="15"/>
  <c r="AO315" i="15"/>
  <c r="AS315" i="15"/>
  <c r="AP321" i="15"/>
  <c r="AO321" i="15"/>
  <c r="AS321" i="15"/>
  <c r="AQ321" i="15"/>
  <c r="AP327" i="15"/>
  <c r="AO327" i="15"/>
  <c r="AS327" i="15"/>
  <c r="AQ327" i="15"/>
  <c r="AP333" i="15"/>
  <c r="AO333" i="15"/>
  <c r="AS333" i="15"/>
  <c r="AP339" i="15"/>
  <c r="AO339" i="15"/>
  <c r="AS339" i="15"/>
  <c r="AQ339" i="15"/>
  <c r="AP345" i="15"/>
  <c r="AO345" i="15"/>
  <c r="AS345" i="15"/>
  <c r="AQ345" i="15"/>
  <c r="AP351" i="15"/>
  <c r="AO351" i="15"/>
  <c r="AS351" i="15"/>
  <c r="AP357" i="15"/>
  <c r="AO357" i="15"/>
  <c r="AS357" i="15"/>
  <c r="AQ357" i="15"/>
  <c r="AP363" i="15"/>
  <c r="AO363" i="15"/>
  <c r="AS363" i="15"/>
  <c r="AP369" i="15"/>
  <c r="AO369" i="15"/>
  <c r="AS369" i="15"/>
  <c r="AQ369" i="15"/>
  <c r="AP375" i="15"/>
  <c r="AO375" i="15"/>
  <c r="AS375" i="15"/>
  <c r="AQ375" i="15"/>
  <c r="AS381" i="15"/>
  <c r="AQ381" i="15"/>
  <c r="AP381" i="15"/>
  <c r="AO381" i="15"/>
  <c r="AP387" i="15"/>
  <c r="AO387" i="15"/>
  <c r="AS387" i="15"/>
  <c r="AQ387" i="15"/>
  <c r="AS393" i="15"/>
  <c r="AQ393" i="15"/>
  <c r="AP393" i="15"/>
  <c r="AO393" i="15"/>
  <c r="AS399" i="15"/>
  <c r="AQ399" i="15"/>
  <c r="AP399" i="15"/>
  <c r="AO399" i="15"/>
  <c r="AS405" i="15"/>
  <c r="AQ405" i="15"/>
  <c r="AP405" i="15"/>
  <c r="AO405" i="15"/>
  <c r="AS411" i="15"/>
  <c r="AQ411" i="15"/>
  <c r="AP411" i="15"/>
  <c r="AO411" i="15"/>
  <c r="AS417" i="15"/>
  <c r="AQ417" i="15"/>
  <c r="AP417" i="15"/>
  <c r="AO417" i="15"/>
  <c r="AP423" i="15"/>
  <c r="AO423" i="15"/>
  <c r="AS423" i="15"/>
  <c r="AQ423" i="15"/>
  <c r="AS429" i="15"/>
  <c r="AQ429" i="15"/>
  <c r="AP429" i="15"/>
  <c r="AO429" i="15"/>
  <c r="AS435" i="15"/>
  <c r="AQ435" i="15"/>
  <c r="AO435" i="15"/>
  <c r="AP435" i="15"/>
  <c r="AS441" i="15"/>
  <c r="AQ441" i="15"/>
  <c r="AP441" i="15"/>
  <c r="AO441" i="15"/>
  <c r="AS447" i="15"/>
  <c r="AQ447" i="15"/>
  <c r="AP447" i="15"/>
  <c r="AO447" i="15"/>
  <c r="AS453" i="15"/>
  <c r="AQ453" i="15"/>
  <c r="AO453" i="15"/>
  <c r="AP453" i="15"/>
  <c r="AS459" i="15"/>
  <c r="AQ459" i="15"/>
  <c r="AO459" i="15"/>
  <c r="AP459" i="15"/>
  <c r="AS465" i="15"/>
  <c r="AQ465" i="15"/>
  <c r="AO465" i="15"/>
  <c r="AP465" i="15"/>
  <c r="AS472" i="15"/>
  <c r="AQ472" i="15"/>
  <c r="AP472" i="15"/>
  <c r="AO472" i="15"/>
  <c r="AS475" i="15"/>
  <c r="AQ475" i="15"/>
  <c r="AP475" i="15"/>
  <c r="AO475" i="15"/>
  <c r="AS478" i="15"/>
  <c r="AQ478" i="15"/>
  <c r="AP478" i="15"/>
  <c r="AO478" i="15"/>
  <c r="AS481" i="15"/>
  <c r="AQ481" i="15"/>
  <c r="AP481" i="15"/>
  <c r="AO481" i="15"/>
  <c r="AS484" i="15"/>
  <c r="AQ484" i="15"/>
  <c r="AP484" i="15"/>
  <c r="AO484" i="15"/>
  <c r="AQ561" i="15"/>
  <c r="AS561" i="15"/>
  <c r="AP561" i="15"/>
  <c r="AO561" i="15"/>
  <c r="AO564" i="15"/>
  <c r="AP564" i="15"/>
  <c r="AS564" i="15"/>
  <c r="AQ564" i="15"/>
  <c r="AQ567" i="15"/>
  <c r="AP567" i="15"/>
  <c r="AO567" i="15"/>
  <c r="AS567" i="15"/>
  <c r="AS578" i="15"/>
  <c r="AP578" i="15"/>
  <c r="AQ578" i="15"/>
  <c r="AO578" i="15"/>
  <c r="AS581" i="15"/>
  <c r="AP581" i="15"/>
  <c r="AO581" i="15"/>
  <c r="AQ581" i="15"/>
  <c r="AS584" i="15"/>
  <c r="AP584" i="15"/>
  <c r="AQ584" i="15"/>
  <c r="AO584" i="15"/>
  <c r="AS587" i="15"/>
  <c r="AP587" i="15"/>
  <c r="AO587" i="15"/>
  <c r="AQ587" i="15"/>
  <c r="AS590" i="15"/>
  <c r="AP590" i="15"/>
  <c r="AO590" i="15"/>
  <c r="AQ590" i="15"/>
  <c r="AS593" i="15"/>
  <c r="AP593" i="15"/>
  <c r="AO593" i="15"/>
  <c r="AQ593" i="15"/>
  <c r="AS596" i="15"/>
  <c r="AP596" i="15"/>
  <c r="AO596" i="15"/>
  <c r="AQ596" i="15"/>
  <c r="AS599" i="15"/>
  <c r="AP599" i="15"/>
  <c r="AO599" i="15"/>
  <c r="AQ599" i="15"/>
  <c r="AS602" i="15"/>
  <c r="AP602" i="15"/>
  <c r="AO602" i="15"/>
  <c r="AQ602" i="15"/>
  <c r="AS634" i="15"/>
  <c r="AQ634" i="15"/>
  <c r="AP634" i="15"/>
  <c r="AO634" i="15"/>
  <c r="AQ648" i="15"/>
  <c r="AS648" i="15"/>
  <c r="AP648" i="15"/>
  <c r="AO648" i="15"/>
  <c r="AQ651" i="15"/>
  <c r="AS651" i="15"/>
  <c r="AP651" i="15"/>
  <c r="AO651" i="15"/>
  <c r="AQ654" i="15"/>
  <c r="AO654" i="15"/>
  <c r="AP654" i="15"/>
  <c r="AS654" i="15"/>
  <c r="AQ657" i="15"/>
  <c r="AP657" i="15"/>
  <c r="AS657" i="15"/>
  <c r="AO657" i="15"/>
  <c r="AQ660" i="15"/>
  <c r="AS660" i="15"/>
  <c r="AP660" i="15"/>
  <c r="AO660" i="15"/>
  <c r="AQ663" i="15"/>
  <c r="AS663" i="15"/>
  <c r="AP663" i="15"/>
  <c r="AO663" i="15"/>
  <c r="AQ666" i="15"/>
  <c r="AO666" i="15"/>
  <c r="AP666" i="15"/>
  <c r="AS666" i="15"/>
  <c r="AQ669" i="15"/>
  <c r="AP669" i="15"/>
  <c r="AS669" i="15"/>
  <c r="AO669" i="15"/>
  <c r="AQ672" i="15"/>
  <c r="AS672" i="15"/>
  <c r="AP672" i="15"/>
  <c r="AO672" i="15"/>
  <c r="AQ675" i="15"/>
  <c r="AS675" i="15"/>
  <c r="AP675" i="15"/>
  <c r="AO675" i="15"/>
  <c r="AQ678" i="15"/>
  <c r="AO678" i="15"/>
  <c r="AP678" i="15"/>
  <c r="AS678" i="15"/>
  <c r="AQ681" i="15"/>
  <c r="AP681" i="15"/>
  <c r="AS681" i="15"/>
  <c r="AO681" i="15"/>
  <c r="AQ684" i="15"/>
  <c r="AS684" i="15"/>
  <c r="AP684" i="15"/>
  <c r="AO684" i="15"/>
  <c r="AQ687" i="15"/>
  <c r="AS687" i="15"/>
  <c r="AP687" i="15"/>
  <c r="AO687" i="15"/>
  <c r="AQ690" i="15"/>
  <c r="AO690" i="15"/>
  <c r="AP690" i="15"/>
  <c r="AS690" i="15"/>
  <c r="AQ693" i="15"/>
  <c r="AP693" i="15"/>
  <c r="AS693" i="15"/>
  <c r="AO693" i="15"/>
  <c r="AQ696" i="15"/>
  <c r="AS696" i="15"/>
  <c r="AP696" i="15"/>
  <c r="AO696" i="15"/>
  <c r="AS699" i="15"/>
  <c r="AQ699" i="15"/>
  <c r="AP699" i="15"/>
  <c r="AO699" i="15"/>
  <c r="AS702" i="15"/>
  <c r="AQ702" i="15"/>
  <c r="AP702" i="15"/>
  <c r="AO702" i="15"/>
  <c r="AS705" i="15"/>
  <c r="AQ705" i="15"/>
  <c r="AO705" i="15"/>
  <c r="AP705" i="15"/>
  <c r="AS708" i="15"/>
  <c r="AQ708" i="15"/>
  <c r="AP708" i="15"/>
  <c r="AO708" i="15"/>
  <c r="AS711" i="15"/>
  <c r="AQ711" i="15"/>
  <c r="AP711" i="15"/>
  <c r="AO711" i="15"/>
  <c r="AS714" i="15"/>
  <c r="AQ714" i="15"/>
  <c r="AP714" i="15"/>
  <c r="AO714" i="15"/>
  <c r="AS717" i="15"/>
  <c r="AQ717" i="15"/>
  <c r="AP717" i="15"/>
  <c r="AO717" i="15"/>
  <c r="AS720" i="15"/>
  <c r="AQ720" i="15"/>
  <c r="AP720" i="15"/>
  <c r="AO720" i="15"/>
  <c r="AS723" i="15"/>
  <c r="AQ723" i="15"/>
  <c r="AO723" i="15"/>
  <c r="AP723" i="15"/>
  <c r="AS726" i="15"/>
  <c r="AQ726" i="15"/>
  <c r="AP726" i="15"/>
  <c r="AO726" i="15"/>
  <c r="AS729" i="15"/>
  <c r="AQ729" i="15"/>
  <c r="AP729" i="15"/>
  <c r="AO729" i="15"/>
  <c r="AS732" i="15"/>
  <c r="AQ732" i="15"/>
  <c r="AP732" i="15"/>
  <c r="AO732" i="15"/>
  <c r="AS735" i="15"/>
  <c r="AQ735" i="15"/>
  <c r="AP735" i="15"/>
  <c r="AO735" i="15"/>
  <c r="AS738" i="15"/>
  <c r="AQ738" i="15"/>
  <c r="AP738" i="15"/>
  <c r="AO738" i="15"/>
  <c r="AS741" i="15"/>
  <c r="AQ741" i="15"/>
  <c r="AO741" i="15"/>
  <c r="AP741" i="15"/>
  <c r="AS744" i="15"/>
  <c r="AQ744" i="15"/>
  <c r="AP744" i="15"/>
  <c r="AO744" i="15"/>
  <c r="AS747" i="15"/>
  <c r="AQ747" i="15"/>
  <c r="AP747" i="15"/>
  <c r="AO747" i="15"/>
  <c r="AQ19" i="15"/>
  <c r="AQ37" i="15"/>
  <c r="AS65" i="15"/>
  <c r="AS101" i="15"/>
  <c r="AS137" i="15"/>
  <c r="AO185" i="15"/>
  <c r="AQ270" i="15"/>
  <c r="AS413" i="15"/>
  <c r="AO539" i="15"/>
  <c r="AP539" i="15"/>
  <c r="AS539" i="15"/>
  <c r="AQ539" i="15"/>
  <c r="AS554" i="15"/>
  <c r="AP554" i="15"/>
  <c r="AO554" i="15"/>
  <c r="AQ554" i="15"/>
  <c r="AS25" i="15"/>
  <c r="AP25" i="15"/>
  <c r="AO25" i="15"/>
  <c r="AS49" i="15"/>
  <c r="AQ49" i="15"/>
  <c r="AP49" i="15"/>
  <c r="AO49" i="15"/>
  <c r="AS61" i="15"/>
  <c r="AQ61" i="15"/>
  <c r="AP61" i="15"/>
  <c r="AO61" i="15"/>
  <c r="AS91" i="15"/>
  <c r="AQ91" i="15"/>
  <c r="AP91" i="15"/>
  <c r="AO91" i="15"/>
  <c r="AS115" i="15"/>
  <c r="AQ115" i="15"/>
  <c r="AP115" i="15"/>
  <c r="AO115" i="15"/>
  <c r="AO145" i="15"/>
  <c r="AS145" i="15"/>
  <c r="AQ145" i="15"/>
  <c r="AS163" i="15"/>
  <c r="AQ163" i="15"/>
  <c r="AP163" i="15"/>
  <c r="AO163" i="15"/>
  <c r="AS187" i="15"/>
  <c r="AQ187" i="15"/>
  <c r="AP187" i="15"/>
  <c r="AO187" i="15"/>
  <c r="AS205" i="15"/>
  <c r="AQ205" i="15"/>
  <c r="AP205" i="15"/>
  <c r="AO205" i="15"/>
  <c r="AS223" i="15"/>
  <c r="AQ223" i="15"/>
  <c r="AO223" i="15"/>
  <c r="AP223" i="15"/>
  <c r="AS235" i="15"/>
  <c r="AQ235" i="15"/>
  <c r="AO235" i="15"/>
  <c r="AP235" i="15"/>
  <c r="AS253" i="15"/>
  <c r="AQ253" i="15"/>
  <c r="AO253" i="15"/>
  <c r="AP253" i="15"/>
  <c r="AS271" i="15"/>
  <c r="AQ271" i="15"/>
  <c r="AO271" i="15"/>
  <c r="AP271" i="15"/>
  <c r="AS283" i="15"/>
  <c r="AQ283" i="15"/>
  <c r="AO283" i="15"/>
  <c r="AP283" i="15"/>
  <c r="AS301" i="15"/>
  <c r="AQ301" i="15"/>
  <c r="AO301" i="15"/>
  <c r="AP301" i="15"/>
  <c r="AS313" i="15"/>
  <c r="AQ313" i="15"/>
  <c r="AO313" i="15"/>
  <c r="AP313" i="15"/>
  <c r="AS331" i="15"/>
  <c r="AQ331" i="15"/>
  <c r="AO331" i="15"/>
  <c r="AP331" i="15"/>
  <c r="AS343" i="15"/>
  <c r="AQ343" i="15"/>
  <c r="AO343" i="15"/>
  <c r="AP343" i="15"/>
  <c r="AS367" i="15"/>
  <c r="AQ367" i="15"/>
  <c r="AP367" i="15"/>
  <c r="AO367" i="15"/>
  <c r="AS397" i="15"/>
  <c r="AQ397" i="15"/>
  <c r="AP397" i="15"/>
  <c r="AO397" i="15"/>
  <c r="AS415" i="15"/>
  <c r="AQ415" i="15"/>
  <c r="AP415" i="15"/>
  <c r="AO415" i="15"/>
  <c r="AS439" i="15"/>
  <c r="AQ439" i="15"/>
  <c r="AP439" i="15"/>
  <c r="AO439" i="15"/>
  <c r="AS463" i="15"/>
  <c r="AQ463" i="15"/>
  <c r="AP463" i="15"/>
  <c r="AO463" i="15"/>
  <c r="AS487" i="15"/>
  <c r="AQ487" i="15"/>
  <c r="AP487" i="15"/>
  <c r="AO487" i="15"/>
  <c r="AS490" i="15"/>
  <c r="AQ490" i="15"/>
  <c r="AP490" i="15"/>
  <c r="AO490" i="15"/>
  <c r="AS493" i="15"/>
  <c r="AQ493" i="15"/>
  <c r="AP493" i="15"/>
  <c r="AO493" i="15"/>
  <c r="AS496" i="15"/>
  <c r="AQ496" i="15"/>
  <c r="AP496" i="15"/>
  <c r="AO496" i="15"/>
  <c r="AS499" i="15"/>
  <c r="AQ499" i="15"/>
  <c r="AP499" i="15"/>
  <c r="AO499" i="15"/>
  <c r="AS502" i="15"/>
  <c r="AQ502" i="15"/>
  <c r="AP502" i="15"/>
  <c r="AO502" i="15"/>
  <c r="AS505" i="15"/>
  <c r="AQ505" i="15"/>
  <c r="AP505" i="15"/>
  <c r="AO505" i="15"/>
  <c r="AS508" i="15"/>
  <c r="AQ508" i="15"/>
  <c r="AP508" i="15"/>
  <c r="AO508" i="15"/>
  <c r="AS570" i="15"/>
  <c r="AQ570" i="15"/>
  <c r="AP570" i="15"/>
  <c r="AO570" i="15"/>
  <c r="AS605" i="15"/>
  <c r="AP605" i="15"/>
  <c r="AO605" i="15"/>
  <c r="AQ605" i="15"/>
  <c r="AS608" i="15"/>
  <c r="AQ608" i="15"/>
  <c r="AP608" i="15"/>
  <c r="AO608" i="15"/>
  <c r="AS611" i="15"/>
  <c r="AQ611" i="15"/>
  <c r="AP611" i="15"/>
  <c r="AO611" i="15"/>
  <c r="AS614" i="15"/>
  <c r="AQ614" i="15"/>
  <c r="AP614" i="15"/>
  <c r="AO614" i="15"/>
  <c r="AS617" i="15"/>
  <c r="AQ617" i="15"/>
  <c r="AP617" i="15"/>
  <c r="AO617" i="15"/>
  <c r="AS620" i="15"/>
  <c r="AQ620" i="15"/>
  <c r="AP620" i="15"/>
  <c r="AO620" i="15"/>
  <c r="AS623" i="15"/>
  <c r="AQ623" i="15"/>
  <c r="AP623" i="15"/>
  <c r="AO623" i="15"/>
  <c r="AS637" i="15"/>
  <c r="AQ637" i="15"/>
  <c r="AO637" i="15"/>
  <c r="AP637" i="15"/>
  <c r="AS640" i="15"/>
  <c r="AQ640" i="15"/>
  <c r="AO640" i="15"/>
  <c r="AP640" i="15"/>
  <c r="AS643" i="15"/>
  <c r="AQ643" i="15"/>
  <c r="AP643" i="15"/>
  <c r="AO643" i="15"/>
  <c r="AS20" i="15"/>
  <c r="AS38" i="15"/>
  <c r="AS68" i="15"/>
  <c r="AS104" i="15"/>
  <c r="AQ141" i="15"/>
  <c r="AQ189" i="15"/>
  <c r="AQ279" i="15"/>
  <c r="AQ491" i="15"/>
  <c r="AS750" i="15"/>
  <c r="AQ750" i="15"/>
  <c r="AP750" i="15"/>
  <c r="AO750" i="15"/>
  <c r="AS753" i="15"/>
  <c r="AQ753" i="15"/>
  <c r="AP753" i="15"/>
  <c r="AO753" i="15"/>
  <c r="AS756" i="15"/>
  <c r="AQ756" i="15"/>
  <c r="AP756" i="15"/>
  <c r="AO756" i="15"/>
  <c r="AS759" i="15"/>
  <c r="AQ759" i="15"/>
  <c r="AO759" i="15"/>
  <c r="AP759" i="15"/>
  <c r="AS762" i="15"/>
  <c r="AQ762" i="15"/>
  <c r="AP762" i="15"/>
  <c r="AO762" i="15"/>
  <c r="AS765" i="15"/>
  <c r="AQ765" i="15"/>
  <c r="AP765" i="15"/>
  <c r="AO765" i="15"/>
  <c r="AS768" i="15"/>
  <c r="AQ768" i="15"/>
  <c r="AP768" i="15"/>
  <c r="AO768" i="15"/>
  <c r="AS771" i="15"/>
  <c r="AQ771" i="15"/>
  <c r="AP771" i="15"/>
  <c r="AO771" i="15"/>
  <c r="AS774" i="15"/>
  <c r="AQ774" i="15"/>
  <c r="AP774" i="15"/>
  <c r="AO774" i="15"/>
  <c r="AS777" i="15"/>
  <c r="AQ777" i="15"/>
  <c r="AO777" i="15"/>
  <c r="AP777" i="15"/>
  <c r="AS780" i="15"/>
  <c r="AQ780" i="15"/>
  <c r="AP780" i="15"/>
  <c r="AO780" i="15"/>
  <c r="AS783" i="15"/>
  <c r="AQ783" i="15"/>
  <c r="AP783" i="15"/>
  <c r="AO783" i="15"/>
  <c r="AS786" i="15"/>
  <c r="AQ786" i="15"/>
  <c r="AP786" i="15"/>
  <c r="AO786" i="15"/>
  <c r="AS789" i="15"/>
  <c r="AQ789" i="15"/>
  <c r="AP789" i="15"/>
  <c r="AO789" i="15"/>
  <c r="AS792" i="15"/>
  <c r="AQ792" i="15"/>
  <c r="AP792" i="15"/>
  <c r="AO792" i="15"/>
  <c r="R192" i="9"/>
  <c r="AL407" i="9" l="1"/>
  <c r="K173" i="12"/>
  <c r="J299" i="12"/>
  <c r="L5" i="12"/>
  <c r="K179" i="12"/>
  <c r="J298" i="12"/>
  <c r="J309" i="12"/>
  <c r="L93" i="12"/>
  <c r="J301" i="12"/>
  <c r="K189" i="12"/>
  <c r="J300" i="12"/>
  <c r="K176" i="12"/>
  <c r="J308" i="12"/>
  <c r="K248" i="12"/>
  <c r="J313" i="12"/>
  <c r="J304" i="12"/>
  <c r="J302" i="12"/>
  <c r="J361" i="12"/>
  <c r="K245" i="12"/>
  <c r="J297" i="12"/>
  <c r="K182" i="12"/>
  <c r="K242" i="12"/>
  <c r="J303" i="12"/>
  <c r="K192" i="12"/>
  <c r="J296" i="12"/>
  <c r="B488" i="3"/>
  <c r="B405" i="3"/>
  <c r="B294" i="3"/>
  <c r="B359" i="3" s="1"/>
  <c r="B239" i="3"/>
  <c r="B171" i="3"/>
  <c r="B92" i="3"/>
  <c r="A497" i="9" l="1"/>
  <c r="B1" i="20" l="1"/>
  <c r="A96" i="12"/>
  <c r="E98" i="12"/>
  <c r="A97" i="9"/>
  <c r="A98" i="9"/>
  <c r="A100" i="9"/>
  <c r="A96" i="9"/>
  <c r="F249"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8" i="9" l="1"/>
  <c r="Q75" i="9"/>
  <c r="Q83" i="9" s="1"/>
  <c r="Q85" i="9" s="1"/>
  <c r="O2" i="7" l="1"/>
  <c r="N2" i="7" l="1"/>
  <c r="AO3" i="15" l="1"/>
  <c r="AP3" i="15"/>
  <c r="AQ3" i="15"/>
  <c r="AF498" i="12" l="1"/>
  <c r="AF496" i="12"/>
  <c r="AF495" i="12"/>
  <c r="AF493" i="12"/>
  <c r="AF463" i="12"/>
  <c r="AF462" i="12"/>
  <c r="J245" i="12"/>
  <c r="AF461" i="12"/>
  <c r="AF457" i="12"/>
  <c r="AF456" i="12"/>
  <c r="AF421" i="12"/>
  <c r="J248" i="12"/>
  <c r="AF460" i="12"/>
  <c r="AF492" i="12"/>
  <c r="AF470" i="12"/>
  <c r="AF455" i="12"/>
  <c r="AF494" i="12"/>
  <c r="AF459" i="12"/>
  <c r="AF497" i="12"/>
  <c r="AF449" i="12"/>
  <c r="AF454" i="12"/>
  <c r="AF440" i="12"/>
  <c r="AF447" i="12"/>
  <c r="AF458" i="12"/>
  <c r="L395" i="12"/>
  <c r="L383" i="12"/>
  <c r="L370" i="12"/>
  <c r="L343" i="12"/>
  <c r="L313" i="12"/>
  <c r="L281" i="12"/>
  <c r="L269" i="12"/>
  <c r="L48" i="12"/>
  <c r="L227" i="12"/>
  <c r="L151" i="12"/>
  <c r="L76" i="12"/>
  <c r="L11" i="12"/>
  <c r="L122" i="12"/>
  <c r="L264" i="12"/>
  <c r="L70" i="12"/>
  <c r="L61" i="12"/>
  <c r="L394" i="12"/>
  <c r="L382" i="12"/>
  <c r="L369" i="12"/>
  <c r="L340" i="12"/>
  <c r="L280" i="12"/>
  <c r="L268" i="12"/>
  <c r="L127" i="12"/>
  <c r="L219" i="12"/>
  <c r="L213" i="12"/>
  <c r="L393" i="12"/>
  <c r="L381" i="12"/>
  <c r="L368" i="12"/>
  <c r="L339" i="12"/>
  <c r="L279" i="12"/>
  <c r="L266" i="12"/>
  <c r="L248" i="12"/>
  <c r="L226" i="12"/>
  <c r="L182" i="12"/>
  <c r="L150" i="12"/>
  <c r="L125" i="12"/>
  <c r="L75" i="12"/>
  <c r="L392" i="12"/>
  <c r="L380" i="12"/>
  <c r="L367" i="12"/>
  <c r="L265" i="12"/>
  <c r="J11" i="12"/>
  <c r="L10" i="12"/>
  <c r="L391" i="12"/>
  <c r="L379" i="12"/>
  <c r="L366" i="12"/>
  <c r="L333" i="12"/>
  <c r="L302" i="12"/>
  <c r="L277" i="12"/>
  <c r="J182" i="12"/>
  <c r="L38" i="12"/>
  <c r="L390" i="12"/>
  <c r="L377" i="12"/>
  <c r="L361" i="12"/>
  <c r="L330" i="12"/>
  <c r="L276" i="12"/>
  <c r="L263" i="12"/>
  <c r="L245" i="12"/>
  <c r="L210" i="12"/>
  <c r="L163" i="12"/>
  <c r="L139" i="12"/>
  <c r="L120" i="12"/>
  <c r="L68" i="12"/>
  <c r="L40" i="12"/>
  <c r="J10" i="12"/>
  <c r="L116" i="12"/>
  <c r="L205" i="12"/>
  <c r="L161" i="12"/>
  <c r="L389" i="12"/>
  <c r="L376" i="12"/>
  <c r="L329" i="12"/>
  <c r="L297" i="12"/>
  <c r="L275" i="12"/>
  <c r="L262" i="12"/>
  <c r="L209" i="12"/>
  <c r="L162" i="12"/>
  <c r="L138" i="12"/>
  <c r="L62" i="12"/>
  <c r="L39" i="12"/>
  <c r="L388" i="12"/>
  <c r="L375" i="12"/>
  <c r="L349" i="12"/>
  <c r="L325" i="12"/>
  <c r="L274" i="12"/>
  <c r="L261" i="12"/>
  <c r="L387" i="12"/>
  <c r="L374" i="12"/>
  <c r="L348" i="12"/>
  <c r="L324" i="12"/>
  <c r="L285" i="12"/>
  <c r="L273" i="12"/>
  <c r="L260" i="12"/>
  <c r="L242" i="12"/>
  <c r="L204" i="12"/>
  <c r="L160" i="12"/>
  <c r="L135" i="12"/>
  <c r="L82" i="12"/>
  <c r="L56" i="12"/>
  <c r="L34" i="12"/>
  <c r="L55" i="12"/>
  <c r="L130" i="12"/>
  <c r="L53" i="12"/>
  <c r="J12" i="12"/>
  <c r="L338" i="12"/>
  <c r="L45" i="12"/>
  <c r="L121" i="12"/>
  <c r="L43" i="12"/>
  <c r="L137" i="12"/>
  <c r="L386" i="12"/>
  <c r="L373" i="12"/>
  <c r="L347" i="12"/>
  <c r="L323" i="12"/>
  <c r="L284" i="12"/>
  <c r="L272" i="12"/>
  <c r="L259" i="12"/>
  <c r="L203" i="12"/>
  <c r="L159" i="12"/>
  <c r="L134" i="12"/>
  <c r="L81" i="12"/>
  <c r="L23" i="12"/>
  <c r="L80" i="12"/>
  <c r="L15" i="12"/>
  <c r="L71" i="12"/>
  <c r="L143" i="12"/>
  <c r="L105" i="12"/>
  <c r="L385" i="12"/>
  <c r="L372" i="12"/>
  <c r="L346" i="12"/>
  <c r="L322" i="12"/>
  <c r="L283" i="12"/>
  <c r="L271" i="12"/>
  <c r="L258" i="12"/>
  <c r="J242" i="12"/>
  <c r="L202" i="12"/>
  <c r="L158" i="12"/>
  <c r="L384" i="12"/>
  <c r="L371" i="12"/>
  <c r="L345" i="12"/>
  <c r="L320" i="12"/>
  <c r="L282" i="12"/>
  <c r="L270" i="12"/>
  <c r="L257" i="12"/>
  <c r="L229" i="12"/>
  <c r="L200" i="12"/>
  <c r="L153" i="12"/>
  <c r="L129" i="12"/>
  <c r="L79" i="12"/>
  <c r="L52" i="12"/>
  <c r="J15" i="12"/>
  <c r="L256" i="12"/>
  <c r="L228" i="12"/>
  <c r="L192" i="12"/>
  <c r="L152" i="12"/>
  <c r="L128" i="12"/>
  <c r="L77" i="12"/>
  <c r="L12" i="12"/>
  <c r="L255" i="12"/>
  <c r="L47" i="12"/>
  <c r="L46" i="12"/>
  <c r="L278" i="12"/>
  <c r="L144" i="12"/>
  <c r="L75" i="9"/>
  <c r="L76" i="9"/>
  <c r="L77" i="9"/>
  <c r="L79" i="9"/>
  <c r="L80" i="9"/>
  <c r="L81" i="9"/>
  <c r="L82" i="9"/>
  <c r="J6" i="12"/>
  <c r="J95" i="12"/>
  <c r="J8" i="12"/>
  <c r="J9" i="12"/>
  <c r="J99" i="12"/>
  <c r="J94" i="12"/>
  <c r="J173" i="12"/>
  <c r="J176" i="12"/>
  <c r="J189" i="12"/>
  <c r="J96" i="12"/>
  <c r="J101" i="12"/>
  <c r="J179" i="12"/>
  <c r="J7" i="12"/>
  <c r="J17" i="12"/>
  <c r="L51" i="12"/>
  <c r="L42" i="12"/>
  <c r="L95" i="12"/>
  <c r="L124" i="12"/>
  <c r="L140" i="12"/>
  <c r="L114" i="12"/>
  <c r="L133" i="12"/>
  <c r="L173" i="12"/>
  <c r="L50" i="12"/>
  <c r="L44" i="12"/>
  <c r="L9" i="12"/>
  <c r="L131" i="12"/>
  <c r="L148" i="12"/>
  <c r="L141" i="12"/>
  <c r="L142" i="12"/>
  <c r="L296" i="12"/>
  <c r="L214" i="12"/>
  <c r="L64" i="12"/>
  <c r="L57" i="12"/>
  <c r="L103" i="12"/>
  <c r="L145" i="12"/>
  <c r="L342" i="12"/>
  <c r="L201" i="12"/>
  <c r="L328" i="12"/>
  <c r="L308" i="12"/>
  <c r="L176" i="12"/>
  <c r="L8" i="12"/>
  <c r="L117" i="12"/>
  <c r="L118" i="12"/>
  <c r="L304" i="12"/>
  <c r="L147" i="12"/>
  <c r="L199" i="12"/>
  <c r="L225" i="12"/>
  <c r="L337" i="12"/>
  <c r="L300" i="12"/>
  <c r="L132" i="12"/>
  <c r="L126" i="12"/>
  <c r="L185" i="12"/>
  <c r="L326" i="12"/>
  <c r="L207" i="12"/>
  <c r="L212" i="12"/>
  <c r="L206" i="12"/>
  <c r="L189" i="12"/>
  <c r="L146" i="12"/>
  <c r="L149" i="12"/>
  <c r="L78" i="12"/>
  <c r="L341" i="12"/>
  <c r="L223" i="12"/>
  <c r="L215" i="12"/>
  <c r="L221" i="12"/>
  <c r="L22" i="12"/>
  <c r="L319" i="12"/>
  <c r="L321" i="12"/>
  <c r="L208" i="12"/>
  <c r="L21" i="12"/>
  <c r="L33" i="12"/>
  <c r="L216" i="12"/>
  <c r="L301" i="12"/>
  <c r="L6" i="12"/>
  <c r="L309" i="12"/>
  <c r="L327" i="12"/>
  <c r="L332" i="12"/>
  <c r="L217" i="12"/>
  <c r="L94" i="12"/>
  <c r="L224" i="12"/>
  <c r="L334" i="12"/>
  <c r="L336" i="12"/>
  <c r="L67" i="12"/>
  <c r="L63" i="12"/>
  <c r="L35" i="12"/>
  <c r="L96" i="12"/>
  <c r="L298" i="12"/>
  <c r="L60" i="12"/>
  <c r="L99" i="12"/>
  <c r="L335" i="12"/>
  <c r="L220" i="12"/>
  <c r="L31" i="12"/>
  <c r="L32" i="12"/>
  <c r="L101" i="12"/>
  <c r="L179" i="12"/>
  <c r="L104" i="12"/>
  <c r="L66" i="12"/>
  <c r="L344" i="12"/>
  <c r="L222" i="12"/>
  <c r="L49" i="12"/>
  <c r="L58" i="12"/>
  <c r="L37" i="12"/>
  <c r="L115" i="12"/>
  <c r="L303" i="12"/>
  <c r="L7" i="12"/>
  <c r="L299" i="12"/>
  <c r="L218" i="12"/>
  <c r="L17" i="12"/>
  <c r="L65" i="12"/>
  <c r="L113" i="12"/>
  <c r="L59" i="12"/>
  <c r="L119" i="12"/>
  <c r="L36" i="12"/>
  <c r="L78" i="9"/>
  <c r="J182" i="9"/>
  <c r="J9" i="9"/>
  <c r="J176" i="9"/>
  <c r="J7" i="9"/>
  <c r="J173" i="9"/>
  <c r="J6" i="9"/>
  <c r="J179" i="9"/>
  <c r="J8" i="9"/>
  <c r="J245" i="9"/>
  <c r="J94" i="9"/>
  <c r="J17" i="9"/>
  <c r="J242" i="9"/>
  <c r="J189" i="9"/>
  <c r="J101" i="9"/>
  <c r="J99" i="9"/>
  <c r="J96" i="9"/>
  <c r="J248" i="9"/>
  <c r="J95" i="9"/>
  <c r="J192" i="9"/>
  <c r="J15" i="9"/>
  <c r="AF449" i="9"/>
  <c r="AF460" i="9"/>
  <c r="AF447" i="9"/>
  <c r="AF440" i="9"/>
  <c r="L99" i="9"/>
  <c r="L31" i="9"/>
  <c r="L301" i="9"/>
  <c r="L303" i="9"/>
  <c r="L114" i="9"/>
  <c r="L32" i="9"/>
  <c r="AF497" i="9"/>
  <c r="L113" i="9"/>
  <c r="L242" i="9"/>
  <c r="L96" i="9"/>
  <c r="S96" i="9" s="1"/>
  <c r="L95" i="9"/>
  <c r="L94" i="9"/>
  <c r="L104" i="9"/>
  <c r="L101" i="9"/>
  <c r="L103" i="9"/>
  <c r="L105" i="9"/>
  <c r="L192" i="9"/>
  <c r="S192" i="9" s="1"/>
  <c r="J13" i="12" l="1"/>
  <c r="J13" i="9"/>
  <c r="R99" i="9"/>
  <c r="K99" i="9"/>
  <c r="M99" i="9"/>
  <c r="S99" i="9"/>
  <c r="N99" i="9"/>
  <c r="L97" i="9"/>
  <c r="K96" i="12"/>
  <c r="J97" i="9"/>
  <c r="K96" i="9"/>
  <c r="R96" i="9"/>
  <c r="K101" i="9"/>
  <c r="L106" i="9"/>
  <c r="K94" i="9"/>
  <c r="K95" i="9"/>
  <c r="K113" i="9" l="1"/>
  <c r="P113" i="9"/>
  <c r="P122" i="9"/>
  <c r="P115" i="9"/>
  <c r="P116" i="9"/>
  <c r="P119" i="9"/>
  <c r="P120" i="9"/>
  <c r="P117" i="9"/>
  <c r="P118" i="9"/>
  <c r="P121" i="9"/>
  <c r="P114" i="9"/>
  <c r="L109" i="9"/>
  <c r="K97" i="9"/>
  <c r="K105" i="9"/>
  <c r="R105" i="9" s="1"/>
  <c r="J109" i="9"/>
  <c r="J106" i="9"/>
  <c r="K103" i="9"/>
  <c r="R103" i="9" s="1"/>
  <c r="K104" i="9"/>
  <c r="R104" i="9" s="1"/>
  <c r="K109" i="9" l="1"/>
  <c r="K106" i="9"/>
  <c r="AH468" i="12" l="1"/>
  <c r="AI466" i="12"/>
  <c r="AH466" i="12"/>
  <c r="AI465" i="12"/>
  <c r="AH465" i="12"/>
  <c r="AI464" i="12"/>
  <c r="AH464" i="12"/>
  <c r="N353" i="12"/>
  <c r="N289" i="12"/>
  <c r="N233" i="12"/>
  <c r="M183" i="12"/>
  <c r="AH468" i="9"/>
  <c r="N353" i="9"/>
  <c r="N289" i="9"/>
  <c r="N233" i="9"/>
  <c r="M183" i="9"/>
  <c r="S1" i="12" l="1"/>
  <c r="S1" i="9"/>
  <c r="S89" i="9" s="1"/>
  <c r="K183" i="9"/>
  <c r="I69" i="8"/>
  <c r="I61" i="8"/>
  <c r="I49" i="8"/>
  <c r="I37" i="8"/>
  <c r="G69" i="8"/>
  <c r="G61" i="8"/>
  <c r="G49" i="8"/>
  <c r="G37" i="8"/>
  <c r="E69" i="8"/>
  <c r="E61" i="8"/>
  <c r="E49" i="8"/>
  <c r="E37" i="8"/>
  <c r="I20" i="8"/>
  <c r="G20" i="8"/>
  <c r="E20" i="8"/>
  <c r="I176" i="16" l="1"/>
  <c r="I174" i="16"/>
  <c r="I172" i="16"/>
  <c r="I170" i="16"/>
  <c r="I167" i="16"/>
  <c r="I165" i="16"/>
  <c r="I160" i="16"/>
  <c r="I157" i="16"/>
  <c r="I156" i="16"/>
  <c r="I155" i="16"/>
  <c r="I154" i="16"/>
  <c r="I153" i="16"/>
  <c r="I152" i="16"/>
  <c r="I151" i="16"/>
  <c r="I150" i="16"/>
  <c r="I149" i="16"/>
  <c r="I148" i="16"/>
  <c r="I146" i="16"/>
  <c r="I145" i="16"/>
  <c r="I144" i="16"/>
  <c r="I143" i="16"/>
  <c r="I142" i="16"/>
  <c r="I140" i="16"/>
  <c r="I128" i="16"/>
  <c r="I125" i="16"/>
  <c r="I124" i="16"/>
  <c r="I121" i="16"/>
  <c r="I118" i="16"/>
  <c r="I116" i="16"/>
  <c r="I114" i="16"/>
  <c r="I113" i="16"/>
  <c r="I109" i="16"/>
  <c r="I105" i="16"/>
  <c r="I104" i="16"/>
  <c r="I103" i="16"/>
  <c r="I102" i="16"/>
  <c r="I101" i="16"/>
  <c r="I100" i="16"/>
  <c r="I99" i="16"/>
  <c r="I98" i="16"/>
  <c r="I93" i="16"/>
  <c r="I91" i="16"/>
  <c r="I87" i="16"/>
  <c r="I83" i="16"/>
  <c r="I82" i="16"/>
  <c r="I81" i="16"/>
  <c r="I78" i="16"/>
  <c r="I76" i="16"/>
  <c r="I73" i="16"/>
  <c r="I72" i="16"/>
  <c r="I71" i="16"/>
  <c r="I66" i="16"/>
  <c r="I64" i="16"/>
  <c r="I63" i="16"/>
  <c r="I61" i="16"/>
  <c r="I60" i="16"/>
  <c r="I59" i="16"/>
  <c r="I54" i="16"/>
  <c r="I47" i="16"/>
  <c r="I44" i="16"/>
  <c r="I41" i="16"/>
  <c r="I37" i="16"/>
  <c r="I36" i="16"/>
  <c r="I34" i="16"/>
  <c r="I33" i="16"/>
  <c r="I27" i="16"/>
  <c r="I17" i="16"/>
  <c r="I15" i="16"/>
  <c r="I11" i="16"/>
  <c r="G8" i="16"/>
  <c r="I7" i="16"/>
  <c r="G7" i="16"/>
  <c r="G6" i="16"/>
  <c r="G5" i="16"/>
  <c r="I4" i="16"/>
  <c r="G4" i="16"/>
  <c r="G3" i="16"/>
  <c r="I2" i="16"/>
  <c r="A500" i="12"/>
  <c r="A499" i="12"/>
  <c r="A498" i="12"/>
  <c r="A497" i="12"/>
  <c r="A496" i="12"/>
  <c r="A495" i="12"/>
  <c r="A494" i="12"/>
  <c r="A493" i="12"/>
  <c r="A492" i="12"/>
  <c r="A491" i="12"/>
  <c r="A490" i="12"/>
  <c r="A489" i="12"/>
  <c r="A488" i="12"/>
  <c r="A487" i="12"/>
  <c r="A485" i="12"/>
  <c r="A484" i="12"/>
  <c r="AO483" i="12"/>
  <c r="AN483" i="12"/>
  <c r="A483" i="12"/>
  <c r="A482" i="12"/>
  <c r="A481" i="12"/>
  <c r="A480" i="12"/>
  <c r="A479" i="12"/>
  <c r="A478" i="12"/>
  <c r="A477" i="12"/>
  <c r="A476" i="12"/>
  <c r="A475" i="12"/>
  <c r="A474" i="12"/>
  <c r="A473" i="12"/>
  <c r="A472" i="12"/>
  <c r="A471" i="12"/>
  <c r="A470" i="12"/>
  <c r="A469" i="12"/>
  <c r="AO468" i="12"/>
  <c r="AN468" i="12"/>
  <c r="A468" i="12"/>
  <c r="A467" i="12"/>
  <c r="AR466" i="12"/>
  <c r="A466" i="12"/>
  <c r="AR465" i="12"/>
  <c r="A465" i="12"/>
  <c r="AR464" i="12"/>
  <c r="A464" i="12"/>
  <c r="A463" i="12"/>
  <c r="A462" i="12"/>
  <c r="A461" i="12"/>
  <c r="A460" i="12"/>
  <c r="A459" i="12"/>
  <c r="A458" i="12"/>
  <c r="A457" i="12"/>
  <c r="A456" i="12"/>
  <c r="A455" i="12"/>
  <c r="A454" i="12"/>
  <c r="A453" i="12"/>
  <c r="A452" i="12"/>
  <c r="A451" i="12"/>
  <c r="A450" i="12"/>
  <c r="A449" i="12"/>
  <c r="A448" i="12"/>
  <c r="A447" i="12"/>
  <c r="A446" i="12"/>
  <c r="A445" i="12"/>
  <c r="A444" i="12"/>
  <c r="A443" i="12"/>
  <c r="A442" i="12"/>
  <c r="A440"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4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2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R189" i="12"/>
  <c r="A189" i="12"/>
  <c r="A188" i="12"/>
  <c r="A187" i="12"/>
  <c r="A186" i="12"/>
  <c r="A185" i="12"/>
  <c r="A184" i="12"/>
  <c r="K183" i="12"/>
  <c r="A183" i="12"/>
  <c r="A182" i="12"/>
  <c r="A181" i="12"/>
  <c r="R180" i="12"/>
  <c r="A180" i="12"/>
  <c r="A179" i="12"/>
  <c r="A178" i="12"/>
  <c r="A177" i="12"/>
  <c r="A176" i="12"/>
  <c r="A175" i="12"/>
  <c r="A174" i="12"/>
  <c r="A173" i="12"/>
  <c r="A172"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2" i="12"/>
  <c r="C1" i="12"/>
  <c r="C169" i="12" s="1"/>
  <c r="AO483" i="9"/>
  <c r="AN483" i="9"/>
  <c r="AO468" i="9"/>
  <c r="AN468" i="9"/>
  <c r="R189" i="9"/>
  <c r="R180" i="9"/>
  <c r="AF14" i="9"/>
  <c r="AF15" i="9" s="1"/>
  <c r="AE15" i="9" s="1"/>
  <c r="W8" i="9"/>
  <c r="S169"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Z497" i="9" l="1"/>
  <c r="V403" i="9"/>
  <c r="Q3" i="20"/>
  <c r="P3" i="20"/>
  <c r="O3" i="20"/>
  <c r="F75" i="9"/>
  <c r="F266" i="12" a="1"/>
  <c r="F266" i="12" s="1"/>
  <c r="Z454" i="9"/>
  <c r="F96" i="9"/>
  <c r="N96" i="9" s="1"/>
  <c r="Z458" i="9"/>
  <c r="Z456" i="9"/>
  <c r="Z495" i="9"/>
  <c r="AI495" i="9" s="1"/>
  <c r="Z461" i="9"/>
  <c r="Z494" i="9"/>
  <c r="Z492" i="9"/>
  <c r="Z459" i="9"/>
  <c r="Z470" i="9"/>
  <c r="Z462" i="9"/>
  <c r="Z478" i="9"/>
  <c r="Z421" i="9"/>
  <c r="Z493" i="9"/>
  <c r="AI493" i="9" s="1"/>
  <c r="Z457" i="9"/>
  <c r="AI457" i="9" s="1"/>
  <c r="Z455" i="9"/>
  <c r="Z460" i="9"/>
  <c r="Z498" i="12" a="1"/>
  <c r="Z498" i="12" s="1"/>
  <c r="AI498" i="12" s="1"/>
  <c r="F78" i="9"/>
  <c r="F69" i="9"/>
  <c r="N69" i="9" s="1"/>
  <c r="F59" i="9"/>
  <c r="F52" i="9"/>
  <c r="F42" i="9"/>
  <c r="F35" i="9"/>
  <c r="F22" i="9"/>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63" i="9"/>
  <c r="F82" i="9"/>
  <c r="F32" i="9"/>
  <c r="F395" i="9"/>
  <c r="F382" i="9"/>
  <c r="F379" i="9"/>
  <c r="F361" i="9"/>
  <c r="F340" i="9"/>
  <c r="F325" i="9"/>
  <c r="D309" i="9"/>
  <c r="F304" i="9"/>
  <c r="D299" i="9"/>
  <c r="D297" i="9"/>
  <c r="F281" i="9"/>
  <c r="F275" i="9"/>
  <c r="F271" i="9"/>
  <c r="F268" i="9"/>
  <c r="F264" i="9"/>
  <c r="F229" i="9"/>
  <c r="F219" i="9"/>
  <c r="F212" i="9"/>
  <c r="F192" i="9"/>
  <c r="N192" i="9" s="1"/>
  <c r="F185" i="9"/>
  <c r="D42" i="8" s="1"/>
  <c r="E182" i="9"/>
  <c r="F157" i="9"/>
  <c r="N157" i="9" s="1"/>
  <c r="F151" i="9"/>
  <c r="F148" i="9"/>
  <c r="F138" i="9"/>
  <c r="F134" i="9"/>
  <c r="F131" i="9"/>
  <c r="F120" i="9"/>
  <c r="F117" i="9"/>
  <c r="F114" i="9"/>
  <c r="F104" i="9"/>
  <c r="D96" i="9"/>
  <c r="M96" i="9" s="1"/>
  <c r="F349" i="9"/>
  <c r="F330" i="9"/>
  <c r="D300" i="9"/>
  <c r="F280" i="9"/>
  <c r="F242" i="9"/>
  <c r="F200" i="9"/>
  <c r="F116" i="9"/>
  <c r="D173" i="9"/>
  <c r="F128" i="9"/>
  <c r="F391" i="9"/>
  <c r="F388" i="9"/>
  <c r="F374" i="9"/>
  <c r="F371" i="9"/>
  <c r="F367" i="9"/>
  <c r="D361" i="9"/>
  <c r="D363" i="9" s="1"/>
  <c r="E363" i="9" s="1"/>
  <c r="F346" i="9"/>
  <c r="F343" i="9"/>
  <c r="F336" i="9"/>
  <c r="F332" i="9"/>
  <c r="F328" i="9"/>
  <c r="F321" i="9"/>
  <c r="D59" i="8" s="1"/>
  <c r="D304" i="9"/>
  <c r="E304" i="9" s="1"/>
  <c r="F302" i="9"/>
  <c r="F278" i="9"/>
  <c r="F260" i="9"/>
  <c r="F257" i="9"/>
  <c r="F225" i="9"/>
  <c r="F222" i="9"/>
  <c r="F207" i="9"/>
  <c r="F204" i="9"/>
  <c r="F201" i="9"/>
  <c r="E192" i="9"/>
  <c r="D182" i="9"/>
  <c r="F163" i="9"/>
  <c r="F160" i="9"/>
  <c r="F144" i="9"/>
  <c r="F141" i="9"/>
  <c r="F127" i="9"/>
  <c r="F124" i="9"/>
  <c r="D104" i="9"/>
  <c r="E104" i="9" s="1"/>
  <c r="F101" i="9"/>
  <c r="N101" i="9" s="1"/>
  <c r="F94" i="9"/>
  <c r="F381" i="9"/>
  <c r="F345" i="9"/>
  <c r="F308" i="9"/>
  <c r="F277" i="9"/>
  <c r="F217" i="9"/>
  <c r="F150" i="9"/>
  <c r="F103" i="9"/>
  <c r="F145" i="9"/>
  <c r="F76" i="9"/>
  <c r="F394" i="9"/>
  <c r="F384" i="9"/>
  <c r="F377" i="9"/>
  <c r="F339" i="9"/>
  <c r="F324" i="9"/>
  <c r="D302" i="9"/>
  <c r="E302" i="9" s="1"/>
  <c r="F300" i="9"/>
  <c r="F284" i="9"/>
  <c r="F270" i="9"/>
  <c r="F263" i="9"/>
  <c r="F228" i="9"/>
  <c r="F214" i="9"/>
  <c r="D47" i="8" s="1"/>
  <c r="F210" i="9"/>
  <c r="F153" i="9"/>
  <c r="F147" i="9"/>
  <c r="F137" i="9"/>
  <c r="F130" i="9"/>
  <c r="F119" i="9"/>
  <c r="F113" i="9"/>
  <c r="D101" i="9"/>
  <c r="D94" i="9"/>
  <c r="F387" i="9"/>
  <c r="F370" i="9"/>
  <c r="F335" i="9"/>
  <c r="F313" i="9"/>
  <c r="M313" i="9" s="1"/>
  <c r="F298" i="9"/>
  <c r="F266" i="9"/>
  <c r="F206" i="9"/>
  <c r="F133" i="9"/>
  <c r="E176" i="9"/>
  <c r="F393" i="9"/>
  <c r="F390" i="9"/>
  <c r="F376" i="9"/>
  <c r="F373" i="9"/>
  <c r="F366" i="9"/>
  <c r="F342" i="9"/>
  <c r="F327" i="9"/>
  <c r="F323" i="9"/>
  <c r="F320" i="9"/>
  <c r="D313" i="9"/>
  <c r="E313" i="9" s="1"/>
  <c r="D308" i="9"/>
  <c r="E308" i="9" s="1"/>
  <c r="D298" i="9"/>
  <c r="F296" i="9"/>
  <c r="F283" i="9"/>
  <c r="F273" i="9"/>
  <c r="F262" i="9"/>
  <c r="F259" i="9"/>
  <c r="F256" i="9"/>
  <c r="F245" i="9"/>
  <c r="E242" i="9"/>
  <c r="F227" i="9"/>
  <c r="F224" i="9"/>
  <c r="F221" i="9"/>
  <c r="F203" i="9"/>
  <c r="F173" i="9"/>
  <c r="F162" i="9"/>
  <c r="F159" i="9"/>
  <c r="F146" i="9"/>
  <c r="F143" i="9"/>
  <c r="F140" i="9"/>
  <c r="F129" i="9"/>
  <c r="F126" i="9"/>
  <c r="F122" i="9"/>
  <c r="F105" i="9"/>
  <c r="N105" i="9" s="1"/>
  <c r="D103" i="9"/>
  <c r="E103" i="9" s="1"/>
  <c r="F95" i="9"/>
  <c r="N95" i="9" s="1"/>
  <c r="F392" i="9"/>
  <c r="F375" i="9"/>
  <c r="F341" i="9"/>
  <c r="F329" i="9"/>
  <c r="F322" i="9"/>
  <c r="D301" i="9"/>
  <c r="F279" i="9"/>
  <c r="F272" i="9"/>
  <c r="F255" i="9"/>
  <c r="F226" i="9"/>
  <c r="F205" i="9"/>
  <c r="E189" i="9"/>
  <c r="F158" i="9"/>
  <c r="F121" i="9"/>
  <c r="F386" i="9"/>
  <c r="F383" i="9"/>
  <c r="F369" i="9"/>
  <c r="F348" i="9"/>
  <c r="F334" i="9"/>
  <c r="F303" i="9"/>
  <c r="F301" i="9"/>
  <c r="D296" i="9"/>
  <c r="F269" i="9"/>
  <c r="F265" i="9"/>
  <c r="E245" i="9"/>
  <c r="D242" i="9"/>
  <c r="F216" i="9"/>
  <c r="F213" i="9"/>
  <c r="F209" i="9"/>
  <c r="F199" i="9"/>
  <c r="F189" i="9"/>
  <c r="F179" i="9"/>
  <c r="F176" i="9"/>
  <c r="E173" i="9"/>
  <c r="F152" i="9"/>
  <c r="F149" i="9"/>
  <c r="F135" i="9"/>
  <c r="F132" i="9"/>
  <c r="F118" i="9"/>
  <c r="F115" i="9"/>
  <c r="D105" i="9"/>
  <c r="E105" i="9" s="1"/>
  <c r="D95" i="9"/>
  <c r="F93" i="9"/>
  <c r="F380" i="9"/>
  <c r="F344" i="9"/>
  <c r="F337" i="9"/>
  <c r="F326" i="9"/>
  <c r="D303" i="9"/>
  <c r="E303" i="9" s="1"/>
  <c r="F282" i="9"/>
  <c r="F276" i="9"/>
  <c r="F261" i="9"/>
  <c r="D245" i="9"/>
  <c r="F220" i="9"/>
  <c r="F202" i="9"/>
  <c r="E179" i="9"/>
  <c r="F139" i="9"/>
  <c r="F125" i="9"/>
  <c r="F372" i="9"/>
  <c r="F285" i="9"/>
  <c r="F258" i="9"/>
  <c r="F182" i="9"/>
  <c r="F208" i="9"/>
  <c r="F385" i="9"/>
  <c r="F333" i="9"/>
  <c r="F223" i="9"/>
  <c r="D176" i="9"/>
  <c r="F319" i="9"/>
  <c r="F299" i="9"/>
  <c r="F368" i="9"/>
  <c r="F309" i="9"/>
  <c r="F297" i="9"/>
  <c r="F215" i="9"/>
  <c r="F389" i="9"/>
  <c r="D179" i="9"/>
  <c r="F347" i="9"/>
  <c r="F161" i="9"/>
  <c r="F142" i="9"/>
  <c r="C169" i="9"/>
  <c r="C89" i="9"/>
  <c r="C292" i="9"/>
  <c r="C357" i="9" s="1"/>
  <c r="C237" i="12"/>
  <c r="O3" i="7"/>
  <c r="O7" i="7"/>
  <c r="N5" i="7"/>
  <c r="C89" i="12"/>
  <c r="O8" i="7"/>
  <c r="S5" i="5"/>
  <c r="G35" i="8"/>
  <c r="I35" i="8" s="1"/>
  <c r="N8" i="1"/>
  <c r="AO486" i="9"/>
  <c r="N10" i="1"/>
  <c r="S237" i="9"/>
  <c r="AO403" i="9"/>
  <c r="N14" i="1"/>
  <c r="S89" i="12"/>
  <c r="S169"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486" i="9"/>
  <c r="C237" i="9"/>
  <c r="A35" i="12"/>
  <c r="A58" i="12"/>
  <c r="A62" i="12"/>
  <c r="A66" i="12"/>
  <c r="S292" i="9"/>
  <c r="S357" i="9"/>
  <c r="A6" i="12"/>
  <c r="A37" i="12"/>
  <c r="AO403" i="12"/>
  <c r="AO486" i="12"/>
  <c r="S357" i="12"/>
  <c r="A71" i="12"/>
  <c r="S237" i="12"/>
  <c r="V403" i="12"/>
  <c r="V486" i="12"/>
  <c r="A486" i="12" s="1"/>
  <c r="C292" i="12"/>
  <c r="C357" i="12" s="1"/>
  <c r="F177" i="9" l="1"/>
  <c r="AO477" i="9"/>
  <c r="E178" i="9"/>
  <c r="E181" i="9"/>
  <c r="E202" i="9"/>
  <c r="Z477" i="9"/>
  <c r="Z476" i="9"/>
  <c r="AO474" i="9"/>
  <c r="Z473" i="9"/>
  <c r="Z474" i="9"/>
  <c r="Z471" i="9"/>
  <c r="AO476" i="9"/>
  <c r="Z441" i="9"/>
  <c r="AI441" i="9" s="1"/>
  <c r="E94" i="9"/>
  <c r="S3" i="5"/>
  <c r="E6" i="9"/>
  <c r="AN3" i="3"/>
  <c r="AO3" i="3"/>
  <c r="E309" i="9"/>
  <c r="R3" i="5"/>
  <c r="AL3" i="20"/>
  <c r="AK3" i="20"/>
  <c r="AJ3" i="20"/>
  <c r="D186"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481" i="9"/>
  <c r="E17" i="9"/>
  <c r="E7" i="9"/>
  <c r="F331" i="9"/>
  <c r="F190" i="9"/>
  <c r="E301" i="9"/>
  <c r="Z415" i="9"/>
  <c r="F211" i="9"/>
  <c r="E296" i="9"/>
  <c r="D305" i="9"/>
  <c r="F251" i="9"/>
  <c r="F246" i="9"/>
  <c r="E298" i="9"/>
  <c r="F123" i="9"/>
  <c r="Z475" i="9"/>
  <c r="F164" i="9"/>
  <c r="D32" i="8" s="1"/>
  <c r="F286" i="9"/>
  <c r="E286" i="9" s="1"/>
  <c r="Z444" i="9"/>
  <c r="Z437" i="9"/>
  <c r="Z430" i="9"/>
  <c r="Z466" i="9"/>
  <c r="AI466" i="9" s="1"/>
  <c r="Z465" i="9"/>
  <c r="AI465" i="9" s="1"/>
  <c r="Z464" i="9"/>
  <c r="AI464" i="9" s="1"/>
  <c r="Z428" i="9"/>
  <c r="AI428" i="9" s="1"/>
  <c r="Z419" i="9"/>
  <c r="AI419" i="9" s="1"/>
  <c r="Z498" i="9"/>
  <c r="AI498" i="9" s="1"/>
  <c r="Z452" i="9"/>
  <c r="AI452" i="9" s="1"/>
  <c r="Z427" i="9"/>
  <c r="AI427" i="9" s="1"/>
  <c r="Z479" i="9"/>
  <c r="Z480" i="9"/>
  <c r="Z451" i="9"/>
  <c r="AI451" i="9" s="1"/>
  <c r="Z426" i="9"/>
  <c r="AI426" i="9" s="1"/>
  <c r="Z418" i="9"/>
  <c r="AI418" i="9" s="1"/>
  <c r="Z496" i="9"/>
  <c r="AI496" i="9" s="1"/>
  <c r="Z450" i="9"/>
  <c r="AI450" i="9" s="1"/>
  <c r="Z433" i="9"/>
  <c r="AI433" i="9" s="1"/>
  <c r="Z417" i="9"/>
  <c r="AI417" i="9" s="1"/>
  <c r="Z443" i="9"/>
  <c r="Z414" i="9"/>
  <c r="Z411" i="9"/>
  <c r="Z440" i="9"/>
  <c r="F154" i="9"/>
  <c r="F378" i="9"/>
  <c r="F243" i="9"/>
  <c r="F183" i="9"/>
  <c r="Z442" i="9"/>
  <c r="F72" i="9"/>
  <c r="Z435" i="9"/>
  <c r="Z446" i="9"/>
  <c r="Z422" i="9"/>
  <c r="F186" i="9"/>
  <c r="F180" i="9"/>
  <c r="F305" i="9"/>
  <c r="F310" i="9" s="1"/>
  <c r="F315" i="9" s="1"/>
  <c r="F174" i="9"/>
  <c r="F350" i="9"/>
  <c r="F230" i="9"/>
  <c r="E361" i="9"/>
  <c r="F363" i="9"/>
  <c r="Z429" i="9"/>
  <c r="Z448" i="9"/>
  <c r="Z449" i="9"/>
  <c r="Z438" i="9"/>
  <c r="Z432" i="9"/>
  <c r="Z445" i="9"/>
  <c r="Z431" i="9"/>
  <c r="E96" i="9"/>
  <c r="Z472" i="9"/>
  <c r="F83" i="9"/>
  <c r="D15" i="8" s="1"/>
  <c r="E300" i="9"/>
  <c r="F193" i="9"/>
  <c r="F396" i="9"/>
  <c r="E396" i="9" s="1"/>
  <c r="D13" i="9"/>
  <c r="E10" i="9"/>
  <c r="Z410" i="9"/>
  <c r="F41" i="9"/>
  <c r="Z439" i="9"/>
  <c r="Z412" i="9"/>
  <c r="E95" i="9"/>
  <c r="D97" i="9"/>
  <c r="E114" i="9" s="1"/>
  <c r="E175" i="9"/>
  <c r="E186" i="9"/>
  <c r="E195" i="9" s="1"/>
  <c r="D38" i="8" s="1"/>
  <c r="F267" i="9"/>
  <c r="E297" i="9"/>
  <c r="Z447" i="9"/>
  <c r="E15" i="9"/>
  <c r="Z413" i="9"/>
  <c r="F13" i="9"/>
  <c r="D31" i="9" s="1"/>
  <c r="Z424" i="9"/>
  <c r="N104" i="9"/>
  <c r="E251" i="9"/>
  <c r="E299" i="9"/>
  <c r="F24" i="9"/>
  <c r="D32" i="9" s="1"/>
  <c r="F54" i="9"/>
  <c r="Z423" i="9"/>
  <c r="Z425" i="9"/>
  <c r="Z416" i="9"/>
  <c r="D66" i="8" s="1"/>
  <c r="Z436" i="9"/>
  <c r="M101" i="9"/>
  <c r="S95" i="9"/>
  <c r="S105" i="9"/>
  <c r="S101" i="9"/>
  <c r="S104" i="9"/>
  <c r="M95" i="9"/>
  <c r="N94" i="9"/>
  <c r="M94" i="9"/>
  <c r="N103" i="9"/>
  <c r="L93" i="9"/>
  <c r="AC3" i="3"/>
  <c r="O3" i="5"/>
  <c r="L333" i="9"/>
  <c r="N333" i="9" s="1"/>
  <c r="U3" i="3"/>
  <c r="V3" i="3"/>
  <c r="M3" i="5"/>
  <c r="J3" i="5"/>
  <c r="N3" i="3"/>
  <c r="L3" i="3"/>
  <c r="K179" i="9"/>
  <c r="N242" i="9"/>
  <c r="L225" i="9"/>
  <c r="N225" i="9" s="1"/>
  <c r="L185" i="9"/>
  <c r="N185" i="9" s="1"/>
  <c r="L15" i="9"/>
  <c r="N15" i="9" s="1"/>
  <c r="J12" i="9"/>
  <c r="L22" i="9"/>
  <c r="N22" i="9" s="1"/>
  <c r="L37" i="9"/>
  <c r="L45" i="9"/>
  <c r="N45" i="9" s="1"/>
  <c r="L53" i="9"/>
  <c r="N53" i="9" s="1"/>
  <c r="L62" i="9"/>
  <c r="N62" i="9" s="1"/>
  <c r="L71" i="9"/>
  <c r="N71" i="9" s="1"/>
  <c r="L116" i="9"/>
  <c r="L125" i="9"/>
  <c r="N125" i="9" s="1"/>
  <c r="L133" i="9"/>
  <c r="N133" i="9" s="1"/>
  <c r="L142" i="9"/>
  <c r="N142" i="9" s="1"/>
  <c r="L150" i="9"/>
  <c r="N150" i="9" s="1"/>
  <c r="L162" i="9"/>
  <c r="N162" i="9" s="1"/>
  <c r="L202" i="9"/>
  <c r="L210" i="9"/>
  <c r="N210" i="9" s="1"/>
  <c r="L219" i="9"/>
  <c r="N219" i="9" s="1"/>
  <c r="L227" i="9"/>
  <c r="N227" i="9" s="1"/>
  <c r="L245" i="9"/>
  <c r="N245" i="9" s="1"/>
  <c r="N246" i="9" s="1"/>
  <c r="L258" i="9"/>
  <c r="N258" i="9" s="1"/>
  <c r="L266" i="9"/>
  <c r="N266" i="9" s="1"/>
  <c r="L275" i="9"/>
  <c r="N275" i="9" s="1"/>
  <c r="L283" i="9"/>
  <c r="N283" i="9" s="1"/>
  <c r="L304" i="9"/>
  <c r="N304" i="9" s="1"/>
  <c r="L313" i="9"/>
  <c r="N313" i="9" s="1"/>
  <c r="L326" i="9"/>
  <c r="N326" i="9" s="1"/>
  <c r="L335" i="9"/>
  <c r="N335" i="9" s="1"/>
  <c r="L343" i="9"/>
  <c r="N343" i="9" s="1"/>
  <c r="L330" i="9"/>
  <c r="N330" i="9" s="1"/>
  <c r="L50" i="9"/>
  <c r="N50" i="9" s="1"/>
  <c r="L67" i="9"/>
  <c r="N67" i="9" s="1"/>
  <c r="L255" i="9"/>
  <c r="N255" i="9" s="1"/>
  <c r="L323" i="9"/>
  <c r="N323" i="9" s="1"/>
  <c r="M6" i="9"/>
  <c r="L9" i="9"/>
  <c r="N9" i="9" s="1"/>
  <c r="L12" i="9"/>
  <c r="N12" i="9" s="1"/>
  <c r="L23" i="9"/>
  <c r="N23" i="9" s="1"/>
  <c r="L46" i="9"/>
  <c r="N46" i="9" s="1"/>
  <c r="L55" i="9"/>
  <c r="N55" i="9" s="1"/>
  <c r="L63" i="9"/>
  <c r="N63" i="9" s="1"/>
  <c r="L117" i="9"/>
  <c r="L126" i="9"/>
  <c r="N126" i="9" s="1"/>
  <c r="L134" i="9"/>
  <c r="N134" i="9" s="1"/>
  <c r="L143" i="9"/>
  <c r="N143" i="9" s="1"/>
  <c r="L151" i="9"/>
  <c r="N151" i="9" s="1"/>
  <c r="L163" i="9"/>
  <c r="N163" i="9" s="1"/>
  <c r="L203" i="9"/>
  <c r="N203" i="9" s="1"/>
  <c r="L212" i="9"/>
  <c r="N212" i="9" s="1"/>
  <c r="L220" i="9"/>
  <c r="N220" i="9" s="1"/>
  <c r="L228" i="9"/>
  <c r="N228" i="9" s="1"/>
  <c r="L259" i="9"/>
  <c r="N259" i="9" s="1"/>
  <c r="L268" i="9"/>
  <c r="N268" i="9" s="1"/>
  <c r="L276" i="9"/>
  <c r="N276" i="9" s="1"/>
  <c r="L284" i="9"/>
  <c r="N284" i="9" s="1"/>
  <c r="L298" i="9"/>
  <c r="N298" i="9" s="1"/>
  <c r="N301" i="9"/>
  <c r="L319" i="9"/>
  <c r="N319" i="9" s="1"/>
  <c r="L327" i="9"/>
  <c r="N327" i="9" s="1"/>
  <c r="L336" i="9"/>
  <c r="N336" i="9" s="1"/>
  <c r="L344" i="9"/>
  <c r="N344" i="9" s="1"/>
  <c r="L345" i="9"/>
  <c r="N345" i="9" s="1"/>
  <c r="L130" i="9"/>
  <c r="N130" i="9" s="1"/>
  <c r="L199" i="9"/>
  <c r="N199" i="9" s="1"/>
  <c r="L263" i="9"/>
  <c r="N263" i="9" s="1"/>
  <c r="L6" i="9"/>
  <c r="J10" i="9"/>
  <c r="M15" i="9"/>
  <c r="L38" i="9"/>
  <c r="L47" i="9"/>
  <c r="N47" i="9" s="1"/>
  <c r="L56" i="9"/>
  <c r="N56" i="9" s="1"/>
  <c r="L64" i="9"/>
  <c r="N64" i="9" s="1"/>
  <c r="N76" i="9"/>
  <c r="L118" i="9"/>
  <c r="L127" i="9"/>
  <c r="N127" i="9" s="1"/>
  <c r="L135" i="9"/>
  <c r="N135" i="9" s="1"/>
  <c r="L144" i="9"/>
  <c r="N144" i="9" s="1"/>
  <c r="L152" i="9"/>
  <c r="N152" i="9" s="1"/>
  <c r="L179" i="9"/>
  <c r="L189" i="9"/>
  <c r="N189" i="9" s="1"/>
  <c r="L204" i="9"/>
  <c r="N204" i="9" s="1"/>
  <c r="L213" i="9"/>
  <c r="N213" i="9" s="1"/>
  <c r="L221" i="9"/>
  <c r="N221" i="9" s="1"/>
  <c r="L229" i="9"/>
  <c r="N229" i="9" s="1"/>
  <c r="L260" i="9"/>
  <c r="N260" i="9" s="1"/>
  <c r="L269" i="9"/>
  <c r="L277" i="9"/>
  <c r="N277" i="9" s="1"/>
  <c r="L285" i="9"/>
  <c r="N285" i="9" s="1"/>
  <c r="L308" i="9"/>
  <c r="N308" i="9" s="1"/>
  <c r="L320" i="9"/>
  <c r="N320" i="9" s="1"/>
  <c r="L328" i="9"/>
  <c r="N328" i="9" s="1"/>
  <c r="L337" i="9"/>
  <c r="N337" i="9" s="1"/>
  <c r="L322" i="9"/>
  <c r="N322" i="9" s="1"/>
  <c r="L59" i="9"/>
  <c r="N59" i="9" s="1"/>
  <c r="L139" i="9"/>
  <c r="N139" i="9" s="1"/>
  <c r="L309" i="9"/>
  <c r="N309" i="9" s="1"/>
  <c r="M7" i="9"/>
  <c r="L39" i="9"/>
  <c r="L48" i="9"/>
  <c r="N48" i="9" s="1"/>
  <c r="L57" i="9"/>
  <c r="N57" i="9" s="1"/>
  <c r="L65" i="9"/>
  <c r="N65" i="9" s="1"/>
  <c r="N77" i="9"/>
  <c r="L119" i="9"/>
  <c r="L128" i="9"/>
  <c r="N128" i="9" s="1"/>
  <c r="L137" i="9"/>
  <c r="N137" i="9" s="1"/>
  <c r="L145" i="9"/>
  <c r="N145" i="9" s="1"/>
  <c r="L153" i="9"/>
  <c r="N153" i="9" s="1"/>
  <c r="L205" i="9"/>
  <c r="N205" i="9" s="1"/>
  <c r="L214" i="9"/>
  <c r="N214" i="9" s="1"/>
  <c r="L222" i="9"/>
  <c r="N222" i="9" s="1"/>
  <c r="L248" i="9"/>
  <c r="L261" i="9"/>
  <c r="N261" i="9" s="1"/>
  <c r="L270" i="9"/>
  <c r="N270" i="9" s="1"/>
  <c r="L278" i="9"/>
  <c r="N278" i="9" s="1"/>
  <c r="L302" i="9"/>
  <c r="N302" i="9" s="1"/>
  <c r="L321" i="9"/>
  <c r="N321" i="9" s="1"/>
  <c r="L329" i="9"/>
  <c r="N329" i="9" s="1"/>
  <c r="L338" i="9"/>
  <c r="N338" i="9" s="1"/>
  <c r="L346" i="9"/>
  <c r="N346" i="9" s="1"/>
  <c r="L296" i="9"/>
  <c r="N296" i="9" s="1"/>
  <c r="L34" i="9"/>
  <c r="N34" i="9" s="1"/>
  <c r="L121" i="9"/>
  <c r="N121" i="9" s="1"/>
  <c r="L207" i="9"/>
  <c r="N207" i="9" s="1"/>
  <c r="L272" i="9"/>
  <c r="N272" i="9" s="1"/>
  <c r="L332" i="9"/>
  <c r="N332" i="9" s="1"/>
  <c r="L7" i="9"/>
  <c r="N7" i="9" s="1"/>
  <c r="L10" i="9"/>
  <c r="N10" i="9" s="1"/>
  <c r="L33" i="9"/>
  <c r="N33" i="9" s="1"/>
  <c r="L40" i="9"/>
  <c r="L49" i="9"/>
  <c r="N49" i="9" s="1"/>
  <c r="L58" i="9"/>
  <c r="N58" i="9" s="1"/>
  <c r="L66" i="9"/>
  <c r="N66" i="9" s="1"/>
  <c r="L120" i="9"/>
  <c r="N120" i="9" s="1"/>
  <c r="L129" i="9"/>
  <c r="N129" i="9" s="1"/>
  <c r="L138" i="9"/>
  <c r="N138" i="9" s="1"/>
  <c r="L146" i="9"/>
  <c r="N146" i="9" s="1"/>
  <c r="L158" i="9"/>
  <c r="N158" i="9" s="1"/>
  <c r="L173" i="9"/>
  <c r="N173" i="9" s="1"/>
  <c r="L206" i="9"/>
  <c r="N206" i="9" s="1"/>
  <c r="L215" i="9"/>
  <c r="N215" i="9" s="1"/>
  <c r="L223" i="9"/>
  <c r="N223" i="9" s="1"/>
  <c r="L262" i="9"/>
  <c r="N262" i="9" s="1"/>
  <c r="L271" i="9"/>
  <c r="N271" i="9" s="1"/>
  <c r="L279" i="9"/>
  <c r="N279" i="9" s="1"/>
  <c r="L299" i="9"/>
  <c r="N299" i="9" s="1"/>
  <c r="J11" i="9"/>
  <c r="N113" i="9"/>
  <c r="L8" i="9"/>
  <c r="L35" i="9"/>
  <c r="N35" i="9" s="1"/>
  <c r="L43" i="9"/>
  <c r="N43" i="9" s="1"/>
  <c r="L51" i="9"/>
  <c r="N51" i="9" s="1"/>
  <c r="L60" i="9"/>
  <c r="L68" i="9"/>
  <c r="N68" i="9" s="1"/>
  <c r="N80" i="9"/>
  <c r="L122" i="9"/>
  <c r="N122" i="9" s="1"/>
  <c r="L131" i="9"/>
  <c r="N131" i="9" s="1"/>
  <c r="L140" i="9"/>
  <c r="N140" i="9" s="1"/>
  <c r="L148" i="9"/>
  <c r="N148" i="9" s="1"/>
  <c r="L160" i="9"/>
  <c r="L182" i="9"/>
  <c r="N182" i="9" s="1"/>
  <c r="L200" i="9"/>
  <c r="N200" i="9" s="1"/>
  <c r="L208" i="9"/>
  <c r="N208" i="9" s="1"/>
  <c r="L217" i="9"/>
  <c r="N217" i="9" s="1"/>
  <c r="L256" i="9"/>
  <c r="N256" i="9" s="1"/>
  <c r="L264" i="9"/>
  <c r="N264" i="9" s="1"/>
  <c r="L273" i="9"/>
  <c r="N273" i="9" s="1"/>
  <c r="L281" i="9"/>
  <c r="N281" i="9" s="1"/>
  <c r="L300" i="9"/>
  <c r="N300" i="9" s="1"/>
  <c r="N303" i="9"/>
  <c r="L324" i="9"/>
  <c r="N324" i="9" s="1"/>
  <c r="L341" i="9"/>
  <c r="N341" i="9" s="1"/>
  <c r="L349" i="9"/>
  <c r="N349" i="9" s="1"/>
  <c r="L334" i="9"/>
  <c r="N334" i="9" s="1"/>
  <c r="L339" i="9"/>
  <c r="N339" i="9" s="1"/>
  <c r="L42" i="9"/>
  <c r="N42" i="9" s="1"/>
  <c r="N79" i="9"/>
  <c r="L159" i="9"/>
  <c r="N159" i="9" s="1"/>
  <c r="L216" i="9"/>
  <c r="N216" i="9" s="1"/>
  <c r="L280" i="9"/>
  <c r="N280" i="9" s="1"/>
  <c r="L340" i="9"/>
  <c r="N340" i="9" s="1"/>
  <c r="L11" i="9"/>
  <c r="N11" i="9" s="1"/>
  <c r="L21" i="9"/>
  <c r="L36" i="9"/>
  <c r="N36" i="9" s="1"/>
  <c r="L44" i="9"/>
  <c r="N44" i="9" s="1"/>
  <c r="L52" i="9"/>
  <c r="N52" i="9" s="1"/>
  <c r="L61" i="9"/>
  <c r="N61" i="9" s="1"/>
  <c r="L70" i="9"/>
  <c r="N70" i="9" s="1"/>
  <c r="N81" i="9"/>
  <c r="L115" i="9"/>
  <c r="L124" i="9"/>
  <c r="N124" i="9" s="1"/>
  <c r="L132" i="9"/>
  <c r="N132" i="9" s="1"/>
  <c r="L141" i="9"/>
  <c r="N141" i="9" s="1"/>
  <c r="L149" i="9"/>
  <c r="N149" i="9" s="1"/>
  <c r="L161" i="9"/>
  <c r="N161" i="9" s="1"/>
  <c r="L176" i="9"/>
  <c r="N176" i="9" s="1"/>
  <c r="L201" i="9"/>
  <c r="N201" i="9" s="1"/>
  <c r="L209" i="9"/>
  <c r="N209" i="9" s="1"/>
  <c r="L218" i="9"/>
  <c r="N218" i="9" s="1"/>
  <c r="L226" i="9"/>
  <c r="N226" i="9" s="1"/>
  <c r="L257" i="9"/>
  <c r="N257" i="9" s="1"/>
  <c r="L265" i="9"/>
  <c r="N265" i="9" s="1"/>
  <c r="L274" i="9"/>
  <c r="N274" i="9" s="1"/>
  <c r="L282" i="9"/>
  <c r="N282" i="9" s="1"/>
  <c r="L297" i="9"/>
  <c r="N297" i="9" s="1"/>
  <c r="L325" i="9"/>
  <c r="N325" i="9" s="1"/>
  <c r="L342" i="9"/>
  <c r="N342" i="9" s="1"/>
  <c r="L347" i="9"/>
  <c r="N347" i="9" s="1"/>
  <c r="L17" i="9"/>
  <c r="N17" i="9" s="1"/>
  <c r="L147" i="9"/>
  <c r="N147" i="9" s="1"/>
  <c r="L224" i="9"/>
  <c r="N224" i="9" s="1"/>
  <c r="L348" i="9"/>
  <c r="N348" i="9" s="1"/>
  <c r="G5" i="5"/>
  <c r="AF475" i="9"/>
  <c r="L5" i="9"/>
  <c r="J298" i="9"/>
  <c r="K189" i="9"/>
  <c r="M189" i="9" s="1"/>
  <c r="J308" i="9"/>
  <c r="K248" i="9"/>
  <c r="M248" i="9" s="1"/>
  <c r="J299" i="9"/>
  <c r="J302" i="9"/>
  <c r="K173" i="9"/>
  <c r="M173" i="9" s="1"/>
  <c r="K192" i="9"/>
  <c r="J296" i="9"/>
  <c r="M296" i="9" s="1"/>
  <c r="J309" i="9"/>
  <c r="J303" i="9"/>
  <c r="K303" i="9" s="1"/>
  <c r="K242" i="9"/>
  <c r="M242" i="9" s="1"/>
  <c r="K182" i="9"/>
  <c r="M182" i="9" s="1"/>
  <c r="J297" i="9"/>
  <c r="K176" i="9"/>
  <c r="M176" i="9" s="1"/>
  <c r="J313" i="9"/>
  <c r="K313" i="9" s="1"/>
  <c r="K245" i="9"/>
  <c r="J301" i="9"/>
  <c r="J304" i="9"/>
  <c r="K304" i="9" s="1"/>
  <c r="J300" i="9"/>
  <c r="M300" i="9" s="1"/>
  <c r="AB3" i="3"/>
  <c r="N338" i="12"/>
  <c r="N266" i="12"/>
  <c r="L395" i="9"/>
  <c r="L391" i="9"/>
  <c r="L387" i="9"/>
  <c r="L383" i="9"/>
  <c r="L379" i="9"/>
  <c r="L372" i="9"/>
  <c r="N274" i="12"/>
  <c r="L393" i="9"/>
  <c r="L390" i="9"/>
  <c r="L370" i="9"/>
  <c r="B51" i="2"/>
  <c r="E39" i="2"/>
  <c r="E35" i="2"/>
  <c r="B28" i="2"/>
  <c r="B24" i="2"/>
  <c r="B19" i="2"/>
  <c r="B14" i="2"/>
  <c r="B10" i="2"/>
  <c r="L375" i="9"/>
  <c r="L377" i="9"/>
  <c r="L369" i="9"/>
  <c r="L385" i="9"/>
  <c r="L389" i="9"/>
  <c r="L384" i="9"/>
  <c r="L388" i="9"/>
  <c r="L386" i="9"/>
  <c r="L381" i="9"/>
  <c r="L368" i="9"/>
  <c r="L392" i="9"/>
  <c r="L380" i="9"/>
  <c r="L376" i="9"/>
  <c r="L373" i="9"/>
  <c r="L366" i="9"/>
  <c r="L382" i="9"/>
  <c r="L371" i="9"/>
  <c r="L394" i="9"/>
  <c r="E49" i="2"/>
  <c r="E41" i="2"/>
  <c r="B37" i="2"/>
  <c r="B29" i="2"/>
  <c r="E24" i="2"/>
  <c r="E18" i="2"/>
  <c r="B13" i="2"/>
  <c r="B8" i="2"/>
  <c r="E48" i="2"/>
  <c r="B41" i="2"/>
  <c r="E36" i="2"/>
  <c r="E23" i="2"/>
  <c r="B18" i="2"/>
  <c r="E12" i="2"/>
  <c r="E7" i="2"/>
  <c r="L367" i="9"/>
  <c r="B46" i="2"/>
  <c r="B40" i="2"/>
  <c r="B35" i="2"/>
  <c r="B27" i="2"/>
  <c r="E22" i="2"/>
  <c r="E11" i="2"/>
  <c r="E5" i="2"/>
  <c r="B52" i="2"/>
  <c r="E33" i="2"/>
  <c r="B11" i="2"/>
  <c r="B5" i="2"/>
  <c r="B6" i="2" s="1"/>
  <c r="B39" i="2"/>
  <c r="E26" i="2"/>
  <c r="E15" i="2"/>
  <c r="L374" i="9"/>
  <c r="E51" i="2"/>
  <c r="B43" i="2"/>
  <c r="E38" i="2"/>
  <c r="B26" i="2"/>
  <c r="B15" i="2"/>
  <c r="E10" i="2"/>
  <c r="B48" i="2"/>
  <c r="E14" i="2"/>
  <c r="E9" i="2"/>
  <c r="B50" i="2"/>
  <c r="E27" i="2"/>
  <c r="E13" i="2"/>
  <c r="B36" i="2"/>
  <c r="B42" i="2"/>
  <c r="E25" i="2"/>
  <c r="B12" i="2"/>
  <c r="B25" i="2"/>
  <c r="E40" i="2"/>
  <c r="E19" i="2"/>
  <c r="B38" i="2"/>
  <c r="B23" i="2"/>
  <c r="B9" i="2"/>
  <c r="E37" i="2"/>
  <c r="B20" i="2"/>
  <c r="AH498" i="12"/>
  <c r="AR463" i="12"/>
  <c r="AF470" i="9"/>
  <c r="AH470" i="9" s="1"/>
  <c r="AI470" i="9" s="1"/>
  <c r="AF492" i="9"/>
  <c r="AH492" i="9" s="1"/>
  <c r="AI492" i="9" s="1"/>
  <c r="AH460" i="9"/>
  <c r="AI460" i="9" s="1"/>
  <c r="AF456" i="9"/>
  <c r="AH456" i="9" s="1"/>
  <c r="AI456" i="9" s="1"/>
  <c r="AF458" i="9"/>
  <c r="AH458" i="9" s="1"/>
  <c r="AI458" i="9" s="1"/>
  <c r="AF457" i="9"/>
  <c r="AH457" i="9" s="1"/>
  <c r="AF493" i="9"/>
  <c r="AH493" i="9" s="1"/>
  <c r="AF462" i="9"/>
  <c r="AH462" i="9" s="1"/>
  <c r="AI462" i="9" s="1"/>
  <c r="AF455" i="9"/>
  <c r="AH455" i="9" s="1"/>
  <c r="AI455" i="9" s="1"/>
  <c r="AF495" i="9"/>
  <c r="AH495" i="9" s="1"/>
  <c r="AF463" i="9"/>
  <c r="AF454" i="9"/>
  <c r="AH454" i="9" s="1"/>
  <c r="AF461" i="9"/>
  <c r="AH461" i="9" s="1"/>
  <c r="AI461" i="9" s="1"/>
  <c r="AF421" i="9"/>
  <c r="AH421" i="9" s="1"/>
  <c r="AI421" i="9" s="1"/>
  <c r="AF494" i="9"/>
  <c r="AH494" i="9" s="1"/>
  <c r="AI494" i="9" s="1"/>
  <c r="AF459" i="9"/>
  <c r="AH459" i="9" s="1"/>
  <c r="AI459" i="9" s="1"/>
  <c r="H3" i="5"/>
  <c r="G3" i="3"/>
  <c r="F3" i="3"/>
  <c r="H3" i="3"/>
  <c r="D52" i="8"/>
  <c r="D58" i="8"/>
  <c r="D54" i="8"/>
  <c r="K303" i="12"/>
  <c r="L193" i="12"/>
  <c r="K178" i="12"/>
  <c r="K313" i="12"/>
  <c r="K304" i="12"/>
  <c r="L361" i="9"/>
  <c r="K181" i="12"/>
  <c r="J361" i="9"/>
  <c r="AL3" i="3"/>
  <c r="AK3" i="3"/>
  <c r="AJ3" i="3"/>
  <c r="L3" i="5"/>
  <c r="T3" i="3"/>
  <c r="R3" i="3"/>
  <c r="S3" i="3"/>
  <c r="D44" i="8"/>
  <c r="D41" i="8"/>
  <c r="G18" i="8"/>
  <c r="I18" i="8" s="1"/>
  <c r="F18" i="8"/>
  <c r="H18" i="8" s="1"/>
  <c r="I3" i="3"/>
  <c r="I3" i="5"/>
  <c r="K3" i="3"/>
  <c r="J3" i="3"/>
  <c r="P3" i="5"/>
  <c r="AE3" i="3"/>
  <c r="AD3" i="3"/>
  <c r="AF3" i="3"/>
  <c r="AG3" i="3"/>
  <c r="Q3" i="5"/>
  <c r="AI3" i="3"/>
  <c r="AH3" i="3"/>
  <c r="E42" i="8"/>
  <c r="S69" i="9"/>
  <c r="R182" i="9"/>
  <c r="E59" i="8"/>
  <c r="E47" i="8"/>
  <c r="E28" i="8"/>
  <c r="D7" i="8"/>
  <c r="D11" i="8"/>
  <c r="D45" i="8"/>
  <c r="AO493" i="9"/>
  <c r="AO495" i="9"/>
  <c r="AO457" i="9"/>
  <c r="R245" i="9"/>
  <c r="R248" i="9"/>
  <c r="E5" i="5"/>
  <c r="D28" i="8"/>
  <c r="D53" i="8"/>
  <c r="D57" i="8"/>
  <c r="D51" i="8"/>
  <c r="AF475" i="12"/>
  <c r="Y3" i="3"/>
  <c r="N3" i="5"/>
  <c r="Z3" i="3"/>
  <c r="X3" i="3"/>
  <c r="D24" i="8"/>
  <c r="D40" i="8"/>
  <c r="Q266" i="12" l="1"/>
  <c r="S99" i="12"/>
  <c r="N60" i="9"/>
  <c r="N75" i="9"/>
  <c r="S75" i="9"/>
  <c r="D26" i="8"/>
  <c r="D113" i="9"/>
  <c r="L13" i="9"/>
  <c r="L193" i="9"/>
  <c r="M192" i="9"/>
  <c r="K114" i="9"/>
  <c r="J114" i="9"/>
  <c r="E267" i="9"/>
  <c r="E160" i="9"/>
  <c r="D160" i="9" s="1"/>
  <c r="N78" i="9"/>
  <c r="N160" i="9"/>
  <c r="N164" i="9" s="1"/>
  <c r="K160" i="9"/>
  <c r="J160" i="9" s="1"/>
  <c r="N82" i="9"/>
  <c r="N202" i="9"/>
  <c r="K202" i="9"/>
  <c r="N106" i="9"/>
  <c r="N107" i="9" s="1"/>
  <c r="L97" i="12"/>
  <c r="J97" i="12"/>
  <c r="N118" i="9"/>
  <c r="K118" i="9"/>
  <c r="N119" i="9"/>
  <c r="K119" i="9"/>
  <c r="N117" i="9"/>
  <c r="K117" i="9"/>
  <c r="N115" i="9"/>
  <c r="K115" i="9"/>
  <c r="N116" i="9"/>
  <c r="K116" i="9"/>
  <c r="F109" i="9"/>
  <c r="E136" i="9" s="1"/>
  <c r="AN462" i="12"/>
  <c r="AO462" i="12" s="1"/>
  <c r="AN458" i="12"/>
  <c r="AO458" i="12" s="1"/>
  <c r="AN454" i="12"/>
  <c r="AO454" i="12" s="1"/>
  <c r="Q264" i="12" a="1"/>
  <c r="Q264" i="12" s="1"/>
  <c r="S264" i="12" s="1"/>
  <c r="Q248" i="12" a="1"/>
  <c r="Q248" i="12" s="1"/>
  <c r="S249" i="12" s="1"/>
  <c r="P245" i="12" a="1"/>
  <c r="P245" i="12" s="1"/>
  <c r="S223" i="12"/>
  <c r="S219" i="12"/>
  <c r="S199" i="12"/>
  <c r="Q395" i="12" a="1"/>
  <c r="Q395" i="12" s="1"/>
  <c r="Q391" i="12" a="1"/>
  <c r="Q391" i="12" s="1"/>
  <c r="Q387" i="12" a="1"/>
  <c r="Q387" i="12" s="1"/>
  <c r="Q383" i="12" a="1"/>
  <c r="Q383" i="12" s="1"/>
  <c r="Q379" i="12" a="1"/>
  <c r="Q379" i="12" s="1"/>
  <c r="Q374" i="12" a="1"/>
  <c r="Q374" i="12" s="1"/>
  <c r="Q370" i="12" a="1"/>
  <c r="Q370" i="12" s="1"/>
  <c r="Q366" i="12" a="1"/>
  <c r="Q366" i="12" s="1"/>
  <c r="S348" i="12"/>
  <c r="S344" i="12"/>
  <c r="S340" i="12"/>
  <c r="S330" i="12"/>
  <c r="S326" i="12"/>
  <c r="S322" i="12"/>
  <c r="S308" i="12"/>
  <c r="S301" i="12"/>
  <c r="S299" i="12"/>
  <c r="Q285" i="12" a="1"/>
  <c r="Q285" i="12" s="1"/>
  <c r="S285" i="12" s="1"/>
  <c r="Q281" i="12" a="1"/>
  <c r="Q281" i="12" s="1"/>
  <c r="S281" i="12" s="1"/>
  <c r="Q277" i="12" a="1"/>
  <c r="Q277" i="12" s="1"/>
  <c r="Q272" i="12" a="1"/>
  <c r="Q272" i="12" s="1"/>
  <c r="S272" i="12" s="1"/>
  <c r="Q268" i="12" a="1"/>
  <c r="Q268" i="12" s="1"/>
  <c r="S268" i="12" s="1"/>
  <c r="Q260" i="12" a="1"/>
  <c r="Q260" i="12" s="1"/>
  <c r="S260" i="12" s="1"/>
  <c r="Q257" i="12" a="1"/>
  <c r="Q257" i="12" s="1"/>
  <c r="S257" i="12" s="1"/>
  <c r="P248" i="12" a="1"/>
  <c r="P248" i="12" s="1"/>
  <c r="O245" i="12" a="1"/>
  <c r="O245" i="12" s="1"/>
  <c r="R245" i="12" s="1"/>
  <c r="S215" i="12"/>
  <c r="S210" i="12"/>
  <c r="S206" i="12"/>
  <c r="S161" i="12"/>
  <c r="S148" i="12"/>
  <c r="S139" i="12"/>
  <c r="S129" i="12"/>
  <c r="S115" i="12"/>
  <c r="S105" i="12"/>
  <c r="S101" i="12"/>
  <c r="S80" i="12"/>
  <c r="S71" i="12"/>
  <c r="AN461" i="12"/>
  <c r="AO461" i="12" s="1"/>
  <c r="AO457" i="12"/>
  <c r="AN449" i="12"/>
  <c r="AO449" i="12" s="1"/>
  <c r="R308" i="12"/>
  <c r="R301" i="12"/>
  <c r="Q263" i="12" a="1"/>
  <c r="Q263" i="12" s="1"/>
  <c r="S263" i="12" s="1"/>
  <c r="O248" i="12" a="1"/>
  <c r="O248" i="12" s="1"/>
  <c r="R248" i="12" s="1"/>
  <c r="S226" i="12"/>
  <c r="S182" i="12"/>
  <c r="R179" i="12"/>
  <c r="R176" i="12"/>
  <c r="S151" i="12"/>
  <c r="S145" i="12"/>
  <c r="S142" i="12"/>
  <c r="S131" i="12"/>
  <c r="S125" i="12"/>
  <c r="S121" i="12"/>
  <c r="AN494" i="12"/>
  <c r="AO494" i="12" s="1"/>
  <c r="AN421" i="12"/>
  <c r="AO421" i="12" s="1"/>
  <c r="Q394" i="12" a="1"/>
  <c r="Q394" i="12" s="1"/>
  <c r="Q390" i="12" a="1"/>
  <c r="Q390" i="12" s="1"/>
  <c r="Q386" i="12" a="1"/>
  <c r="Q386" i="12" s="1"/>
  <c r="Q382" i="12" a="1"/>
  <c r="Q382" i="12" s="1"/>
  <c r="Q377" i="12" a="1"/>
  <c r="Q377" i="12" s="1"/>
  <c r="Q373" i="12" a="1"/>
  <c r="Q373" i="12" s="1"/>
  <c r="Q369" i="12" a="1"/>
  <c r="Q369" i="12" s="1"/>
  <c r="Q361" i="12" a="1"/>
  <c r="Q361" i="12" s="1"/>
  <c r="S347" i="12"/>
  <c r="S343" i="12"/>
  <c r="S339" i="12"/>
  <c r="S334" i="12"/>
  <c r="S329" i="12"/>
  <c r="S325" i="12"/>
  <c r="S321" i="12"/>
  <c r="Q284" i="12" a="1"/>
  <c r="Q284" i="12" s="1"/>
  <c r="S284" i="12" s="1"/>
  <c r="Q280" i="12" a="1"/>
  <c r="Q280" i="12" s="1"/>
  <c r="S280" i="12" s="1"/>
  <c r="Q276" i="12" a="1"/>
  <c r="Q276" i="12" s="1"/>
  <c r="S276" i="12" s="1"/>
  <c r="Q271" i="12" a="1"/>
  <c r="Q271" i="12" s="1"/>
  <c r="S271" i="12" s="1"/>
  <c r="S229" i="12"/>
  <c r="S214" i="12"/>
  <c r="S209" i="12"/>
  <c r="S205" i="12"/>
  <c r="S157" i="12"/>
  <c r="S134" i="12"/>
  <c r="S128" i="12"/>
  <c r="S117" i="12"/>
  <c r="S114" i="12"/>
  <c r="S103" i="12"/>
  <c r="S96" i="12"/>
  <c r="AN470" i="12"/>
  <c r="AO470" i="12" s="1"/>
  <c r="AN460" i="12"/>
  <c r="AO460" i="12" s="1"/>
  <c r="AN456" i="12"/>
  <c r="AO456" i="12" s="1"/>
  <c r="O361" i="12" a="1"/>
  <c r="O361" i="12" s="1"/>
  <c r="Q262" i="12" a="1"/>
  <c r="Q262" i="12" s="1"/>
  <c r="S262" i="12" s="1"/>
  <c r="Q259" i="12" a="1"/>
  <c r="Q259" i="12" s="1"/>
  <c r="S259" i="12" s="1"/>
  <c r="Q256" i="12" a="1"/>
  <c r="Q256" i="12" s="1"/>
  <c r="S256" i="12" s="1"/>
  <c r="S221" i="12"/>
  <c r="S201" i="12"/>
  <c r="S189" i="12"/>
  <c r="R182" i="12"/>
  <c r="S163" i="12"/>
  <c r="S144" i="12"/>
  <c r="S141" i="12"/>
  <c r="S138" i="12"/>
  <c r="S120" i="12"/>
  <c r="AN493" i="12"/>
  <c r="AO493" i="12" s="1"/>
  <c r="Q393" i="12" a="1"/>
  <c r="Q393" i="12" s="1"/>
  <c r="S393" i="12" s="1"/>
  <c r="Q389" i="12" a="1"/>
  <c r="Q389" i="12" s="1"/>
  <c r="Q385" i="12" a="1"/>
  <c r="Q385" i="12" s="1"/>
  <c r="Q381" i="12" a="1"/>
  <c r="Q381" i="12" s="1"/>
  <c r="Q376" i="12" a="1"/>
  <c r="Q376" i="12" s="1"/>
  <c r="Q372" i="12" a="1"/>
  <c r="Q372" i="12" s="1"/>
  <c r="Q368" i="12" a="1"/>
  <c r="Q368" i="12" s="1"/>
  <c r="S342" i="12"/>
  <c r="S337" i="12"/>
  <c r="S333" i="12"/>
  <c r="S328" i="12"/>
  <c r="S324" i="12"/>
  <c r="S320" i="12"/>
  <c r="S309" i="12"/>
  <c r="S304" i="12"/>
  <c r="S302" i="12"/>
  <c r="S300" i="12"/>
  <c r="S298" i="12"/>
  <c r="S296" i="12"/>
  <c r="Q283" i="12" a="1"/>
  <c r="Q283" i="12" s="1"/>
  <c r="S283" i="12" s="1"/>
  <c r="Q279" i="12" a="1"/>
  <c r="Q279" i="12" s="1"/>
  <c r="S279" i="12" s="1"/>
  <c r="Q275" i="12" a="1"/>
  <c r="Q275" i="12" s="1"/>
  <c r="S275" i="12" s="1"/>
  <c r="Q270" i="12" a="1"/>
  <c r="Q270" i="12" s="1"/>
  <c r="S270" i="12" s="1"/>
  <c r="Q265" i="12" a="1"/>
  <c r="Q265" i="12" s="1"/>
  <c r="S265" i="12" s="1"/>
  <c r="S242" i="12"/>
  <c r="S228" i="12"/>
  <c r="S213" i="12"/>
  <c r="S208" i="12"/>
  <c r="S204" i="12"/>
  <c r="AO477" i="12"/>
  <c r="S153" i="12"/>
  <c r="S130" i="12"/>
  <c r="S127" i="12"/>
  <c r="AN459" i="12"/>
  <c r="AO459" i="12" s="1"/>
  <c r="AN455" i="12"/>
  <c r="AO455" i="12" s="1"/>
  <c r="R309" i="12"/>
  <c r="R300" i="12"/>
  <c r="R298" i="12"/>
  <c r="R296" i="12"/>
  <c r="Q255" i="12" a="1"/>
  <c r="Q255" i="12" s="1"/>
  <c r="S255" i="12" s="1"/>
  <c r="S220" i="12"/>
  <c r="S200" i="12"/>
  <c r="S173" i="12"/>
  <c r="S162" i="12"/>
  <c r="S143" i="12"/>
  <c r="S140" i="12"/>
  <c r="S137" i="12"/>
  <c r="S133" i="12"/>
  <c r="S119" i="12"/>
  <c r="S116" i="12"/>
  <c r="S104" i="12"/>
  <c r="AN492" i="12"/>
  <c r="AO492" i="12" s="1"/>
  <c r="Q392" i="12" a="1"/>
  <c r="Q392" i="12" s="1"/>
  <c r="Q388" i="12" a="1"/>
  <c r="Q388" i="12" s="1"/>
  <c r="Q384" i="12" a="1"/>
  <c r="Q384" i="12" s="1"/>
  <c r="Q380" i="12" a="1"/>
  <c r="Q380" i="12" s="1"/>
  <c r="Q375" i="12" a="1"/>
  <c r="Q375" i="12" s="1"/>
  <c r="Q371" i="12" a="1"/>
  <c r="Q371" i="12" s="1"/>
  <c r="Q367" i="12" a="1"/>
  <c r="Q367" i="12" s="1"/>
  <c r="S349" i="12"/>
  <c r="S345" i="12"/>
  <c r="S341" i="12"/>
  <c r="S336" i="12"/>
  <c r="S332" i="12"/>
  <c r="Q258" i="12" a="1"/>
  <c r="Q258" i="12" s="1"/>
  <c r="S258" i="12" s="1"/>
  <c r="S212" i="12"/>
  <c r="S152" i="12"/>
  <c r="S126" i="12"/>
  <c r="S113" i="12"/>
  <c r="S51" i="12"/>
  <c r="S45" i="12"/>
  <c r="S35" i="12"/>
  <c r="S327" i="12"/>
  <c r="S207" i="12"/>
  <c r="R94" i="12"/>
  <c r="S69" i="12"/>
  <c r="S66" i="12"/>
  <c r="S63" i="12"/>
  <c r="S53" i="12"/>
  <c r="S38" i="12"/>
  <c r="S32" i="12"/>
  <c r="S22" i="12"/>
  <c r="S7" i="12"/>
  <c r="S323" i="12"/>
  <c r="Q282" i="12" a="1"/>
  <c r="Q282" i="12" s="1"/>
  <c r="S282" i="12" s="1"/>
  <c r="Q245" i="12" a="1"/>
  <c r="Q245" i="12" s="1"/>
  <c r="S246" i="12" s="1"/>
  <c r="S203" i="12"/>
  <c r="S149" i="12"/>
  <c r="S122" i="12"/>
  <c r="AO473" i="12"/>
  <c r="S60" i="12"/>
  <c r="S57" i="12"/>
  <c r="S15" i="12"/>
  <c r="S10" i="12"/>
  <c r="R7" i="12"/>
  <c r="S319" i="12"/>
  <c r="Q278" i="12" a="1"/>
  <c r="Q278" i="12" s="1"/>
  <c r="S278" i="12" s="1"/>
  <c r="O242" i="12" a="1"/>
  <c r="O242" i="12" s="1"/>
  <c r="R242" i="12" s="1"/>
  <c r="R173" i="12"/>
  <c r="S135" i="12"/>
  <c r="S79" i="12"/>
  <c r="S50" i="12"/>
  <c r="S47" i="12"/>
  <c r="S44" i="12"/>
  <c r="S40" i="12"/>
  <c r="S37" i="12"/>
  <c r="S31" i="12"/>
  <c r="S8" i="12"/>
  <c r="Q273" i="12" a="1"/>
  <c r="Q273" i="12" s="1"/>
  <c r="S273" i="12" s="1"/>
  <c r="S227" i="12"/>
  <c r="S68" i="12"/>
  <c r="S62" i="12"/>
  <c r="S59" i="12"/>
  <c r="S52" i="12"/>
  <c r="S34" i="12"/>
  <c r="S21" i="12"/>
  <c r="S17" i="12"/>
  <c r="R15" i="12"/>
  <c r="Q269" i="12" a="1"/>
  <c r="Q269" i="12" s="1"/>
  <c r="S269" i="12" s="1"/>
  <c r="S185" i="12"/>
  <c r="S146" i="12"/>
  <c r="S132" i="12"/>
  <c r="S118" i="12"/>
  <c r="S56" i="12"/>
  <c r="S46" i="12"/>
  <c r="S36" i="12"/>
  <c r="R17" i="12"/>
  <c r="S95" i="12"/>
  <c r="S70" i="12"/>
  <c r="S43" i="12"/>
  <c r="S39" i="12"/>
  <c r="S9" i="12"/>
  <c r="S6" i="12"/>
  <c r="S33" i="12"/>
  <c r="S12" i="12"/>
  <c r="Q261" i="12" a="1"/>
  <c r="Q261" i="12" s="1"/>
  <c r="S261" i="12" s="1"/>
  <c r="S216" i="12"/>
  <c r="AO476" i="12"/>
  <c r="R95" i="12"/>
  <c r="S81" i="12"/>
  <c r="AO474" i="12"/>
  <c r="S67" i="12"/>
  <c r="S64" i="12"/>
  <c r="S61" i="12"/>
  <c r="S58" i="12"/>
  <c r="S55" i="12"/>
  <c r="S48" i="12"/>
  <c r="S23" i="12"/>
  <c r="R6" i="12"/>
  <c r="S11" i="12"/>
  <c r="AO495" i="12"/>
  <c r="F192" i="12" a="1"/>
  <c r="F192" i="12" s="1"/>
  <c r="Z492" i="12" a="1"/>
  <c r="Z492" i="12" s="1"/>
  <c r="F392" i="12" a="1"/>
  <c r="F392" i="12" s="1"/>
  <c r="F388" i="12" a="1"/>
  <c r="F388" i="12" s="1"/>
  <c r="F384" i="12" a="1"/>
  <c r="F384" i="12" s="1"/>
  <c r="F380" i="12" a="1"/>
  <c r="F380" i="12" s="1"/>
  <c r="F375" i="12" a="1"/>
  <c r="F375" i="12" s="1"/>
  <c r="F371" i="12" a="1"/>
  <c r="F371" i="12" s="1"/>
  <c r="F367" i="12" a="1"/>
  <c r="F367" i="12" s="1"/>
  <c r="F349" i="12" a="1"/>
  <c r="F349" i="12" s="1"/>
  <c r="F345" i="12" a="1"/>
  <c r="F345" i="12" s="1"/>
  <c r="F341" i="12" a="1"/>
  <c r="F341" i="12" s="1"/>
  <c r="F336" i="12" a="1"/>
  <c r="F336" i="12" s="1"/>
  <c r="F332" i="12" a="1"/>
  <c r="F332" i="12" s="1"/>
  <c r="F327" i="12" a="1"/>
  <c r="F327" i="12" s="1"/>
  <c r="F323" i="12" a="1"/>
  <c r="F323" i="12" s="1"/>
  <c r="F319" i="12" a="1"/>
  <c r="F319" i="12" s="1"/>
  <c r="D309" i="12" a="1"/>
  <c r="D309" i="12" s="1"/>
  <c r="D304" i="12" a="1"/>
  <c r="D304" i="12" s="1"/>
  <c r="E304" i="12" s="1"/>
  <c r="D302" i="12" a="1"/>
  <c r="D302" i="12" s="1"/>
  <c r="E302" i="12" s="1"/>
  <c r="D300" i="12" a="1"/>
  <c r="D300" i="12" s="1"/>
  <c r="D298" i="12" a="1"/>
  <c r="D298" i="12" s="1"/>
  <c r="D296" i="12" a="1"/>
  <c r="D296" i="12" s="1"/>
  <c r="F282" i="12" a="1"/>
  <c r="F282" i="12" s="1"/>
  <c r="F278" i="12" a="1"/>
  <c r="F278" i="12" s="1"/>
  <c r="F273" i="12" a="1"/>
  <c r="F273" i="12" s="1"/>
  <c r="F269" i="12" a="1"/>
  <c r="F269" i="12" s="1"/>
  <c r="F261" i="12" a="1"/>
  <c r="F261" i="12" s="1"/>
  <c r="F258" i="12" a="1"/>
  <c r="F258" i="12" s="1"/>
  <c r="F242" i="12" a="1"/>
  <c r="F242" i="12" s="1"/>
  <c r="F216" i="12" a="1"/>
  <c r="F216" i="12" s="1"/>
  <c r="F212" i="12" a="1"/>
  <c r="F212" i="12" s="1"/>
  <c r="F207" i="12" a="1"/>
  <c r="F207" i="12" s="1"/>
  <c r="F203" i="12" a="1"/>
  <c r="F203" i="12" s="1"/>
  <c r="Z462" i="12" a="1"/>
  <c r="Z462" i="12" s="1"/>
  <c r="Z458" i="12" a="1"/>
  <c r="Z458" i="12" s="1"/>
  <c r="Z454" i="12" a="1"/>
  <c r="Z454" i="12" s="1"/>
  <c r="F264" i="12" a="1"/>
  <c r="F264" i="12" s="1"/>
  <c r="E242" i="12" a="1"/>
  <c r="E242" i="12" s="1"/>
  <c r="F227" i="12" a="1"/>
  <c r="F227" i="12" s="1"/>
  <c r="F223" i="12" a="1"/>
  <c r="F223" i="12" s="1"/>
  <c r="F199" i="12" a="1"/>
  <c r="F199" i="12" s="1"/>
  <c r="F185" i="12" a="1"/>
  <c r="F185" i="12" s="1"/>
  <c r="F173" i="12" a="1"/>
  <c r="F173" i="12" s="1"/>
  <c r="F158" i="12" a="1"/>
  <c r="F158" i="12" s="1"/>
  <c r="Z476" i="12" s="1"/>
  <c r="F146" i="12" a="1"/>
  <c r="F146" i="12" s="1"/>
  <c r="F135" i="12" a="1"/>
  <c r="F135" i="12" s="1"/>
  <c r="F132" i="12" a="1"/>
  <c r="F132" i="12" s="1"/>
  <c r="F118" i="12" a="1"/>
  <c r="F118" i="12" s="1"/>
  <c r="D104" i="12" a="1"/>
  <c r="D104" i="12" s="1"/>
  <c r="E104" i="12" s="1"/>
  <c r="F395" i="12" a="1"/>
  <c r="F395"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0" i="12" a="1"/>
  <c r="F330" i="12" s="1"/>
  <c r="F326" i="12" a="1"/>
  <c r="F326" i="12" s="1"/>
  <c r="F322" i="12" a="1"/>
  <c r="F322" i="12" s="1"/>
  <c r="F285" i="12" a="1"/>
  <c r="F285" i="12" s="1"/>
  <c r="F281" i="12" a="1"/>
  <c r="F281" i="12" s="1"/>
  <c r="F277" i="12" a="1"/>
  <c r="F277" i="12" s="1"/>
  <c r="F272" i="12" a="1"/>
  <c r="F272" i="12" s="1"/>
  <c r="F268" i="12" a="1"/>
  <c r="F268" i="12" s="1"/>
  <c r="F260" i="12" a="1"/>
  <c r="F260" i="12" s="1"/>
  <c r="F245" i="12" a="1"/>
  <c r="F245" i="12" s="1"/>
  <c r="D242" i="12" a="1"/>
  <c r="D242" i="12" s="1"/>
  <c r="F219" i="12" a="1"/>
  <c r="F219" i="12" s="1"/>
  <c r="F215" i="12" a="1"/>
  <c r="F215" i="12" s="1"/>
  <c r="F210" i="12" a="1"/>
  <c r="F210" i="12" s="1"/>
  <c r="F206" i="12" a="1"/>
  <c r="F206" i="12" s="1"/>
  <c r="E173" i="12" a="1"/>
  <c r="E173" i="12" s="1"/>
  <c r="F161" i="12" a="1"/>
  <c r="F161" i="12" s="1"/>
  <c r="F148" i="12" a="1"/>
  <c r="F148" i="12" s="1"/>
  <c r="F139" i="12" a="1"/>
  <c r="F139" i="12" s="1"/>
  <c r="F129" i="12" a="1"/>
  <c r="F129" i="12" s="1"/>
  <c r="F115" i="12" a="1"/>
  <c r="F115" i="12" s="1"/>
  <c r="D99" i="12" a="1"/>
  <c r="D99" i="12" s="1"/>
  <c r="E99" i="12" s="1"/>
  <c r="F95" i="12" a="1"/>
  <c r="F95" i="12" s="1"/>
  <c r="Z478" i="12" a="1"/>
  <c r="Z478" i="12" s="1"/>
  <c r="Z461" i="12" a="1"/>
  <c r="Z461" i="12" s="1"/>
  <c r="Z457" i="12" a="1"/>
  <c r="Z457" i="12" s="1"/>
  <c r="F313" i="12" a="1"/>
  <c r="F313" i="12" s="1"/>
  <c r="F308" i="12" a="1"/>
  <c r="F308" i="12" s="1"/>
  <c r="F303" i="12" a="1"/>
  <c r="F303" i="12" s="1"/>
  <c r="F301" i="12" a="1"/>
  <c r="F301" i="12" s="1"/>
  <c r="F299" i="12" a="1"/>
  <c r="F299" i="12" s="1"/>
  <c r="F297" i="12" a="1"/>
  <c r="F297" i="12" s="1"/>
  <c r="F263" i="12" a="1"/>
  <c r="F263" i="12" s="1"/>
  <c r="F257" i="12" a="1"/>
  <c r="F257" i="12" s="1"/>
  <c r="F248" i="12" a="1"/>
  <c r="F248" i="12" s="1"/>
  <c r="E245" i="12" a="1"/>
  <c r="E245" i="12" s="1"/>
  <c r="F226" i="12" a="1"/>
  <c r="F226" i="12" s="1"/>
  <c r="F222" i="12" a="1"/>
  <c r="F222" i="12" s="1"/>
  <c r="F202" i="12" a="1"/>
  <c r="F202" i="12" s="1"/>
  <c r="E192" i="12" a="1"/>
  <c r="E192" i="12" s="1"/>
  <c r="F176" i="12" a="1"/>
  <c r="F176" i="12" s="1"/>
  <c r="D173" i="12" a="1"/>
  <c r="D173" i="12" s="1"/>
  <c r="F145" i="12" a="1"/>
  <c r="F145" i="12" s="1"/>
  <c r="F142" i="12" a="1"/>
  <c r="F142" i="12" s="1"/>
  <c r="F131" i="12" a="1"/>
  <c r="F131" i="12" s="1"/>
  <c r="F125" i="12" a="1"/>
  <c r="F125" i="12" s="1"/>
  <c r="F121" i="12" a="1"/>
  <c r="F121" i="12" s="1"/>
  <c r="F105" i="12" a="1"/>
  <c r="F105" i="12" s="1"/>
  <c r="D95" i="12" a="1"/>
  <c r="D95" i="12" s="1"/>
  <c r="F93" i="12" a="1"/>
  <c r="F93" i="12" s="1"/>
  <c r="Z494" i="12" a="1"/>
  <c r="Z494" i="12" s="1"/>
  <c r="Z421" i="12" a="1"/>
  <c r="Z421" i="12" s="1"/>
  <c r="F394" i="12" a="1"/>
  <c r="F394" i="12" s="1"/>
  <c r="F390" i="12" a="1"/>
  <c r="F390" i="12" s="1"/>
  <c r="F386" i="12" a="1"/>
  <c r="F386" i="12" s="1"/>
  <c r="F382" i="12" a="1"/>
  <c r="F382" i="12" s="1"/>
  <c r="F377" i="12" a="1"/>
  <c r="F377" i="12" s="1"/>
  <c r="F373" i="12" a="1"/>
  <c r="F373" i="12" s="1"/>
  <c r="F369" i="12" a="1"/>
  <c r="F369" i="12" s="1"/>
  <c r="F347" i="12" a="1"/>
  <c r="F347" i="12" s="1"/>
  <c r="F343" i="12" a="1"/>
  <c r="F343" i="12" s="1"/>
  <c r="F339" i="12" a="1"/>
  <c r="F339" i="12" s="1"/>
  <c r="F334" i="12" a="1"/>
  <c r="F334" i="12" s="1"/>
  <c r="F329" i="12" a="1"/>
  <c r="F329" i="12" s="1"/>
  <c r="F325" i="12" a="1"/>
  <c r="F325" i="12" s="1"/>
  <c r="F321" i="12" a="1"/>
  <c r="F321" i="12" s="1"/>
  <c r="D313" i="12" a="1"/>
  <c r="D313" i="12" s="1"/>
  <c r="E313" i="12" s="1"/>
  <c r="D308" i="12" a="1"/>
  <c r="D308" i="12" s="1"/>
  <c r="D303" i="12" a="1"/>
  <c r="D303" i="12" s="1"/>
  <c r="E303" i="12" s="1"/>
  <c r="D301" i="12" a="1"/>
  <c r="D301" i="12" s="1"/>
  <c r="D299" i="12" a="1"/>
  <c r="D299" i="12" s="1"/>
  <c r="D297" i="12" a="1"/>
  <c r="D297" i="12" s="1"/>
  <c r="F284" i="12" a="1"/>
  <c r="F284" i="12" s="1"/>
  <c r="F280" i="12" a="1"/>
  <c r="F280" i="12" s="1"/>
  <c r="F276" i="12" a="1"/>
  <c r="F276" i="12" s="1"/>
  <c r="F271" i="12" a="1"/>
  <c r="F271" i="12" s="1"/>
  <c r="E248" i="12" a="1"/>
  <c r="E248" i="12" s="1"/>
  <c r="D245" i="12" a="1"/>
  <c r="D245" i="12" s="1"/>
  <c r="F229" i="12" a="1"/>
  <c r="F229" i="12" s="1"/>
  <c r="F218" i="12" a="1"/>
  <c r="F218" i="12" s="1"/>
  <c r="Z441" i="12" s="1"/>
  <c r="AI441" i="12" s="1"/>
  <c r="F214" i="12" a="1"/>
  <c r="F214" i="12" s="1"/>
  <c r="F209" i="12" a="1"/>
  <c r="F209" i="12" s="1"/>
  <c r="F205" i="12" a="1"/>
  <c r="F205" i="12" s="1"/>
  <c r="F179" i="12" a="1"/>
  <c r="F179" i="12" s="1"/>
  <c r="E176" i="12" a="1"/>
  <c r="E176" i="12" s="1"/>
  <c r="F160" i="12" a="1"/>
  <c r="F160" i="12" s="1"/>
  <c r="F157" i="12" a="1"/>
  <c r="F157" i="12" s="1"/>
  <c r="F151" i="12" a="1"/>
  <c r="F151" i="12" s="1"/>
  <c r="F128" i="12" a="1"/>
  <c r="F128" i="12" s="1"/>
  <c r="F114" i="12" a="1"/>
  <c r="F114" i="12" s="1"/>
  <c r="F101" i="12" a="1"/>
  <c r="F101" i="12" s="1"/>
  <c r="Z470" i="12" a="1"/>
  <c r="Z470" i="12" s="1"/>
  <c r="Z460" i="12" a="1"/>
  <c r="Z460" i="12" s="1"/>
  <c r="Z456" i="12" a="1"/>
  <c r="Z456" i="12" s="1"/>
  <c r="F361" i="12" a="1"/>
  <c r="F361" i="12" s="1"/>
  <c r="F262" i="12" a="1"/>
  <c r="F262" i="12" s="1"/>
  <c r="F256" i="12" a="1"/>
  <c r="F256" i="12" s="1"/>
  <c r="D248" i="12" a="1"/>
  <c r="D248" i="12" s="1"/>
  <c r="F225" i="12" a="1"/>
  <c r="F225" i="12" s="1"/>
  <c r="F221" i="12" a="1"/>
  <c r="F221" i="12" s="1"/>
  <c r="F201" i="12" a="1"/>
  <c r="F201" i="12" s="1"/>
  <c r="F182" i="12" a="1"/>
  <c r="F182" i="12" s="1"/>
  <c r="E179" i="12" a="1"/>
  <c r="E179" i="12" s="1"/>
  <c r="D176" i="12" a="1"/>
  <c r="D176" i="12" s="1"/>
  <c r="F163" i="12" a="1"/>
  <c r="F163" i="12" s="1"/>
  <c r="F144" i="12" a="1"/>
  <c r="F144" i="12" s="1"/>
  <c r="F141" i="12" a="1"/>
  <c r="F141" i="12" s="1"/>
  <c r="F138" i="12" a="1"/>
  <c r="F138" i="12" s="1"/>
  <c r="F134" i="12" a="1"/>
  <c r="F134" i="12" s="1"/>
  <c r="F124" i="12" a="1"/>
  <c r="F124" i="12" s="1"/>
  <c r="F120" i="12" a="1"/>
  <c r="F120" i="12" s="1"/>
  <c r="F117" i="12" a="1"/>
  <c r="F117" i="12" s="1"/>
  <c r="Z493" i="12" a="1"/>
  <c r="Z493" i="12" s="1"/>
  <c r="F393" i="12" a="1"/>
  <c r="F393" i="12" s="1"/>
  <c r="F389" i="12" a="1"/>
  <c r="F389" i="12" s="1"/>
  <c r="F385" i="12" a="1"/>
  <c r="F385" i="12" s="1"/>
  <c r="F381" i="12" a="1"/>
  <c r="F381" i="12" s="1"/>
  <c r="F376" i="12" a="1"/>
  <c r="F376" i="12" s="1"/>
  <c r="F372" i="12" a="1"/>
  <c r="F372" i="12" s="1"/>
  <c r="F368" i="12" a="1"/>
  <c r="F368" i="12" s="1"/>
  <c r="D361" i="12" a="1"/>
  <c r="D361" i="12" s="1"/>
  <c r="D363" i="12" s="1"/>
  <c r="E363" i="12" s="1"/>
  <c r="F346" i="12" a="1"/>
  <c r="F346" i="12" s="1"/>
  <c r="F342" i="12" a="1"/>
  <c r="F342" i="12" s="1"/>
  <c r="F337" i="12" a="1"/>
  <c r="F337" i="12" s="1"/>
  <c r="F333" i="12" a="1"/>
  <c r="F333" i="12" s="1"/>
  <c r="F328" i="12" a="1"/>
  <c r="F328" i="12" s="1"/>
  <c r="F324" i="12" a="1"/>
  <c r="F324" i="12" s="1"/>
  <c r="F320" i="12" a="1"/>
  <c r="F320" i="12" s="1"/>
  <c r="F283" i="12" a="1"/>
  <c r="F283" i="12" s="1"/>
  <c r="F279" i="12" a="1"/>
  <c r="F279" i="12" s="1"/>
  <c r="F275" i="12" a="1"/>
  <c r="F275" i="12" s="1"/>
  <c r="F270" i="12" a="1"/>
  <c r="F270" i="12" s="1"/>
  <c r="F259" i="12" a="1"/>
  <c r="F259" i="12" s="1"/>
  <c r="F228" i="12" a="1"/>
  <c r="F228" i="12" s="1"/>
  <c r="F217" i="12" a="1"/>
  <c r="F217" i="12" s="1"/>
  <c r="F213" i="12" a="1"/>
  <c r="F213" i="12" s="1"/>
  <c r="F208" i="12" a="1"/>
  <c r="F208" i="12" s="1"/>
  <c r="F204" i="12" a="1"/>
  <c r="F204" i="12" s="1"/>
  <c r="F189" i="12" a="1"/>
  <c r="F189" i="12" s="1"/>
  <c r="E182" i="12" a="1"/>
  <c r="E182" i="12" s="1"/>
  <c r="D179" i="12" a="1"/>
  <c r="D179" i="12" s="1"/>
  <c r="F159" i="12" a="1"/>
  <c r="F159" i="12" s="1"/>
  <c r="Z477"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463" i="12" a="1"/>
  <c r="Z463" i="12" s="1"/>
  <c r="Z459" i="12" a="1"/>
  <c r="Z459" i="12" s="1"/>
  <c r="Z455" i="12" a="1"/>
  <c r="Z455" i="12" s="1"/>
  <c r="F298" i="12" a="1"/>
  <c r="F298" i="12" s="1"/>
  <c r="F140" i="12" a="1"/>
  <c r="F140" i="12" s="1"/>
  <c r="F81" i="12" a="1"/>
  <c r="F81" i="12" s="1"/>
  <c r="F77" i="12" a="1"/>
  <c r="F77" i="12" s="1"/>
  <c r="Z474"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6" i="12" a="1"/>
  <c r="F296" i="12" s="1"/>
  <c r="F255" i="12" a="1"/>
  <c r="F255"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00" i="12" a="1"/>
  <c r="F200" i="12" s="1"/>
  <c r="F149" i="12" a="1"/>
  <c r="F149" i="12" s="1"/>
  <c r="F122" i="12" a="1"/>
  <c r="F122" i="12" s="1"/>
  <c r="D105" i="12" a="1"/>
  <c r="D105" i="12" s="1"/>
  <c r="E105" i="12" s="1"/>
  <c r="F99" i="12" a="1"/>
  <c r="F99" i="12" s="1"/>
  <c r="N99" i="12" s="1"/>
  <c r="D94" i="12" a="1"/>
  <c r="D94" i="12" s="1"/>
  <c r="F69" i="12" a="1"/>
  <c r="F69" i="12" s="1"/>
  <c r="F63" i="12" a="1"/>
  <c r="F63" i="12" s="1"/>
  <c r="F60" i="12" a="1"/>
  <c r="F60" i="12" s="1"/>
  <c r="F309" i="12" a="1"/>
  <c r="F309" i="12" s="1"/>
  <c r="E189" i="12" a="1"/>
  <c r="E189" i="12" s="1"/>
  <c r="F162" i="12" a="1"/>
  <c r="F162" i="12" s="1"/>
  <c r="F133" i="12" a="1"/>
  <c r="F133" i="12" s="1"/>
  <c r="F119" i="12" a="1"/>
  <c r="F119" i="12" s="1"/>
  <c r="F79" i="12" a="1"/>
  <c r="F79" i="12" s="1"/>
  <c r="F75" i="12" a="1"/>
  <c r="F75" i="12" s="1"/>
  <c r="Z472" i="12" s="1"/>
  <c r="F57" i="12" a="1"/>
  <c r="F57" i="12" s="1"/>
  <c r="F50" i="12" a="1"/>
  <c r="F50" i="12" s="1"/>
  <c r="F47" i="12" a="1"/>
  <c r="F47" i="12" s="1"/>
  <c r="F44" i="12" a="1"/>
  <c r="F44" i="12" s="1"/>
  <c r="F40" i="12" a="1"/>
  <c r="F40" i="12" s="1"/>
  <c r="F37" i="12" a="1"/>
  <c r="F37" i="12" s="1"/>
  <c r="F304" i="12" a="1"/>
  <c r="F304" i="12" s="1"/>
  <c r="F224" i="12" a="1"/>
  <c r="F224"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2" i="12" a="1"/>
  <c r="F302" i="12" s="1"/>
  <c r="F265" i="12" a="1"/>
  <c r="F265" i="12" s="1"/>
  <c r="F220" i="12" a="1"/>
  <c r="F220" i="12" s="1"/>
  <c r="D182" i="12" a="1"/>
  <c r="D182" i="12" s="1"/>
  <c r="F130" i="12" a="1"/>
  <c r="F130" i="12" s="1"/>
  <c r="F116" i="12" a="1"/>
  <c r="F116" i="12" s="1"/>
  <c r="F78" i="12" a="1"/>
  <c r="F78" i="12" s="1"/>
  <c r="Z471" i="12" s="1"/>
  <c r="F56" i="12" a="1"/>
  <c r="F56" i="12" s="1"/>
  <c r="F52" i="12" a="1"/>
  <c r="F52" i="12" s="1"/>
  <c r="F49" i="12" a="1"/>
  <c r="F49" i="12" s="1"/>
  <c r="F36" i="12" a="1"/>
  <c r="F36" i="12" s="1"/>
  <c r="D15" i="12" a="1"/>
  <c r="D15" i="12" s="1"/>
  <c r="F8" i="12" a="1"/>
  <c r="F8" i="12" s="1"/>
  <c r="F46" i="12" a="1"/>
  <c r="F46" i="12" s="1"/>
  <c r="D8" i="12" a="1"/>
  <c r="D8" i="12" s="1"/>
  <c r="E8" i="12" s="1"/>
  <c r="F300" i="12" a="1"/>
  <c r="F300"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496" i="12" a="1"/>
  <c r="Z496" i="12" s="1"/>
  <c r="Z497" i="12" a="1"/>
  <c r="Z497" i="12" s="1"/>
  <c r="Z495" i="12" a="1"/>
  <c r="Z495" i="12" s="1"/>
  <c r="F352" i="9"/>
  <c r="F354" i="9" s="1"/>
  <c r="Z482" i="9"/>
  <c r="D67" i="8" s="1"/>
  <c r="D9" i="8"/>
  <c r="D12" i="8" s="1"/>
  <c r="E113" i="9"/>
  <c r="E119" i="9"/>
  <c r="E116" i="9"/>
  <c r="Y416" i="9"/>
  <c r="Y412" i="9"/>
  <c r="F195" i="9"/>
  <c r="Y429" i="9" s="1"/>
  <c r="F187" i="9"/>
  <c r="E117" i="9"/>
  <c r="Y411" i="9"/>
  <c r="F27" i="9"/>
  <c r="F288" i="9"/>
  <c r="E288" i="9" s="1"/>
  <c r="E120" i="9"/>
  <c r="Z434" i="9"/>
  <c r="E115" i="9"/>
  <c r="Y418" i="9"/>
  <c r="Y419" i="9"/>
  <c r="F252" i="9"/>
  <c r="E118" i="9"/>
  <c r="E350" i="9"/>
  <c r="F398" i="9"/>
  <c r="E398" i="9" s="1"/>
  <c r="E378" i="9"/>
  <c r="E121" i="9"/>
  <c r="F232" i="9"/>
  <c r="D27" i="9"/>
  <c r="E78" i="9" s="1"/>
  <c r="E13" i="9"/>
  <c r="Z453" i="9"/>
  <c r="D65" i="8" s="1"/>
  <c r="Y414" i="9"/>
  <c r="Z467" i="9"/>
  <c r="E305" i="9"/>
  <c r="D310" i="9"/>
  <c r="E331" i="9"/>
  <c r="Y413" i="9"/>
  <c r="F74" i="9"/>
  <c r="D24" i="9"/>
  <c r="E82" i="9" s="1"/>
  <c r="D82" i="9" s="1"/>
  <c r="E97" i="9"/>
  <c r="D109" i="9"/>
  <c r="D106" i="9"/>
  <c r="E106" i="9" s="1"/>
  <c r="Z420" i="9"/>
  <c r="Y410" i="9"/>
  <c r="E122" i="9"/>
  <c r="Y417" i="9"/>
  <c r="F156" i="9"/>
  <c r="Y415" i="9"/>
  <c r="N97" i="9"/>
  <c r="R95" i="9"/>
  <c r="M97" i="9"/>
  <c r="R94" i="9"/>
  <c r="S94" i="9"/>
  <c r="S97" i="9" s="1"/>
  <c r="S103" i="9"/>
  <c r="R101" i="9"/>
  <c r="N37" i="9"/>
  <c r="AF416" i="9"/>
  <c r="AH416" i="9" s="1"/>
  <c r="AI416" i="9" s="1"/>
  <c r="R242" i="9"/>
  <c r="S367" i="12"/>
  <c r="N114" i="9"/>
  <c r="N32" i="9"/>
  <c r="J113" i="9"/>
  <c r="AF435" i="12"/>
  <c r="AF422" i="12"/>
  <c r="S377" i="12"/>
  <c r="L183" i="9"/>
  <c r="N6" i="9"/>
  <c r="N31" i="9"/>
  <c r="N179" i="9"/>
  <c r="M179" i="9"/>
  <c r="D29" i="8"/>
  <c r="AH475" i="9"/>
  <c r="AI475" i="9" s="1"/>
  <c r="R179" i="9"/>
  <c r="E28" i="2"/>
  <c r="K297" i="9"/>
  <c r="M297" i="9"/>
  <c r="K302" i="9"/>
  <c r="M302" i="9"/>
  <c r="L24" i="9"/>
  <c r="N21" i="9"/>
  <c r="N249" i="9"/>
  <c r="N248" i="9"/>
  <c r="K39" i="9"/>
  <c r="N39" i="9"/>
  <c r="K299" i="9"/>
  <c r="M299" i="9"/>
  <c r="K11" i="9"/>
  <c r="M11" i="9"/>
  <c r="K9" i="9"/>
  <c r="M9" i="9"/>
  <c r="N350" i="9"/>
  <c r="K308" i="9"/>
  <c r="M308" i="9"/>
  <c r="K38" i="9"/>
  <c r="N38" i="9"/>
  <c r="K8" i="9"/>
  <c r="M8" i="9"/>
  <c r="K301" i="9"/>
  <c r="M301" i="9"/>
  <c r="K309" i="9"/>
  <c r="M309" i="9"/>
  <c r="N54" i="9"/>
  <c r="N72" i="9"/>
  <c r="N249" i="12"/>
  <c r="K251" i="9"/>
  <c r="M245" i="9"/>
  <c r="K40" i="9"/>
  <c r="N40" i="9"/>
  <c r="N243" i="9"/>
  <c r="AI454" i="9"/>
  <c r="K10" i="9"/>
  <c r="M10" i="9"/>
  <c r="K12" i="9"/>
  <c r="M12" i="9"/>
  <c r="K298" i="9"/>
  <c r="M298" i="9"/>
  <c r="N8" i="9"/>
  <c r="K17" i="9"/>
  <c r="M17" i="9"/>
  <c r="L286" i="9"/>
  <c r="N269" i="9"/>
  <c r="N286" i="9" s="1"/>
  <c r="L177" i="9"/>
  <c r="K178" i="9"/>
  <c r="K186" i="9"/>
  <c r="M186" i="9" s="1"/>
  <c r="L305" i="9"/>
  <c r="K175" i="9"/>
  <c r="J186" i="9"/>
  <c r="L83" i="9"/>
  <c r="C15" i="8" s="1"/>
  <c r="L123" i="9"/>
  <c r="L249" i="9"/>
  <c r="K6" i="9"/>
  <c r="J24" i="9"/>
  <c r="K82" i="9" s="1"/>
  <c r="J82" i="9" s="1"/>
  <c r="L350" i="9"/>
  <c r="L246" i="9"/>
  <c r="L251" i="9"/>
  <c r="N251" i="9" s="1"/>
  <c r="N252" i="9" s="1"/>
  <c r="K300" i="9"/>
  <c r="L72" i="9"/>
  <c r="L186" i="9"/>
  <c r="N186" i="9" s="1"/>
  <c r="N187" i="9" s="1"/>
  <c r="L174" i="9"/>
  <c r="L164" i="9"/>
  <c r="C32" i="8" s="1"/>
  <c r="K7" i="9"/>
  <c r="L230" i="9"/>
  <c r="N230" i="9" s="1"/>
  <c r="L136" i="9"/>
  <c r="N136" i="9" s="1"/>
  <c r="L54" i="9"/>
  <c r="L267" i="9"/>
  <c r="J305" i="9"/>
  <c r="M305" i="9" s="1"/>
  <c r="K296" i="9"/>
  <c r="K181" i="9"/>
  <c r="L41" i="9"/>
  <c r="N41" i="9" s="1"/>
  <c r="L154" i="9"/>
  <c r="L243" i="9"/>
  <c r="L190" i="9"/>
  <c r="K15" i="9"/>
  <c r="L211" i="9"/>
  <c r="N211" i="9" s="1"/>
  <c r="L331" i="9"/>
  <c r="N331" i="9" s="1"/>
  <c r="L180" i="9"/>
  <c r="N180" i="9" s="1"/>
  <c r="D25" i="8"/>
  <c r="R302" i="9"/>
  <c r="R300" i="9"/>
  <c r="R297" i="9"/>
  <c r="E24" i="8"/>
  <c r="C40" i="8"/>
  <c r="K302" i="12"/>
  <c r="AF414" i="12"/>
  <c r="AN495" i="9"/>
  <c r="AR460" i="12"/>
  <c r="AN457" i="12"/>
  <c r="AR457" i="12"/>
  <c r="AR492" i="12"/>
  <c r="S338" i="9"/>
  <c r="S134" i="9"/>
  <c r="S50" i="9"/>
  <c r="AF430" i="9"/>
  <c r="AH430" i="9" s="1"/>
  <c r="AI430" i="9" s="1"/>
  <c r="B21" i="2"/>
  <c r="S280" i="9"/>
  <c r="R7" i="9"/>
  <c r="S7" i="9"/>
  <c r="S117" i="9"/>
  <c r="S125" i="9"/>
  <c r="S120" i="9"/>
  <c r="S376" i="9"/>
  <c r="S298" i="9"/>
  <c r="K40" i="12"/>
  <c r="S217" i="9"/>
  <c r="S368" i="9"/>
  <c r="S61" i="9"/>
  <c r="AF442" i="9"/>
  <c r="AH442" i="9" s="1"/>
  <c r="AI442" i="9" s="1"/>
  <c r="S384" i="9"/>
  <c r="S44" i="9"/>
  <c r="AF424" i="9"/>
  <c r="AH424" i="9" s="1"/>
  <c r="AI424" i="9" s="1"/>
  <c r="S130" i="9"/>
  <c r="S131" i="9"/>
  <c r="S303" i="9"/>
  <c r="S275" i="9"/>
  <c r="S21" i="9"/>
  <c r="S35" i="9"/>
  <c r="AF414" i="9"/>
  <c r="AH414" i="9" s="1"/>
  <c r="AI414" i="9" s="1"/>
  <c r="S132" i="9"/>
  <c r="S258" i="9"/>
  <c r="K11" i="12"/>
  <c r="L24" i="12"/>
  <c r="S274" i="12"/>
  <c r="AF452" i="9"/>
  <c r="AH452" i="9" s="1"/>
  <c r="AF451" i="9"/>
  <c r="AH451" i="9" s="1"/>
  <c r="AF427" i="9"/>
  <c r="AH427" i="9" s="1"/>
  <c r="S10" i="9"/>
  <c r="AF419" i="9"/>
  <c r="AH419" i="9" s="1"/>
  <c r="AF417" i="9"/>
  <c r="AH417" i="9" s="1"/>
  <c r="AF498" i="9"/>
  <c r="AH498" i="9" s="1"/>
  <c r="AF496" i="9"/>
  <c r="AH496" i="9" s="1"/>
  <c r="AF464" i="9"/>
  <c r="AH464" i="9" s="1"/>
  <c r="AF428" i="9"/>
  <c r="AH428" i="9" s="1"/>
  <c r="AF465" i="9"/>
  <c r="AH465" i="9" s="1"/>
  <c r="AF433" i="9"/>
  <c r="AH433" i="9" s="1"/>
  <c r="AF426" i="9"/>
  <c r="AH426" i="9" s="1"/>
  <c r="AF480" i="9"/>
  <c r="AH480" i="9" s="1"/>
  <c r="AI480" i="9" s="1"/>
  <c r="AF479" i="9"/>
  <c r="AH479" i="9" s="1"/>
  <c r="AI479" i="9" s="1"/>
  <c r="AF418" i="9"/>
  <c r="AH418" i="9" s="1"/>
  <c r="AF478" i="9"/>
  <c r="AH478" i="9" s="1"/>
  <c r="AI478" i="9" s="1"/>
  <c r="AF450" i="9"/>
  <c r="AH450" i="9" s="1"/>
  <c r="AH497" i="9"/>
  <c r="AI497" i="9" s="1"/>
  <c r="AF466" i="9"/>
  <c r="AH466" i="9" s="1"/>
  <c r="S309" i="9"/>
  <c r="S391" i="9"/>
  <c r="S65" i="9"/>
  <c r="AF446" i="9"/>
  <c r="AH446" i="9" s="1"/>
  <c r="AI446" i="9" s="1"/>
  <c r="S139" i="9"/>
  <c r="S147" i="9"/>
  <c r="S200" i="9"/>
  <c r="S304" i="9"/>
  <c r="L177" i="12"/>
  <c r="L72" i="12"/>
  <c r="S147" i="12"/>
  <c r="J186" i="12"/>
  <c r="S266" i="12"/>
  <c r="S338" i="12"/>
  <c r="D21" i="8"/>
  <c r="D27" i="8" s="1"/>
  <c r="D30" i="8"/>
  <c r="R309" i="9"/>
  <c r="R299" i="12"/>
  <c r="E11" i="8"/>
  <c r="D64" i="8"/>
  <c r="E40" i="8"/>
  <c r="E38" i="8"/>
  <c r="R303" i="9"/>
  <c r="R299" i="9"/>
  <c r="AF413" i="12"/>
  <c r="AF416" i="12"/>
  <c r="E44" i="8"/>
  <c r="K39" i="12"/>
  <c r="K186" i="12"/>
  <c r="K175" i="12"/>
  <c r="AN455" i="9"/>
  <c r="AO455" i="9" s="1"/>
  <c r="AN456" i="9"/>
  <c r="AO456" i="9" s="1"/>
  <c r="AR461" i="12"/>
  <c r="AF467" i="12"/>
  <c r="AR454" i="12"/>
  <c r="S221" i="9"/>
  <c r="E16" i="2"/>
  <c r="S284" i="9"/>
  <c r="S204" i="9"/>
  <c r="E20" i="2"/>
  <c r="K10" i="12"/>
  <c r="R9" i="9"/>
  <c r="S119" i="9"/>
  <c r="S278" i="9"/>
  <c r="S159" i="9"/>
  <c r="AF477" i="9"/>
  <c r="AH477" i="9" s="1"/>
  <c r="AI477" i="9" s="1"/>
  <c r="S162" i="9"/>
  <c r="R10" i="9"/>
  <c r="S332" i="9"/>
  <c r="S265" i="9"/>
  <c r="S381" i="9"/>
  <c r="S127" i="9"/>
  <c r="S389" i="9"/>
  <c r="S60" i="9"/>
  <c r="AH440" i="9"/>
  <c r="AI440" i="9" s="1"/>
  <c r="S256" i="9"/>
  <c r="R8" i="9"/>
  <c r="S135" i="9"/>
  <c r="S322" i="9"/>
  <c r="S80" i="9"/>
  <c r="S324" i="9"/>
  <c r="S48" i="9"/>
  <c r="S263" i="9"/>
  <c r="S38" i="9"/>
  <c r="S182" i="9"/>
  <c r="S283" i="9"/>
  <c r="AF412" i="12"/>
  <c r="L41" i="12"/>
  <c r="AF410" i="12"/>
  <c r="L331" i="12"/>
  <c r="S11" i="9"/>
  <c r="S203" i="9"/>
  <c r="S323" i="9"/>
  <c r="S395" i="9"/>
  <c r="S66" i="9"/>
  <c r="AH447" i="9"/>
  <c r="AI447" i="9" s="1"/>
  <c r="S140" i="9"/>
  <c r="S148" i="9"/>
  <c r="S201" i="9"/>
  <c r="K15" i="12"/>
  <c r="L186" i="12"/>
  <c r="L174" i="12"/>
  <c r="L180" i="12"/>
  <c r="L190" i="12"/>
  <c r="S282" i="9"/>
  <c r="S150" i="9"/>
  <c r="E51" i="8"/>
  <c r="E57" i="8"/>
  <c r="R296" i="9"/>
  <c r="R301" i="9"/>
  <c r="E53" i="8"/>
  <c r="K8" i="12"/>
  <c r="L363" i="9"/>
  <c r="S361" i="9"/>
  <c r="K298" i="12"/>
  <c r="AN459" i="9"/>
  <c r="AO459" i="9" s="1"/>
  <c r="AN462" i="9"/>
  <c r="AO462" i="9" s="1"/>
  <c r="AR449" i="12"/>
  <c r="AR462" i="12"/>
  <c r="S374" i="9"/>
  <c r="S36" i="9"/>
  <c r="AF415" i="9"/>
  <c r="AH415" i="9" s="1"/>
  <c r="AI415" i="9" s="1"/>
  <c r="S209" i="9"/>
  <c r="S33" i="9"/>
  <c r="AF412" i="9"/>
  <c r="AH412" i="9" s="1"/>
  <c r="AI412" i="9" s="1"/>
  <c r="S386" i="9"/>
  <c r="S260" i="9"/>
  <c r="S215" i="9"/>
  <c r="S328" i="9"/>
  <c r="S279" i="9"/>
  <c r="S319" i="9"/>
  <c r="S364" i="9"/>
  <c r="E54" i="8"/>
  <c r="R308" i="9"/>
  <c r="E45" i="8"/>
  <c r="S246" i="9"/>
  <c r="D4" i="8"/>
  <c r="D43" i="8"/>
  <c r="D46" i="8" s="1"/>
  <c r="C54" i="8"/>
  <c r="K299" i="12"/>
  <c r="AN494" i="9"/>
  <c r="AO494" i="9" s="1"/>
  <c r="AN493" i="9"/>
  <c r="AN492" i="9"/>
  <c r="AO492" i="9" s="1"/>
  <c r="AR459" i="12"/>
  <c r="AR493" i="12"/>
  <c r="S330" i="9"/>
  <c r="S277" i="9"/>
  <c r="S224" i="9"/>
  <c r="S214" i="9"/>
  <c r="C47" i="8"/>
  <c r="S15" i="9"/>
  <c r="S229" i="9"/>
  <c r="S262" i="9"/>
  <c r="S116" i="9"/>
  <c r="S349" i="9"/>
  <c r="S8" i="9"/>
  <c r="S327" i="9"/>
  <c r="S388" i="9"/>
  <c r="S79" i="9"/>
  <c r="S320" i="9"/>
  <c r="S39" i="9"/>
  <c r="S222" i="9"/>
  <c r="S347" i="9"/>
  <c r="AF481" i="12"/>
  <c r="C28" i="8"/>
  <c r="S114" i="9"/>
  <c r="K17" i="12"/>
  <c r="AF472" i="9"/>
  <c r="AH472" i="9" s="1"/>
  <c r="AI472" i="9" s="1"/>
  <c r="S340" i="9"/>
  <c r="S57" i="9"/>
  <c r="AF437" i="9"/>
  <c r="AH437" i="9" s="1"/>
  <c r="AI437" i="9" s="1"/>
  <c r="S189" i="9"/>
  <c r="S337" i="9"/>
  <c r="AF477" i="12"/>
  <c r="S22" i="9"/>
  <c r="S218" i="9"/>
  <c r="AF441" i="9"/>
  <c r="AH441" i="9" s="1"/>
  <c r="S345" i="9"/>
  <c r="L267" i="12"/>
  <c r="AH449" i="9"/>
  <c r="AI449" i="9" s="1"/>
  <c r="S142" i="9"/>
  <c r="S269" i="9"/>
  <c r="K101" i="12"/>
  <c r="K99" i="12"/>
  <c r="S217" i="12"/>
  <c r="S297" i="12"/>
  <c r="R304" i="9"/>
  <c r="S249" i="9"/>
  <c r="E7" i="8"/>
  <c r="C58" i="8"/>
  <c r="C52" i="8"/>
  <c r="K301" i="12"/>
  <c r="J305" i="12"/>
  <c r="K296" i="12"/>
  <c r="AN460" i="9"/>
  <c r="AO460" i="9" s="1"/>
  <c r="S242" i="9"/>
  <c r="S227" i="9"/>
  <c r="S17" i="9"/>
  <c r="S297" i="9"/>
  <c r="S206" i="9"/>
  <c r="C45" i="8"/>
  <c r="S339" i="9"/>
  <c r="S308" i="9"/>
  <c r="S133" i="9"/>
  <c r="AF443" i="9"/>
  <c r="AH443" i="9" s="1"/>
  <c r="AI443" i="9" s="1"/>
  <c r="S62" i="9"/>
  <c r="R12" i="9"/>
  <c r="S336" i="9"/>
  <c r="S58" i="9"/>
  <c r="AF438" i="9"/>
  <c r="AH438" i="9" s="1"/>
  <c r="AI438" i="9" s="1"/>
  <c r="S47" i="9"/>
  <c r="C42" i="8"/>
  <c r="S185" i="9"/>
  <c r="AF415" i="12"/>
  <c r="S12" i="9"/>
  <c r="S213" i="9"/>
  <c r="S333" i="9"/>
  <c r="S277" i="12"/>
  <c r="AF448" i="9"/>
  <c r="AH448" i="9" s="1"/>
  <c r="AI448" i="9" s="1"/>
  <c r="S67" i="9"/>
  <c r="S141" i="9"/>
  <c r="S149" i="9"/>
  <c r="S268" i="9"/>
  <c r="AF471" i="12"/>
  <c r="L211" i="12"/>
  <c r="K95" i="12"/>
  <c r="S202" i="12"/>
  <c r="R361" i="9"/>
  <c r="E58" i="8"/>
  <c r="E52" i="8"/>
  <c r="R298" i="9"/>
  <c r="R173" i="9"/>
  <c r="AO480" i="9"/>
  <c r="AO426" i="9"/>
  <c r="AO427" i="9"/>
  <c r="AO479" i="9"/>
  <c r="AO428" i="9"/>
  <c r="S157" i="9"/>
  <c r="R176" i="9"/>
  <c r="D56" i="8"/>
  <c r="L83" i="12"/>
  <c r="AF472" i="12"/>
  <c r="K251" i="12"/>
  <c r="AN421" i="9"/>
  <c r="AO421" i="9" s="1"/>
  <c r="AN457" i="9"/>
  <c r="AN470" i="9"/>
  <c r="AO470" i="9" s="1"/>
  <c r="AR458" i="12"/>
  <c r="B44" i="2"/>
  <c r="B53" i="2" s="1"/>
  <c r="S34" i="9"/>
  <c r="AF413" i="9"/>
  <c r="AH413" i="9" s="1"/>
  <c r="AI413" i="9" s="1"/>
  <c r="S285" i="9"/>
  <c r="S208" i="9"/>
  <c r="S225" i="9"/>
  <c r="S46" i="9"/>
  <c r="S245" i="9"/>
  <c r="S313" i="9"/>
  <c r="R313" i="9" s="1"/>
  <c r="S129" i="9"/>
  <c r="S380" i="9"/>
  <c r="S37" i="9"/>
  <c r="S329" i="9"/>
  <c r="K12" i="12"/>
  <c r="S220" i="9"/>
  <c r="R11" i="9"/>
  <c r="S81" i="9"/>
  <c r="S385" i="9"/>
  <c r="AF425" i="9"/>
  <c r="AH425" i="9" s="1"/>
  <c r="AI425" i="9" s="1"/>
  <c r="S45" i="9"/>
  <c r="S248" i="9"/>
  <c r="S369" i="9"/>
  <c r="S124" i="9"/>
  <c r="K38" i="12"/>
  <c r="S121" i="9"/>
  <c r="S344" i="9"/>
  <c r="S202" i="9"/>
  <c r="S348" i="9"/>
  <c r="S76" i="9"/>
  <c r="AF473" i="9"/>
  <c r="AH473" i="9" s="1"/>
  <c r="AI473" i="9" s="1"/>
  <c r="S372" i="9"/>
  <c r="S224" i="12"/>
  <c r="S143" i="9"/>
  <c r="S151" i="9"/>
  <c r="S270" i="9"/>
  <c r="AF441" i="12"/>
  <c r="L305" i="12"/>
  <c r="L123" i="12"/>
  <c r="AR475" i="12"/>
  <c r="E41" i="8"/>
  <c r="K6" i="12"/>
  <c r="J24" i="12"/>
  <c r="AF473" i="12"/>
  <c r="C53" i="8"/>
  <c r="K309" i="12"/>
  <c r="AN461" i="9"/>
  <c r="AO461" i="9" s="1"/>
  <c r="AN458" i="9"/>
  <c r="AO458" i="9" s="1"/>
  <c r="AR421" i="12"/>
  <c r="B30" i="2"/>
  <c r="S367" i="9"/>
  <c r="S51" i="9"/>
  <c r="AF431" i="9"/>
  <c r="AH431" i="9" s="1"/>
  <c r="AI431" i="9" s="1"/>
  <c r="S300" i="9"/>
  <c r="S264" i="9"/>
  <c r="S321" i="9"/>
  <c r="C59" i="8"/>
  <c r="S52" i="9"/>
  <c r="AF432" i="9"/>
  <c r="AH432" i="9" s="1"/>
  <c r="AI432" i="9" s="1"/>
  <c r="S255" i="9"/>
  <c r="S325" i="9"/>
  <c r="S392" i="9"/>
  <c r="S113" i="9"/>
  <c r="C24" i="8"/>
  <c r="S335" i="9"/>
  <c r="S6" i="9"/>
  <c r="S274" i="9"/>
  <c r="K9" i="12"/>
  <c r="S53" i="9"/>
  <c r="S257" i="9"/>
  <c r="S377" i="9"/>
  <c r="S173" i="9"/>
  <c r="S163" i="9"/>
  <c r="S375" i="9"/>
  <c r="S216" i="9"/>
  <c r="S370" i="9"/>
  <c r="S303" i="12"/>
  <c r="L136" i="12"/>
  <c r="L183" i="12"/>
  <c r="S78" i="9"/>
  <c r="AF471" i="9"/>
  <c r="AH471" i="9" s="1"/>
  <c r="AI471" i="9" s="1"/>
  <c r="S259" i="9"/>
  <c r="L396" i="9"/>
  <c r="K396" i="9" s="1"/>
  <c r="S379" i="9"/>
  <c r="L154" i="12"/>
  <c r="S144" i="9"/>
  <c r="S152" i="9"/>
  <c r="S271" i="9"/>
  <c r="S222" i="12"/>
  <c r="S225" i="12"/>
  <c r="L286" i="12"/>
  <c r="K286" i="12" s="1"/>
  <c r="S335" i="12"/>
  <c r="L249" i="12"/>
  <c r="D13" i="8"/>
  <c r="D5" i="8"/>
  <c r="D8" i="8" s="1"/>
  <c r="K7" i="12"/>
  <c r="C51" i="8"/>
  <c r="C57" i="8"/>
  <c r="K297" i="12"/>
  <c r="K300" i="12"/>
  <c r="AN454" i="9"/>
  <c r="AR455" i="12"/>
  <c r="AR470" i="12"/>
  <c r="S176" i="9"/>
  <c r="S23" i="9"/>
  <c r="E42" i="2"/>
  <c r="AF481" i="9"/>
  <c r="S326" i="9"/>
  <c r="S343" i="9"/>
  <c r="S371" i="9"/>
  <c r="S70" i="9"/>
  <c r="S334" i="9"/>
  <c r="S366" i="9"/>
  <c r="L378" i="9"/>
  <c r="S210" i="9"/>
  <c r="L106" i="12"/>
  <c r="S158" i="9"/>
  <c r="AF476" i="9"/>
  <c r="AH476" i="9" s="1"/>
  <c r="AI476" i="9" s="1"/>
  <c r="S342" i="9"/>
  <c r="S43" i="9"/>
  <c r="AF423" i="9"/>
  <c r="AH423" i="9" s="1"/>
  <c r="AI423" i="9" s="1"/>
  <c r="S276" i="9"/>
  <c r="S31" i="9"/>
  <c r="C7" i="8"/>
  <c r="AF410" i="9"/>
  <c r="AH410" i="9" s="1"/>
  <c r="AI410" i="9" s="1"/>
  <c r="S118" i="9"/>
  <c r="AF435" i="9"/>
  <c r="AH435" i="9" s="1"/>
  <c r="S55" i="9"/>
  <c r="S207" i="9"/>
  <c r="R6" i="9"/>
  <c r="S179" i="9"/>
  <c r="L13" i="12"/>
  <c r="S115" i="9"/>
  <c r="S219" i="9"/>
  <c r="S390" i="9"/>
  <c r="AF474" i="12"/>
  <c r="L230" i="12"/>
  <c r="S128" i="9"/>
  <c r="S281" i="9"/>
  <c r="S383" i="9"/>
  <c r="S63" i="9"/>
  <c r="AF444" i="9"/>
  <c r="AH444" i="9" s="1"/>
  <c r="AI444" i="9" s="1"/>
  <c r="S137" i="9"/>
  <c r="S145" i="9"/>
  <c r="S153" i="9"/>
  <c r="S272" i="9"/>
  <c r="S313" i="12"/>
  <c r="R313" i="12" s="1"/>
  <c r="L243" i="12"/>
  <c r="K267" i="12"/>
  <c r="L246" i="12"/>
  <c r="L251" i="12"/>
  <c r="C41" i="8"/>
  <c r="J363" i="9"/>
  <c r="K363" i="9" s="1"/>
  <c r="K361" i="9"/>
  <c r="K308" i="12"/>
  <c r="AR456" i="12"/>
  <c r="AR494" i="12"/>
  <c r="S261" i="9"/>
  <c r="S301" i="9"/>
  <c r="S56" i="9"/>
  <c r="AF436" i="9"/>
  <c r="AH436" i="9" s="1"/>
  <c r="AI436" i="9" s="1"/>
  <c r="S77" i="9"/>
  <c r="AF474" i="9"/>
  <c r="AH474" i="9" s="1"/>
  <c r="AI474" i="9" s="1"/>
  <c r="S40" i="9"/>
  <c r="B16" i="2"/>
  <c r="R15" i="9"/>
  <c r="S341" i="9"/>
  <c r="S394" i="9"/>
  <c r="S382" i="9"/>
  <c r="S49" i="9"/>
  <c r="AF429" i="9"/>
  <c r="AH429" i="9" s="1"/>
  <c r="AI429" i="9" s="1"/>
  <c r="S373" i="9"/>
  <c r="S266" i="9"/>
  <c r="AF411" i="12"/>
  <c r="S205" i="9"/>
  <c r="AF439" i="9"/>
  <c r="AH439" i="9" s="1"/>
  <c r="AI439" i="9" s="1"/>
  <c r="S59" i="9"/>
  <c r="S296" i="9"/>
  <c r="S42" i="9"/>
  <c r="AF422" i="9"/>
  <c r="AH422" i="9" s="1"/>
  <c r="AI422" i="9" s="1"/>
  <c r="S126" i="9"/>
  <c r="S71" i="9"/>
  <c r="S302" i="9"/>
  <c r="S228" i="9"/>
  <c r="R17" i="9"/>
  <c r="S212" i="9"/>
  <c r="C11" i="8"/>
  <c r="S32" i="9"/>
  <c r="AF411" i="9"/>
  <c r="AH411" i="9" s="1"/>
  <c r="AI411" i="9" s="1"/>
  <c r="S122" i="9"/>
  <c r="S223" i="9"/>
  <c r="S393" i="9"/>
  <c r="K94" i="12"/>
  <c r="S9" i="9"/>
  <c r="S161" i="9"/>
  <c r="S299" i="9"/>
  <c r="S387" i="9"/>
  <c r="S64" i="9"/>
  <c r="AF445" i="9"/>
  <c r="AH445" i="9" s="1"/>
  <c r="AI445" i="9" s="1"/>
  <c r="S138" i="9"/>
  <c r="S146" i="9"/>
  <c r="S199" i="9"/>
  <c r="C44" i="8"/>
  <c r="S273" i="9"/>
  <c r="L164" i="12"/>
  <c r="AF476" i="12"/>
  <c r="L54" i="12"/>
  <c r="L350" i="12"/>
  <c r="S248" i="12" l="1"/>
  <c r="AL452" i="9"/>
  <c r="AO452" i="9" s="1"/>
  <c r="AL451" i="9"/>
  <c r="AO451" i="9" s="1"/>
  <c r="AL450" i="9"/>
  <c r="AN450" i="9" s="1"/>
  <c r="AL433" i="9"/>
  <c r="AL434" i="9" s="1"/>
  <c r="AL419" i="9"/>
  <c r="AK419" i="9" s="1"/>
  <c r="AL418" i="9"/>
  <c r="AK418" i="9" s="1"/>
  <c r="AL417" i="9"/>
  <c r="AO417" i="9" s="1"/>
  <c r="K114" i="12"/>
  <c r="P122" i="12"/>
  <c r="P113" i="12"/>
  <c r="P114" i="12"/>
  <c r="P115" i="12"/>
  <c r="P117" i="12"/>
  <c r="P119" i="12"/>
  <c r="P116" i="12"/>
  <c r="P118" i="12"/>
  <c r="P120" i="12"/>
  <c r="P121" i="12"/>
  <c r="R99" i="12"/>
  <c r="M99" i="12"/>
  <c r="L109" i="12"/>
  <c r="F401" i="9"/>
  <c r="S372" i="12"/>
  <c r="S391" i="12"/>
  <c r="S94" i="12"/>
  <c r="S97" i="12" s="1"/>
  <c r="Z481" i="12"/>
  <c r="R302" i="12"/>
  <c r="S245" i="12"/>
  <c r="S371" i="12"/>
  <c r="S387" i="12"/>
  <c r="S381" i="12"/>
  <c r="R303" i="12"/>
  <c r="S179" i="12"/>
  <c r="S389" i="12"/>
  <c r="S390" i="12"/>
  <c r="R304" i="12"/>
  <c r="S395" i="12"/>
  <c r="S382" i="12"/>
  <c r="N83" i="9"/>
  <c r="AN497" i="12"/>
  <c r="AO497" i="12" s="1"/>
  <c r="AH481" i="9"/>
  <c r="AI481" i="9" s="1"/>
  <c r="AD481" i="9"/>
  <c r="S369" i="12"/>
  <c r="S218" i="12"/>
  <c r="S373" i="12"/>
  <c r="S392" i="12"/>
  <c r="S386" i="12"/>
  <c r="S384" i="12"/>
  <c r="S159" i="12"/>
  <c r="S383" i="12"/>
  <c r="S394" i="12"/>
  <c r="F177" i="12"/>
  <c r="S77" i="12"/>
  <c r="S380" i="12"/>
  <c r="Z432" i="12"/>
  <c r="E15" i="12"/>
  <c r="K116" i="12"/>
  <c r="K117" i="12"/>
  <c r="Z429" i="12"/>
  <c r="E109" i="9"/>
  <c r="R186" i="12"/>
  <c r="S158" i="12"/>
  <c r="AN496" i="12"/>
  <c r="AO496" i="12" s="1"/>
  <c r="R297" i="12"/>
  <c r="S176" i="12"/>
  <c r="S374" i="12"/>
  <c r="AN495" i="12"/>
  <c r="AH441" i="12"/>
  <c r="AN498" i="12"/>
  <c r="AO498" i="12" s="1"/>
  <c r="S385" i="12"/>
  <c r="S368" i="12"/>
  <c r="E297" i="12"/>
  <c r="E299" i="12"/>
  <c r="R12" i="12"/>
  <c r="R101" i="12"/>
  <c r="S370" i="12"/>
  <c r="E154" i="9"/>
  <c r="R10" i="12"/>
  <c r="E301" i="12"/>
  <c r="S65" i="12"/>
  <c r="S72" i="12" s="1"/>
  <c r="S49" i="12"/>
  <c r="S54" i="12" s="1"/>
  <c r="S375" i="12"/>
  <c r="R9" i="12"/>
  <c r="S76" i="12"/>
  <c r="R8" i="12"/>
  <c r="R11" i="12"/>
  <c r="S376" i="12"/>
  <c r="E156" i="9"/>
  <c r="N218" i="12"/>
  <c r="Z430" i="12"/>
  <c r="E308" i="12"/>
  <c r="Z449" i="12"/>
  <c r="S78" i="12"/>
  <c r="S388" i="12"/>
  <c r="E123" i="9"/>
  <c r="K119" i="12"/>
  <c r="K115" i="12"/>
  <c r="K118" i="12"/>
  <c r="K113" i="12"/>
  <c r="R97" i="9"/>
  <c r="R97" i="12"/>
  <c r="N123" i="9"/>
  <c r="K123" i="9"/>
  <c r="R96" i="12"/>
  <c r="S331" i="12"/>
  <c r="F24" i="12"/>
  <c r="F183" i="12"/>
  <c r="Z423" i="12"/>
  <c r="E94" i="12"/>
  <c r="Z424" i="12"/>
  <c r="Z437" i="12"/>
  <c r="Z436" i="12"/>
  <c r="Z440" i="12"/>
  <c r="Z438" i="12"/>
  <c r="D10" i="8"/>
  <c r="Z444" i="12"/>
  <c r="E101" i="12"/>
  <c r="Z425" i="12"/>
  <c r="Z439" i="12"/>
  <c r="Z445" i="12"/>
  <c r="Z446" i="12"/>
  <c r="F154" i="12"/>
  <c r="E17" i="12"/>
  <c r="Z448" i="12"/>
  <c r="F83" i="12"/>
  <c r="Z473" i="12"/>
  <c r="F363" i="12"/>
  <c r="E361" i="12"/>
  <c r="Z475" i="12"/>
  <c r="F164" i="12"/>
  <c r="Z467" i="12"/>
  <c r="E300" i="12"/>
  <c r="AN415" i="12"/>
  <c r="AO415" i="12" s="1"/>
  <c r="Q267" i="12"/>
  <c r="S267" i="12" s="1"/>
  <c r="O363" i="12"/>
  <c r="R361" i="12"/>
  <c r="S243" i="9"/>
  <c r="E6" i="12"/>
  <c r="F13" i="12"/>
  <c r="F136" i="12"/>
  <c r="F186" i="12"/>
  <c r="F174" i="12"/>
  <c r="AN410" i="12"/>
  <c r="AO410" i="12" s="1"/>
  <c r="S41" i="12"/>
  <c r="R305" i="12"/>
  <c r="Q396" i="12"/>
  <c r="P396" i="12" s="1"/>
  <c r="F123" i="12"/>
  <c r="Z412" i="12"/>
  <c r="F97" i="12"/>
  <c r="AN416" i="12"/>
  <c r="AO416" i="12" s="1"/>
  <c r="S136" i="12"/>
  <c r="AO475" i="12"/>
  <c r="P251" i="12"/>
  <c r="Z479" i="12"/>
  <c r="Z452" i="12"/>
  <c r="Z427" i="12"/>
  <c r="Z417" i="12"/>
  <c r="Z451" i="12"/>
  <c r="Z426" i="12"/>
  <c r="Z450" i="12"/>
  <c r="Z433" i="12"/>
  <c r="Z419" i="12"/>
  <c r="Z480" i="12"/>
  <c r="Z428" i="12"/>
  <c r="Z418" i="12"/>
  <c r="E7" i="12"/>
  <c r="Z411" i="12"/>
  <c r="E96" i="12"/>
  <c r="F180" i="12"/>
  <c r="E251" i="12"/>
  <c r="F378" i="12"/>
  <c r="F211" i="12"/>
  <c r="E309" i="12"/>
  <c r="Q251" i="12"/>
  <c r="S251" i="12" s="1"/>
  <c r="S252" i="12" s="1"/>
  <c r="Q246" i="12"/>
  <c r="AN414" i="12"/>
  <c r="AO414" i="12" s="1"/>
  <c r="Q249" i="12"/>
  <c r="Z410" i="12"/>
  <c r="F41" i="12"/>
  <c r="Z414" i="12"/>
  <c r="Z422" i="12"/>
  <c r="F54" i="12"/>
  <c r="F72" i="12"/>
  <c r="Z435" i="12"/>
  <c r="F106" i="12"/>
  <c r="F190" i="12"/>
  <c r="F249" i="12"/>
  <c r="F331" i="12"/>
  <c r="F193" i="12"/>
  <c r="Q286" i="12"/>
  <c r="Z413" i="12"/>
  <c r="F267" i="12"/>
  <c r="F251" i="12"/>
  <c r="F246" i="12"/>
  <c r="F230" i="12"/>
  <c r="S24" i="12"/>
  <c r="S25" i="12" s="1"/>
  <c r="Q243" i="12"/>
  <c r="Q363" i="12"/>
  <c r="P361" i="12"/>
  <c r="AL467" i="12"/>
  <c r="F305" i="12"/>
  <c r="F310" i="12" s="1"/>
  <c r="F315" i="12" s="1"/>
  <c r="Z442" i="12"/>
  <c r="E95" i="12"/>
  <c r="D97" i="12"/>
  <c r="E122" i="12" s="1"/>
  <c r="F396" i="12"/>
  <c r="E396" i="12" s="1"/>
  <c r="D305" i="12"/>
  <c r="E296" i="12"/>
  <c r="Q378" i="12"/>
  <c r="Z415" i="12"/>
  <c r="Z443" i="12"/>
  <c r="Z416" i="12"/>
  <c r="D13" i="12"/>
  <c r="Z447" i="12"/>
  <c r="Z431" i="12"/>
  <c r="D186" i="12"/>
  <c r="E186" i="12"/>
  <c r="E195" i="12" s="1"/>
  <c r="E175" i="12"/>
  <c r="F286" i="12"/>
  <c r="F243" i="12"/>
  <c r="E298" i="12"/>
  <c r="F350" i="12"/>
  <c r="S154" i="12"/>
  <c r="S211" i="12"/>
  <c r="E352" i="9"/>
  <c r="E41" i="9"/>
  <c r="Z408" i="9"/>
  <c r="F166" i="9"/>
  <c r="E27" i="9"/>
  <c r="E74" i="9"/>
  <c r="E54" i="9"/>
  <c r="F400" i="9"/>
  <c r="E211" i="9"/>
  <c r="Y430" i="9"/>
  <c r="Y431" i="9"/>
  <c r="E24" i="9"/>
  <c r="E36" i="9"/>
  <c r="E39" i="9"/>
  <c r="E37" i="9"/>
  <c r="E34" i="9"/>
  <c r="E32" i="9"/>
  <c r="E33" i="9"/>
  <c r="E35" i="9"/>
  <c r="E31" i="9"/>
  <c r="E38" i="9"/>
  <c r="E40" i="9"/>
  <c r="E72" i="9"/>
  <c r="E232" i="9"/>
  <c r="E310" i="9"/>
  <c r="D315" i="9"/>
  <c r="E230" i="9"/>
  <c r="F196" i="9"/>
  <c r="F234" i="9"/>
  <c r="Z469" i="9"/>
  <c r="F290" i="9"/>
  <c r="M24" i="9"/>
  <c r="F85" i="9"/>
  <c r="M109" i="9"/>
  <c r="S109" i="9"/>
  <c r="S110" i="9" s="1"/>
  <c r="S106" i="9"/>
  <c r="S107" i="9" s="1"/>
  <c r="M106" i="9"/>
  <c r="N109" i="9"/>
  <c r="S150" i="12"/>
  <c r="AF423" i="12"/>
  <c r="S346" i="12"/>
  <c r="S350" i="12" s="1"/>
  <c r="S346" i="9"/>
  <c r="S350" i="9" s="1"/>
  <c r="AF442" i="12"/>
  <c r="AF436" i="12"/>
  <c r="AF437" i="12"/>
  <c r="AF446" i="12"/>
  <c r="AF425" i="12"/>
  <c r="AF430" i="12"/>
  <c r="AF432" i="12"/>
  <c r="AR432" i="12" s="1"/>
  <c r="AF443" i="12"/>
  <c r="AR443" i="12" s="1"/>
  <c r="AF438" i="12"/>
  <c r="AF431" i="12"/>
  <c r="AF429" i="12"/>
  <c r="AF424" i="12"/>
  <c r="AR424" i="12" s="1"/>
  <c r="AF448" i="12"/>
  <c r="S243" i="12"/>
  <c r="AF433" i="12"/>
  <c r="AR433" i="12" s="1"/>
  <c r="AF452" i="12"/>
  <c r="AR452" i="12" s="1"/>
  <c r="AF444" i="12"/>
  <c r="AR444" i="12" s="1"/>
  <c r="AF427" i="12"/>
  <c r="AR427" i="12" s="1"/>
  <c r="AF480" i="12"/>
  <c r="AF419" i="12"/>
  <c r="AF445" i="12"/>
  <c r="AR445" i="12" s="1"/>
  <c r="AF418" i="12"/>
  <c r="AR418" i="12" s="1"/>
  <c r="AF417" i="12"/>
  <c r="AE417" i="12" s="1"/>
  <c r="AF479" i="12"/>
  <c r="AF426" i="12"/>
  <c r="AF439" i="12"/>
  <c r="AF450" i="12"/>
  <c r="AF428" i="12"/>
  <c r="AR428" i="12" s="1"/>
  <c r="AF451" i="12"/>
  <c r="AR451" i="12" s="1"/>
  <c r="AF478" i="12"/>
  <c r="AN478" i="12" s="1"/>
  <c r="AO478" i="12" s="1"/>
  <c r="K361" i="12"/>
  <c r="J363" i="12"/>
  <c r="K363" i="12" s="1"/>
  <c r="S379" i="12"/>
  <c r="L396" i="12"/>
  <c r="S366" i="12"/>
  <c r="L378" i="12"/>
  <c r="S154" i="9"/>
  <c r="N13" i="9"/>
  <c r="N14" i="9" s="1"/>
  <c r="J31" i="9"/>
  <c r="S226" i="9"/>
  <c r="AH467" i="9"/>
  <c r="AI467" i="9" s="1"/>
  <c r="L27" i="9"/>
  <c r="S68" i="9"/>
  <c r="S72" i="9" s="1"/>
  <c r="B32" i="2"/>
  <c r="B56" i="2" s="1"/>
  <c r="J32" i="12"/>
  <c r="L27" i="12"/>
  <c r="M13" i="9"/>
  <c r="M14" i="9" s="1"/>
  <c r="K187" i="9"/>
  <c r="J114" i="12"/>
  <c r="K31" i="9"/>
  <c r="J32" i="9"/>
  <c r="N24" i="9"/>
  <c r="N25" i="9" s="1"/>
  <c r="AH453" i="9"/>
  <c r="AI453" i="9" s="1"/>
  <c r="AI435" i="9"/>
  <c r="E30" i="2"/>
  <c r="E45" i="2" s="1"/>
  <c r="K34" i="9"/>
  <c r="N154" i="9"/>
  <c r="L288" i="9"/>
  <c r="N288" i="9" s="1"/>
  <c r="N267" i="9"/>
  <c r="K35" i="9"/>
  <c r="L310" i="9"/>
  <c r="N305" i="9"/>
  <c r="N306" i="9" s="1"/>
  <c r="K286" i="9"/>
  <c r="K267" i="9"/>
  <c r="L352" i="9"/>
  <c r="L74" i="9"/>
  <c r="N74" i="9" s="1"/>
  <c r="L156" i="9"/>
  <c r="L232" i="9"/>
  <c r="N232" i="9" s="1"/>
  <c r="K23" i="9"/>
  <c r="R23" i="9" s="1"/>
  <c r="K13" i="9"/>
  <c r="K21" i="9"/>
  <c r="R21" i="9" s="1"/>
  <c r="J27" i="9"/>
  <c r="K22" i="9"/>
  <c r="R22" i="9" s="1"/>
  <c r="K33" i="9"/>
  <c r="K24" i="9"/>
  <c r="K36" i="9"/>
  <c r="K305" i="9"/>
  <c r="J310" i="9"/>
  <c r="M310" i="9" s="1"/>
  <c r="L195" i="9"/>
  <c r="L187" i="9"/>
  <c r="K195" i="9"/>
  <c r="K122" i="9"/>
  <c r="K120" i="9"/>
  <c r="K121" i="9"/>
  <c r="L252" i="9"/>
  <c r="M251" i="9" s="1"/>
  <c r="K32" i="9"/>
  <c r="K37" i="9"/>
  <c r="AF467" i="9"/>
  <c r="AF482" i="9"/>
  <c r="AH482" i="9" s="1"/>
  <c r="AI482" i="9" s="1"/>
  <c r="D31" i="8"/>
  <c r="D23" i="8"/>
  <c r="D72" i="8"/>
  <c r="D6" i="8"/>
  <c r="D14" i="8"/>
  <c r="K24" i="12"/>
  <c r="K34" i="12"/>
  <c r="K35" i="12"/>
  <c r="K33" i="12"/>
  <c r="K31" i="12"/>
  <c r="K36" i="12"/>
  <c r="K37" i="12"/>
  <c r="K32" i="12"/>
  <c r="S230" i="9"/>
  <c r="C43" i="8"/>
  <c r="S211" i="9"/>
  <c r="S54" i="9"/>
  <c r="F7" i="8"/>
  <c r="H7" i="8" s="1"/>
  <c r="G7" i="8"/>
  <c r="I7" i="8" s="1"/>
  <c r="AN423" i="9"/>
  <c r="AO423" i="9" s="1"/>
  <c r="AN467" i="9"/>
  <c r="G51" i="8"/>
  <c r="I51" i="8" s="1"/>
  <c r="F51" i="8"/>
  <c r="H51" i="8" s="1"/>
  <c r="S267" i="9"/>
  <c r="L310" i="12"/>
  <c r="AN425" i="9"/>
  <c r="AO425" i="9" s="1"/>
  <c r="AR472" i="12"/>
  <c r="AN472" i="9"/>
  <c r="R186" i="9"/>
  <c r="AR471" i="12"/>
  <c r="AN471" i="12"/>
  <c r="AO471" i="12" s="1"/>
  <c r="AN438" i="9"/>
  <c r="AO438" i="9" s="1"/>
  <c r="E21" i="8"/>
  <c r="AN441" i="9"/>
  <c r="AO441" i="9" s="1"/>
  <c r="G28" i="8"/>
  <c r="I28" i="8" s="1"/>
  <c r="F28" i="8"/>
  <c r="H28" i="8" s="1"/>
  <c r="L74" i="12"/>
  <c r="K187" i="12"/>
  <c r="AN497" i="9"/>
  <c r="AO497" i="9" s="1"/>
  <c r="AN427" i="9"/>
  <c r="E22" i="8"/>
  <c r="E25" i="8" s="1"/>
  <c r="F11" i="8"/>
  <c r="H11" i="8" s="1"/>
  <c r="G11" i="8"/>
  <c r="I11" i="8" s="1"/>
  <c r="AN422" i="9"/>
  <c r="AO422" i="9" s="1"/>
  <c r="AN439" i="9"/>
  <c r="AO439" i="9" s="1"/>
  <c r="AN474" i="9"/>
  <c r="J106" i="12"/>
  <c r="K105" i="12"/>
  <c r="R105" i="12" s="1"/>
  <c r="K120" i="12"/>
  <c r="K121" i="12"/>
  <c r="K122" i="12"/>
  <c r="J109" i="12"/>
  <c r="K104" i="12"/>
  <c r="R104" i="12" s="1"/>
  <c r="K103" i="12"/>
  <c r="R103" i="12" s="1"/>
  <c r="K97" i="12"/>
  <c r="S305" i="9"/>
  <c r="S306" i="9" s="1"/>
  <c r="AN444" i="9"/>
  <c r="AO444" i="9" s="1"/>
  <c r="AF453" i="9"/>
  <c r="AN435" i="9"/>
  <c r="AO435" i="9" s="1"/>
  <c r="S186" i="9"/>
  <c r="S187" i="9" s="1"/>
  <c r="S13" i="9"/>
  <c r="S14" i="9" s="1"/>
  <c r="AN432" i="9"/>
  <c r="AO432" i="9" s="1"/>
  <c r="E64" i="8"/>
  <c r="F15" i="8"/>
  <c r="H15" i="8" s="1"/>
  <c r="AN412" i="9"/>
  <c r="AO412" i="9" s="1"/>
  <c r="AE412" i="9"/>
  <c r="S363" i="9"/>
  <c r="AN447" i="9"/>
  <c r="AO447" i="9" s="1"/>
  <c r="AN467" i="12"/>
  <c r="D39" i="8"/>
  <c r="E4" i="8"/>
  <c r="AN446" i="9"/>
  <c r="AO446" i="9" s="1"/>
  <c r="AN428" i="9"/>
  <c r="AN424" i="9"/>
  <c r="AO424" i="9" s="1"/>
  <c r="F40" i="8"/>
  <c r="H40" i="8" s="1"/>
  <c r="G40" i="8"/>
  <c r="I40" i="8" s="1"/>
  <c r="R13" i="9"/>
  <c r="R14" i="9" s="1"/>
  <c r="AE481" i="9"/>
  <c r="S396" i="9"/>
  <c r="C5" i="8"/>
  <c r="AN441" i="12"/>
  <c r="AO441" i="12" s="1"/>
  <c r="AR441" i="12"/>
  <c r="S251" i="9"/>
  <c r="S252" i="9" s="1"/>
  <c r="L252" i="12"/>
  <c r="R363" i="9"/>
  <c r="AR481" i="12"/>
  <c r="F47" i="8"/>
  <c r="H47" i="8" s="1"/>
  <c r="G47" i="8"/>
  <c r="I47" i="8" s="1"/>
  <c r="R305" i="9"/>
  <c r="L195" i="12"/>
  <c r="L187" i="12"/>
  <c r="L352" i="12"/>
  <c r="AN440" i="9"/>
  <c r="AO440" i="9" s="1"/>
  <c r="E66" i="8"/>
  <c r="AN478" i="9"/>
  <c r="AO478" i="9" s="1"/>
  <c r="AE414" i="9"/>
  <c r="AN414" i="9"/>
  <c r="AO414" i="9" s="1"/>
  <c r="G41" i="8"/>
  <c r="I41" i="8" s="1"/>
  <c r="F41" i="8"/>
  <c r="H41" i="8" s="1"/>
  <c r="AN474" i="12"/>
  <c r="AR474" i="12"/>
  <c r="F53" i="8"/>
  <c r="H53" i="8" s="1"/>
  <c r="G53" i="8"/>
  <c r="I53" i="8" s="1"/>
  <c r="J27" i="12"/>
  <c r="K13" i="12"/>
  <c r="K23" i="12"/>
  <c r="R23" i="12" s="1"/>
  <c r="K21" i="12"/>
  <c r="R21" i="12" s="1"/>
  <c r="K22" i="12"/>
  <c r="R22" i="12" s="1"/>
  <c r="J113" i="12"/>
  <c r="C22" i="8"/>
  <c r="C25" i="8" s="1"/>
  <c r="AN448" i="9"/>
  <c r="AO448" i="9" s="1"/>
  <c r="AE415" i="12"/>
  <c r="AR415" i="12"/>
  <c r="C26" i="8"/>
  <c r="C29" i="8" s="1"/>
  <c r="F52" i="8"/>
  <c r="H52" i="8" s="1"/>
  <c r="G52" i="8"/>
  <c r="I52" i="8" s="1"/>
  <c r="L288" i="12"/>
  <c r="AR477" i="12"/>
  <c r="AN477" i="12"/>
  <c r="AN437" i="9"/>
  <c r="AO437" i="9" s="1"/>
  <c r="AE410" i="12"/>
  <c r="AR410" i="12"/>
  <c r="AE412" i="12"/>
  <c r="AR412" i="12"/>
  <c r="AR467" i="12"/>
  <c r="AE413" i="12"/>
  <c r="AR413" i="12"/>
  <c r="AE418" i="9"/>
  <c r="AG418" i="9" s="1"/>
  <c r="AN496" i="9"/>
  <c r="AO496" i="9" s="1"/>
  <c r="AN430" i="9"/>
  <c r="AO430" i="9" s="1"/>
  <c r="AE414" i="12"/>
  <c r="AR414" i="12"/>
  <c r="E30" i="8"/>
  <c r="AE411" i="12"/>
  <c r="AR411" i="12"/>
  <c r="D70" i="8"/>
  <c r="G59" i="8"/>
  <c r="I59" i="8" s="1"/>
  <c r="F59" i="8"/>
  <c r="H59" i="8" s="1"/>
  <c r="AN431" i="9"/>
  <c r="AO431" i="9" s="1"/>
  <c r="AN473" i="9"/>
  <c r="AO473" i="9" s="1"/>
  <c r="S136" i="9"/>
  <c r="AN449" i="9"/>
  <c r="AO449" i="9" s="1"/>
  <c r="G54" i="8"/>
  <c r="I54" i="8" s="1"/>
  <c r="F54" i="8"/>
  <c r="H54" i="8" s="1"/>
  <c r="K195" i="12"/>
  <c r="E9" i="8"/>
  <c r="E12" i="8" s="1"/>
  <c r="AN479" i="9"/>
  <c r="AN498" i="9"/>
  <c r="AO498" i="9" s="1"/>
  <c r="AR422" i="12"/>
  <c r="AN436" i="9"/>
  <c r="AO436" i="9" s="1"/>
  <c r="AN476" i="12"/>
  <c r="AR476" i="12"/>
  <c r="F44" i="8"/>
  <c r="H44" i="8" s="1"/>
  <c r="G44" i="8"/>
  <c r="I44" i="8" s="1"/>
  <c r="AN445" i="9"/>
  <c r="AO445" i="9" s="1"/>
  <c r="AN429" i="9"/>
  <c r="AO429" i="9" s="1"/>
  <c r="S13" i="12"/>
  <c r="C4" i="8"/>
  <c r="C13" i="8"/>
  <c r="S41" i="9"/>
  <c r="AN476" i="9"/>
  <c r="AR473" i="12"/>
  <c r="AN473" i="12"/>
  <c r="L156" i="12"/>
  <c r="E26" i="8"/>
  <c r="G42" i="8"/>
  <c r="I42" i="8" s="1"/>
  <c r="F42" i="8"/>
  <c r="H42" i="8" s="1"/>
  <c r="AN443" i="9"/>
  <c r="AO443" i="9" s="1"/>
  <c r="G45" i="8"/>
  <c r="I45" i="8" s="1"/>
  <c r="F45" i="8"/>
  <c r="H45" i="8" s="1"/>
  <c r="J310" i="12"/>
  <c r="K305" i="12"/>
  <c r="G58" i="8"/>
  <c r="I58" i="8" s="1"/>
  <c r="F58" i="8"/>
  <c r="H58" i="8" s="1"/>
  <c r="AO454" i="9"/>
  <c r="S331" i="9"/>
  <c r="E43" i="8"/>
  <c r="E46" i="8" s="1"/>
  <c r="AN480" i="9"/>
  <c r="AE417" i="9"/>
  <c r="AG417" i="9" s="1"/>
  <c r="F32" i="8"/>
  <c r="H32" i="8" s="1"/>
  <c r="K378" i="9"/>
  <c r="L398" i="9"/>
  <c r="S378" i="9"/>
  <c r="G24" i="8"/>
  <c r="I24" i="8" s="1"/>
  <c r="F24" i="8"/>
  <c r="H24" i="8" s="1"/>
  <c r="C21" i="8"/>
  <c r="E5" i="8"/>
  <c r="L232" i="12"/>
  <c r="AE415" i="9"/>
  <c r="C64" i="8"/>
  <c r="AN415" i="9"/>
  <c r="AO415" i="9" s="1"/>
  <c r="J31" i="12"/>
  <c r="AN426" i="9"/>
  <c r="AE419" i="9"/>
  <c r="AG419" i="9" s="1"/>
  <c r="AN442" i="9"/>
  <c r="AO442" i="9" s="1"/>
  <c r="AN411" i="9"/>
  <c r="AO411" i="9" s="1"/>
  <c r="AE411" i="9"/>
  <c r="AF420" i="9"/>
  <c r="AH420" i="9" s="1"/>
  <c r="AI420" i="9" s="1"/>
  <c r="AN410" i="9"/>
  <c r="AO410" i="9" s="1"/>
  <c r="AE410" i="9"/>
  <c r="F57" i="8"/>
  <c r="H57" i="8" s="1"/>
  <c r="G57" i="8"/>
  <c r="I57" i="8" s="1"/>
  <c r="AN471" i="9"/>
  <c r="AO471" i="9" s="1"/>
  <c r="S123" i="9"/>
  <c r="C30" i="8"/>
  <c r="AN416" i="9"/>
  <c r="AO416" i="9" s="1"/>
  <c r="AE416" i="9"/>
  <c r="C66" i="8"/>
  <c r="AN413" i="9"/>
  <c r="AO413" i="9" s="1"/>
  <c r="AE413" i="9"/>
  <c r="AF434" i="9"/>
  <c r="AH434" i="9" s="1"/>
  <c r="AI434" i="9" s="1"/>
  <c r="AN475" i="9"/>
  <c r="AO475" i="9" s="1"/>
  <c r="E13" i="8"/>
  <c r="AN477" i="9"/>
  <c r="AE416" i="12"/>
  <c r="AR416" i="12"/>
  <c r="AR435" i="12"/>
  <c r="S24" i="9"/>
  <c r="S25" i="9" s="1"/>
  <c r="C9" i="8"/>
  <c r="C12" i="8" s="1"/>
  <c r="AG411" i="9" l="1"/>
  <c r="AM411" i="9"/>
  <c r="AG416" i="9"/>
  <c r="AM416" i="9"/>
  <c r="AG414" i="9"/>
  <c r="AM414" i="9"/>
  <c r="AG415" i="9"/>
  <c r="AM415" i="9"/>
  <c r="AG410" i="9"/>
  <c r="AM410" i="9"/>
  <c r="AG413" i="9"/>
  <c r="AM413" i="9"/>
  <c r="AG412" i="9"/>
  <c r="AM412" i="9"/>
  <c r="AN419" i="9"/>
  <c r="AN417" i="9"/>
  <c r="AN451" i="9"/>
  <c r="AN452" i="9"/>
  <c r="AO418" i="9"/>
  <c r="AN418" i="9"/>
  <c r="AO419" i="9"/>
  <c r="AK417" i="9"/>
  <c r="AL420" i="9"/>
  <c r="AJ420" i="9" s="1"/>
  <c r="AL453" i="9"/>
  <c r="AJ453" i="9" s="1"/>
  <c r="AO450" i="9"/>
  <c r="AJ434" i="9"/>
  <c r="AJ482" i="9"/>
  <c r="AJ467" i="9"/>
  <c r="AJ408" i="9"/>
  <c r="D113" i="12"/>
  <c r="F109" i="12"/>
  <c r="E154" i="12" s="1"/>
  <c r="F402" i="9"/>
  <c r="S186" i="12"/>
  <c r="S187" i="12" s="1"/>
  <c r="S123" i="12"/>
  <c r="S156" i="12"/>
  <c r="AN422" i="12"/>
  <c r="AO422" i="12" s="1"/>
  <c r="AL434" i="12"/>
  <c r="AN429" i="12"/>
  <c r="AO429" i="12" s="1"/>
  <c r="AN480" i="12"/>
  <c r="AO480" i="12" s="1"/>
  <c r="AN447" i="12"/>
  <c r="AO447" i="12" s="1"/>
  <c r="AN425" i="12"/>
  <c r="AO425" i="12" s="1"/>
  <c r="X467" i="9"/>
  <c r="N27" i="9"/>
  <c r="N85" i="9" s="1"/>
  <c r="AN442" i="12"/>
  <c r="AO442" i="12" s="1"/>
  <c r="S305" i="12"/>
  <c r="S306" i="12" s="1"/>
  <c r="AN426" i="12"/>
  <c r="AO426" i="12" s="1"/>
  <c r="AN419" i="12"/>
  <c r="AO419" i="12" s="1"/>
  <c r="S14" i="12"/>
  <c r="AN446" i="12"/>
  <c r="AO446" i="12" s="1"/>
  <c r="AN436" i="12"/>
  <c r="AO436" i="12" s="1"/>
  <c r="AN437" i="12"/>
  <c r="AO437" i="12" s="1"/>
  <c r="M27" i="9"/>
  <c r="K78" i="9"/>
  <c r="R13" i="12"/>
  <c r="R14" i="12" s="1"/>
  <c r="S396" i="12"/>
  <c r="AO467" i="12"/>
  <c r="AN448" i="12"/>
  <c r="AO448" i="12" s="1"/>
  <c r="AN423" i="12"/>
  <c r="AO423" i="12" s="1"/>
  <c r="AN438" i="12"/>
  <c r="AO438" i="12" s="1"/>
  <c r="F27" i="12"/>
  <c r="E72" i="12" s="1"/>
  <c r="AN440" i="12"/>
  <c r="AO440" i="12" s="1"/>
  <c r="AN439" i="12"/>
  <c r="AO439" i="12" s="1"/>
  <c r="AN430" i="12"/>
  <c r="AO430" i="12" s="1"/>
  <c r="AN431" i="12"/>
  <c r="AO431" i="12" s="1"/>
  <c r="S106" i="12"/>
  <c r="S107" i="12" s="1"/>
  <c r="Z482" i="12"/>
  <c r="Z434" i="12"/>
  <c r="E117" i="12"/>
  <c r="AK413" i="12"/>
  <c r="AM413" i="12" s="1"/>
  <c r="Y416" i="12"/>
  <c r="AK411" i="12"/>
  <c r="AM411" i="12" s="1"/>
  <c r="AK412" i="12"/>
  <c r="AM412" i="12" s="1"/>
  <c r="E114" i="12"/>
  <c r="Y414" i="12"/>
  <c r="E120" i="12"/>
  <c r="AN475" i="12"/>
  <c r="AN412" i="12"/>
  <c r="AO412" i="12" s="1"/>
  <c r="AL453" i="12"/>
  <c r="S232" i="12"/>
  <c r="AN411" i="12"/>
  <c r="AO411" i="12" s="1"/>
  <c r="E350" i="12"/>
  <c r="D114" i="12"/>
  <c r="Z453" i="12"/>
  <c r="Z420" i="12"/>
  <c r="Y410" i="12"/>
  <c r="Y419" i="12"/>
  <c r="AK416" i="12"/>
  <c r="AM416" i="12" s="1"/>
  <c r="F156" i="12"/>
  <c r="AK417" i="12"/>
  <c r="P378" i="12"/>
  <c r="Q398" i="12"/>
  <c r="P398" i="12" s="1"/>
  <c r="F288" i="12"/>
  <c r="E288" i="12" s="1"/>
  <c r="E267" i="12"/>
  <c r="E116" i="12"/>
  <c r="AK414" i="12"/>
  <c r="AM414" i="12" s="1"/>
  <c r="F232" i="12"/>
  <c r="Q252" i="12"/>
  <c r="R251" i="12" s="1"/>
  <c r="AL420" i="12"/>
  <c r="AK410" i="12"/>
  <c r="AM410" i="12" s="1"/>
  <c r="AN413" i="12"/>
  <c r="AO413" i="12" s="1"/>
  <c r="D24" i="12"/>
  <c r="D27" i="12"/>
  <c r="E13" i="12"/>
  <c r="E305" i="12"/>
  <c r="D310" i="12"/>
  <c r="E378" i="12"/>
  <c r="F398" i="12"/>
  <c r="E398" i="12" s="1"/>
  <c r="Y411" i="12"/>
  <c r="E115" i="12"/>
  <c r="P363" i="12"/>
  <c r="R363" i="12"/>
  <c r="E121" i="12"/>
  <c r="E119" i="12"/>
  <c r="E331" i="12"/>
  <c r="F352" i="12"/>
  <c r="E352" i="12" s="1"/>
  <c r="AL482" i="12"/>
  <c r="P286" i="12"/>
  <c r="AK418" i="12"/>
  <c r="Q288" i="12"/>
  <c r="P288" i="12" s="1"/>
  <c r="P267" i="12"/>
  <c r="F74" i="12"/>
  <c r="R310" i="12"/>
  <c r="AN435" i="12"/>
  <c r="AO435" i="12" s="1"/>
  <c r="Y415" i="12"/>
  <c r="D106" i="12"/>
  <c r="E106" i="12" s="1"/>
  <c r="E97" i="12"/>
  <c r="D109" i="12"/>
  <c r="S364" i="12"/>
  <c r="Y413" i="12"/>
  <c r="E118" i="12"/>
  <c r="F195" i="12"/>
  <c r="F187" i="12"/>
  <c r="Y418" i="12"/>
  <c r="Y417" i="12"/>
  <c r="Y412" i="12"/>
  <c r="AK419" i="12"/>
  <c r="AK415" i="12"/>
  <c r="AM415" i="12" s="1"/>
  <c r="R109" i="12"/>
  <c r="R110" i="12" s="1"/>
  <c r="E187" i="12"/>
  <c r="F252" i="12"/>
  <c r="E286" i="12"/>
  <c r="E113" i="12"/>
  <c r="X420" i="9"/>
  <c r="X453" i="9"/>
  <c r="X434" i="9"/>
  <c r="X469" i="9"/>
  <c r="Z484" i="9"/>
  <c r="X482" i="9"/>
  <c r="E315" i="9"/>
  <c r="Z407" i="9"/>
  <c r="Y449" i="9" s="1"/>
  <c r="R109" i="9"/>
  <c r="R110" i="9" s="1"/>
  <c r="AR447" i="12"/>
  <c r="AR423" i="12"/>
  <c r="AR440" i="12"/>
  <c r="AR442" i="12"/>
  <c r="AR436" i="12"/>
  <c r="AR446" i="12"/>
  <c r="AR430" i="12"/>
  <c r="AN432" i="12"/>
  <c r="AO432" i="12" s="1"/>
  <c r="AN443" i="12"/>
  <c r="AO443" i="12" s="1"/>
  <c r="AR438" i="12"/>
  <c r="AR437" i="12"/>
  <c r="AR425" i="12"/>
  <c r="AN427" i="12"/>
  <c r="AO427" i="12" s="1"/>
  <c r="AR431" i="12"/>
  <c r="AR429" i="12"/>
  <c r="S156" i="9"/>
  <c r="AN424" i="12"/>
  <c r="AO424" i="12" s="1"/>
  <c r="AN444" i="12"/>
  <c r="AO444" i="12" s="1"/>
  <c r="AN452" i="12"/>
  <c r="AO452" i="12" s="1"/>
  <c r="AR448" i="12"/>
  <c r="AR419" i="12"/>
  <c r="AE419" i="12"/>
  <c r="AN417" i="12"/>
  <c r="AO417" i="12" s="1"/>
  <c r="AR439" i="12"/>
  <c r="AF453" i="12"/>
  <c r="AR453" i="12" s="1"/>
  <c r="AN445" i="12"/>
  <c r="AO445" i="12" s="1"/>
  <c r="AN451" i="12"/>
  <c r="AO451" i="12" s="1"/>
  <c r="AN450" i="12"/>
  <c r="AO450" i="12" s="1"/>
  <c r="AR450" i="12"/>
  <c r="AR480" i="12"/>
  <c r="AE418" i="12"/>
  <c r="AR478" i="12"/>
  <c r="AF420" i="12"/>
  <c r="AN418" i="12"/>
  <c r="AO418" i="12" s="1"/>
  <c r="AN428" i="12"/>
  <c r="AO428" i="12" s="1"/>
  <c r="AR417" i="12"/>
  <c r="AF482" i="12"/>
  <c r="AR482" i="12" s="1"/>
  <c r="AR426" i="12"/>
  <c r="AN479" i="12"/>
  <c r="AO479" i="12" s="1"/>
  <c r="AR479" i="12"/>
  <c r="AF434" i="12"/>
  <c r="S378" i="12"/>
  <c r="L398" i="12"/>
  <c r="K378" i="12"/>
  <c r="K396" i="12"/>
  <c r="L363" i="12"/>
  <c r="S363" i="12" s="1"/>
  <c r="S361" i="12"/>
  <c r="S230" i="12"/>
  <c r="D73" i="8"/>
  <c r="L234" i="9"/>
  <c r="K72" i="12"/>
  <c r="S286" i="12"/>
  <c r="E72" i="8"/>
  <c r="E31" i="8"/>
  <c r="E23" i="8"/>
  <c r="K54" i="9"/>
  <c r="K41" i="9"/>
  <c r="E6" i="8"/>
  <c r="K72" i="9"/>
  <c r="AO467" i="9"/>
  <c r="K288" i="9"/>
  <c r="L290" i="9"/>
  <c r="N290" i="9" s="1"/>
  <c r="K136" i="9"/>
  <c r="K211" i="12"/>
  <c r="K41" i="12"/>
  <c r="R251" i="9"/>
  <c r="K54" i="12"/>
  <c r="K136" i="12"/>
  <c r="K154" i="12"/>
  <c r="K123" i="12"/>
  <c r="L85" i="12"/>
  <c r="C67" i="8"/>
  <c r="F67" i="8" s="1"/>
  <c r="H67" i="8" s="1"/>
  <c r="K156" i="9"/>
  <c r="N156" i="9"/>
  <c r="K230" i="12"/>
  <c r="L315" i="9"/>
  <c r="N310" i="9"/>
  <c r="N311" i="9" s="1"/>
  <c r="K211" i="9"/>
  <c r="N195" i="9"/>
  <c r="N196" i="9" s="1"/>
  <c r="N352" i="9"/>
  <c r="K154" i="9"/>
  <c r="J315" i="9"/>
  <c r="AF407" i="9" s="1"/>
  <c r="K310" i="9"/>
  <c r="L166" i="9"/>
  <c r="N166" i="9" s="1"/>
  <c r="K232" i="9"/>
  <c r="K74" i="9"/>
  <c r="L85" i="9"/>
  <c r="L196" i="9"/>
  <c r="M195" i="9" s="1"/>
  <c r="K27" i="9"/>
  <c r="K230" i="9"/>
  <c r="E14" i="8"/>
  <c r="D71" i="8"/>
  <c r="F29" i="8"/>
  <c r="H29" i="8" s="1"/>
  <c r="G12" i="8"/>
  <c r="I12" i="8" s="1"/>
  <c r="F12" i="8"/>
  <c r="H12" i="8" s="1"/>
  <c r="S160" i="12"/>
  <c r="S164" i="12" s="1"/>
  <c r="G64" i="8"/>
  <c r="I64" i="8" s="1"/>
  <c r="F64" i="8"/>
  <c r="H64" i="8" s="1"/>
  <c r="K27" i="12"/>
  <c r="Q28" i="12" s="1"/>
  <c r="L196" i="12"/>
  <c r="L234" i="12"/>
  <c r="E8" i="8"/>
  <c r="E27" i="8"/>
  <c r="E29" i="8"/>
  <c r="G29" i="8" s="1"/>
  <c r="I29" i="8" s="1"/>
  <c r="K156" i="12"/>
  <c r="S74" i="9"/>
  <c r="E10" i="8"/>
  <c r="K288" i="12"/>
  <c r="AN434" i="9"/>
  <c r="AO434" i="9" s="1"/>
  <c r="K232" i="12"/>
  <c r="K398" i="9"/>
  <c r="S398" i="9"/>
  <c r="AM418" i="9"/>
  <c r="S288" i="9"/>
  <c r="C39" i="8"/>
  <c r="S195" i="9"/>
  <c r="S196" i="9" s="1"/>
  <c r="C65" i="8"/>
  <c r="S310" i="9"/>
  <c r="S311" i="9" s="1"/>
  <c r="K109" i="12"/>
  <c r="S160" i="9"/>
  <c r="S164" i="9" s="1"/>
  <c r="E32" i="8"/>
  <c r="G32" i="8" s="1"/>
  <c r="I32" i="8" s="1"/>
  <c r="AN472" i="12"/>
  <c r="AO472" i="12" s="1"/>
  <c r="L290" i="12"/>
  <c r="L166" i="12"/>
  <c r="AM419" i="9"/>
  <c r="C27" i="8"/>
  <c r="G26" i="8"/>
  <c r="I26" i="8" s="1"/>
  <c r="F26" i="8"/>
  <c r="H26" i="8" s="1"/>
  <c r="K106" i="12"/>
  <c r="G21" i="8"/>
  <c r="I21" i="8" s="1"/>
  <c r="F21" i="8"/>
  <c r="H21" i="8" s="1"/>
  <c r="F25" i="8"/>
  <c r="H25" i="8" s="1"/>
  <c r="G25" i="8"/>
  <c r="I25" i="8" s="1"/>
  <c r="F9" i="8"/>
  <c r="H9" i="8" s="1"/>
  <c r="C10" i="8"/>
  <c r="G9" i="8"/>
  <c r="I9" i="8" s="1"/>
  <c r="G30" i="8"/>
  <c r="I30" i="8" s="1"/>
  <c r="C31" i="8"/>
  <c r="F30" i="8"/>
  <c r="H30" i="8" s="1"/>
  <c r="E39" i="8"/>
  <c r="S232" i="9"/>
  <c r="AM417" i="9"/>
  <c r="G66" i="8"/>
  <c r="I66" i="8" s="1"/>
  <c r="F66" i="8"/>
  <c r="H66" i="8" s="1"/>
  <c r="S352" i="9"/>
  <c r="K310" i="12"/>
  <c r="J315" i="12"/>
  <c r="R27" i="9"/>
  <c r="R28" i="9" s="1"/>
  <c r="R310" i="9"/>
  <c r="G5" i="8"/>
  <c r="I5" i="8" s="1"/>
  <c r="F5" i="8"/>
  <c r="H5" i="8" s="1"/>
  <c r="C6" i="8"/>
  <c r="L400" i="9"/>
  <c r="C38" i="8"/>
  <c r="C46" i="8" s="1"/>
  <c r="F22" i="8"/>
  <c r="H22" i="8" s="1"/>
  <c r="C23" i="8"/>
  <c r="G22" i="8"/>
  <c r="I22" i="8" s="1"/>
  <c r="D62" i="8"/>
  <c r="S27" i="9"/>
  <c r="C72" i="8"/>
  <c r="AO472" i="9"/>
  <c r="G4" i="8"/>
  <c r="I4" i="8" s="1"/>
  <c r="F4" i="8"/>
  <c r="H4" i="8" s="1"/>
  <c r="AF469" i="9"/>
  <c r="AH469" i="9" s="1"/>
  <c r="AI469" i="9" s="1"/>
  <c r="C70" i="8"/>
  <c r="D50" i="8"/>
  <c r="D55" i="8" s="1"/>
  <c r="G13" i="8"/>
  <c r="I13" i="8" s="1"/>
  <c r="C14" i="8"/>
  <c r="F13" i="8"/>
  <c r="H13" i="8" s="1"/>
  <c r="S286" i="9"/>
  <c r="K74" i="12"/>
  <c r="S310" i="12"/>
  <c r="S311" i="12" s="1"/>
  <c r="L315" i="12"/>
  <c r="C8" i="8"/>
  <c r="F43" i="8"/>
  <c r="H43" i="8" s="1"/>
  <c r="G43" i="8"/>
  <c r="I43" i="8" s="1"/>
  <c r="AN453" i="9" l="1"/>
  <c r="AO453" i="9" s="1"/>
  <c r="E70" i="8"/>
  <c r="E65" i="8"/>
  <c r="AN420" i="9"/>
  <c r="AO420" i="9" s="1"/>
  <c r="L316" i="9"/>
  <c r="Q316" i="9"/>
  <c r="AL469" i="9"/>
  <c r="AN469" i="9" s="1"/>
  <c r="AO469" i="9" s="1"/>
  <c r="S109" i="12"/>
  <c r="S110" i="12" s="1"/>
  <c r="N234" i="9"/>
  <c r="K352" i="9"/>
  <c r="L401" i="9"/>
  <c r="AL408" i="12"/>
  <c r="AJ434" i="12" s="1"/>
  <c r="AL469" i="12"/>
  <c r="S352" i="12"/>
  <c r="E109" i="12"/>
  <c r="X408" i="9"/>
  <c r="AF408" i="9"/>
  <c r="AD408" i="9" s="1"/>
  <c r="S27" i="12"/>
  <c r="S28" i="12" s="1"/>
  <c r="S85" i="12"/>
  <c r="S74" i="12"/>
  <c r="F400" i="12"/>
  <c r="E27" i="12"/>
  <c r="E136" i="12"/>
  <c r="E54" i="12"/>
  <c r="E123" i="12"/>
  <c r="R27" i="12"/>
  <c r="R28" i="12" s="1"/>
  <c r="E41" i="12"/>
  <c r="E74" i="12"/>
  <c r="Z469" i="12"/>
  <c r="E156" i="12"/>
  <c r="Z408" i="12"/>
  <c r="X453" i="12" s="1"/>
  <c r="AN434" i="12"/>
  <c r="AO434" i="12" s="1"/>
  <c r="Q400" i="12"/>
  <c r="F166" i="12"/>
  <c r="F354" i="12"/>
  <c r="E211" i="12"/>
  <c r="E232" i="12"/>
  <c r="S195" i="12"/>
  <c r="S196" i="12" s="1"/>
  <c r="F290" i="12"/>
  <c r="E230" i="12"/>
  <c r="F85" i="12"/>
  <c r="R315" i="12"/>
  <c r="E24" i="12"/>
  <c r="E31" i="12"/>
  <c r="E40" i="12"/>
  <c r="E33" i="12"/>
  <c r="E35" i="12"/>
  <c r="E37" i="12"/>
  <c r="E36" i="12"/>
  <c r="E34" i="12"/>
  <c r="E38" i="12"/>
  <c r="E32" i="12"/>
  <c r="E39" i="12"/>
  <c r="S166" i="12"/>
  <c r="F234" i="12"/>
  <c r="F196" i="12"/>
  <c r="Q290" i="12"/>
  <c r="S290" i="12" s="1"/>
  <c r="D315" i="12"/>
  <c r="E310" i="12"/>
  <c r="S234" i="12"/>
  <c r="R195" i="12"/>
  <c r="Z490" i="9"/>
  <c r="Z489" i="9" s="1"/>
  <c r="Y489" i="9" s="1"/>
  <c r="Y484" i="9"/>
  <c r="S288" i="12"/>
  <c r="AN453" i="12"/>
  <c r="AO453" i="12" s="1"/>
  <c r="AF469" i="12"/>
  <c r="AR469" i="12" s="1"/>
  <c r="AR420" i="12"/>
  <c r="AR434" i="12"/>
  <c r="AN420" i="12"/>
  <c r="AO420" i="12" s="1"/>
  <c r="L400" i="12"/>
  <c r="S398" i="12"/>
  <c r="K398" i="12"/>
  <c r="E62" i="8"/>
  <c r="L354" i="9"/>
  <c r="L402" i="9" s="1"/>
  <c r="K315" i="9"/>
  <c r="M315" i="9"/>
  <c r="N315" i="9"/>
  <c r="N316" i="9" s="1"/>
  <c r="K350" i="9"/>
  <c r="K331" i="9"/>
  <c r="AF407" i="12"/>
  <c r="AR407" i="12" s="1"/>
  <c r="K352" i="12"/>
  <c r="S166" i="9"/>
  <c r="G46" i="8"/>
  <c r="I46" i="8" s="1"/>
  <c r="F46" i="8"/>
  <c r="H46" i="8" s="1"/>
  <c r="S82" i="9"/>
  <c r="S83" i="9" s="1"/>
  <c r="S85" i="9" s="1"/>
  <c r="S82" i="12"/>
  <c r="S83" i="12" s="1"/>
  <c r="F6" i="8"/>
  <c r="H6" i="8" s="1"/>
  <c r="G6" i="8"/>
  <c r="I6" i="8" s="1"/>
  <c r="G14" i="8"/>
  <c r="I14" i="8" s="1"/>
  <c r="F14" i="8"/>
  <c r="H14" i="8" s="1"/>
  <c r="C50" i="8"/>
  <c r="F65" i="8"/>
  <c r="H65" i="8" s="1"/>
  <c r="G65" i="8"/>
  <c r="I65" i="8" s="1"/>
  <c r="G8" i="8"/>
  <c r="I8" i="8" s="1"/>
  <c r="F8" i="8"/>
  <c r="H8" i="8" s="1"/>
  <c r="F72" i="8"/>
  <c r="H72" i="8" s="1"/>
  <c r="G72" i="8"/>
  <c r="I72" i="8" s="1"/>
  <c r="S400" i="9"/>
  <c r="S290" i="9"/>
  <c r="E56" i="8"/>
  <c r="D74" i="8"/>
  <c r="D75" i="8" s="1"/>
  <c r="F23" i="8"/>
  <c r="H23" i="8" s="1"/>
  <c r="G23" i="8"/>
  <c r="I23" i="8" s="1"/>
  <c r="S28" i="9"/>
  <c r="E50" i="8"/>
  <c r="E55" i="8" s="1"/>
  <c r="R315" i="9"/>
  <c r="L354" i="12"/>
  <c r="S315" i="12"/>
  <c r="S316" i="12" s="1"/>
  <c r="K350" i="12"/>
  <c r="AF408" i="12"/>
  <c r="K331" i="12"/>
  <c r="C56" i="8"/>
  <c r="S315" i="9"/>
  <c r="S316" i="9" s="1"/>
  <c r="G70" i="8"/>
  <c r="I70" i="8" s="1"/>
  <c r="F70" i="8"/>
  <c r="H70" i="8" s="1"/>
  <c r="G38" i="8"/>
  <c r="I38" i="8" s="1"/>
  <c r="F38" i="8"/>
  <c r="H38" i="8" s="1"/>
  <c r="K315" i="12"/>
  <c r="F31" i="8"/>
  <c r="H31" i="8" s="1"/>
  <c r="G31" i="8"/>
  <c r="I31" i="8" s="1"/>
  <c r="G10" i="8"/>
  <c r="I10" i="8" s="1"/>
  <c r="F10" i="8"/>
  <c r="H10" i="8" s="1"/>
  <c r="F27" i="8"/>
  <c r="H27" i="8" s="1"/>
  <c r="G27" i="8"/>
  <c r="I27" i="8" s="1"/>
  <c r="S234" i="9"/>
  <c r="F39" i="8"/>
  <c r="H39" i="8" s="1"/>
  <c r="G39" i="8"/>
  <c r="I39" i="8" s="1"/>
  <c r="AJ469" i="9" l="1"/>
  <c r="AL484" i="9"/>
  <c r="AL484" i="12"/>
  <c r="AL490" i="12" s="1"/>
  <c r="AH408" i="9"/>
  <c r="AI408" i="9" s="1"/>
  <c r="X420" i="12"/>
  <c r="X469" i="12"/>
  <c r="X467" i="12"/>
  <c r="Z484" i="12"/>
  <c r="Z490" i="12" s="1"/>
  <c r="X434" i="12"/>
  <c r="S400" i="12"/>
  <c r="X482" i="12"/>
  <c r="AJ469" i="12"/>
  <c r="AJ420" i="12"/>
  <c r="AJ467" i="12"/>
  <c r="AJ453" i="12"/>
  <c r="E315" i="12"/>
  <c r="Z407" i="12"/>
  <c r="AL407" i="12"/>
  <c r="Z499" i="9"/>
  <c r="Y490" i="9"/>
  <c r="N354" i="9"/>
  <c r="AN469" i="12"/>
  <c r="AO469" i="12" s="1"/>
  <c r="E71" i="8"/>
  <c r="E73" i="8"/>
  <c r="AD434" i="9"/>
  <c r="C71" i="8"/>
  <c r="F71" i="8" s="1"/>
  <c r="H71" i="8" s="1"/>
  <c r="AD482" i="9"/>
  <c r="AD453" i="9"/>
  <c r="AD467" i="9"/>
  <c r="C62" i="8"/>
  <c r="F62" i="8" s="1"/>
  <c r="H62" i="8" s="1"/>
  <c r="C73" i="8"/>
  <c r="F73" i="8" s="1"/>
  <c r="H73" i="8" s="1"/>
  <c r="AN408" i="9"/>
  <c r="AO408" i="9" s="1"/>
  <c r="AD469" i="9"/>
  <c r="AD420" i="9"/>
  <c r="AF484" i="9"/>
  <c r="AH484" i="9" s="1"/>
  <c r="AI484" i="9" s="1"/>
  <c r="AD469" i="12"/>
  <c r="AN481" i="9"/>
  <c r="AO481" i="9" s="1"/>
  <c r="S354" i="9"/>
  <c r="S354" i="12"/>
  <c r="G56" i="8"/>
  <c r="I56" i="8" s="1"/>
  <c r="F56" i="8"/>
  <c r="H56" i="8" s="1"/>
  <c r="AN481" i="12"/>
  <c r="AO481" i="12" s="1"/>
  <c r="C55" i="8"/>
  <c r="F50" i="8"/>
  <c r="H50" i="8" s="1"/>
  <c r="G50" i="8"/>
  <c r="I50" i="8" s="1"/>
  <c r="E15" i="8"/>
  <c r="G15" i="8" s="1"/>
  <c r="I15" i="8" s="1"/>
  <c r="AR408" i="12"/>
  <c r="AN408" i="12"/>
  <c r="AO408" i="12" s="1"/>
  <c r="AF484" i="12"/>
  <c r="AD408" i="12"/>
  <c r="AD434" i="12"/>
  <c r="AD467" i="12"/>
  <c r="AD420" i="12"/>
  <c r="AD453" i="12"/>
  <c r="AD482" i="12"/>
  <c r="AK484" i="9" l="1"/>
  <c r="AL490" i="9"/>
  <c r="Z489" i="12"/>
  <c r="Y489" i="12" s="1"/>
  <c r="Z499" i="12"/>
  <c r="AL499" i="12"/>
  <c r="AL489" i="12"/>
  <c r="AK489" i="12" s="1"/>
  <c r="Y499" i="9"/>
  <c r="Y484" i="12"/>
  <c r="AK484" i="12"/>
  <c r="AJ408" i="12"/>
  <c r="Y490" i="12"/>
  <c r="AK490" i="12"/>
  <c r="G73" i="8"/>
  <c r="I73" i="8" s="1"/>
  <c r="AF490" i="9"/>
  <c r="G71" i="8"/>
  <c r="I71" i="8" s="1"/>
  <c r="G62" i="8"/>
  <c r="I62" i="8" s="1"/>
  <c r="AE484" i="9"/>
  <c r="C74" i="8"/>
  <c r="AF490" i="12"/>
  <c r="AN484" i="12"/>
  <c r="AO484" i="12" s="1"/>
  <c r="AR484" i="12"/>
  <c r="AE484" i="12"/>
  <c r="G55" i="8"/>
  <c r="I55" i="8" s="1"/>
  <c r="F55" i="8"/>
  <c r="H55" i="8" s="1"/>
  <c r="AN482" i="12"/>
  <c r="AO482" i="12" s="1"/>
  <c r="N340" i="12"/>
  <c r="D76" i="8"/>
  <c r="N298" i="12"/>
  <c r="E67" i="8"/>
  <c r="G67" i="8" s="1"/>
  <c r="I67" i="8" s="1"/>
  <c r="AN482" i="9"/>
  <c r="AO482" i="9" s="1"/>
  <c r="N152" i="12"/>
  <c r="N308" i="12"/>
  <c r="N11" i="12"/>
  <c r="N140" i="12"/>
  <c r="N129" i="12"/>
  <c r="N212" i="12"/>
  <c r="N81" i="12"/>
  <c r="N38" i="12"/>
  <c r="N208" i="12"/>
  <c r="N343" i="12"/>
  <c r="N147" i="12"/>
  <c r="N242" i="12"/>
  <c r="M7" i="12"/>
  <c r="N52" i="12"/>
  <c r="N151" i="12"/>
  <c r="N345" i="12"/>
  <c r="N224" i="12"/>
  <c r="M176" i="12"/>
  <c r="N104" i="12"/>
  <c r="N42" i="12"/>
  <c r="N22" i="12"/>
  <c r="N256" i="12"/>
  <c r="AH494" i="12"/>
  <c r="AI494" i="12" s="1"/>
  <c r="N17" i="12"/>
  <c r="N118" i="12"/>
  <c r="N284" i="12"/>
  <c r="N226" i="12"/>
  <c r="AK499" i="12" l="1"/>
  <c r="AL489" i="9"/>
  <c r="AK489" i="9" s="1"/>
  <c r="AL499" i="9"/>
  <c r="AK499" i="9" s="1"/>
  <c r="AK490" i="9"/>
  <c r="F74" i="8"/>
  <c r="H74" i="8" s="1"/>
  <c r="C81" i="8"/>
  <c r="AF489" i="9"/>
  <c r="AF499" i="9"/>
  <c r="AF499" i="12"/>
  <c r="AF489" i="12"/>
  <c r="Y499" i="12"/>
  <c r="AH490" i="9"/>
  <c r="AI490" i="9" s="1"/>
  <c r="AH497" i="12"/>
  <c r="AI497" i="12" s="1"/>
  <c r="AH477" i="12"/>
  <c r="AI477" i="12" s="1"/>
  <c r="N159" i="12"/>
  <c r="AH473" i="12"/>
  <c r="AI473" i="12" s="1"/>
  <c r="N76" i="12"/>
  <c r="AH474" i="12"/>
  <c r="AI474" i="12" s="1"/>
  <c r="N77" i="12"/>
  <c r="C75" i="8"/>
  <c r="F75" i="8" s="1"/>
  <c r="H75" i="8" s="1"/>
  <c r="AE490" i="9"/>
  <c r="N342" i="12"/>
  <c r="N320" i="12"/>
  <c r="N49" i="12"/>
  <c r="N63" i="12"/>
  <c r="N40" i="12"/>
  <c r="N12" i="12"/>
  <c r="N114" i="12"/>
  <c r="N337" i="12"/>
  <c r="N297" i="12"/>
  <c r="N48" i="12"/>
  <c r="N303" i="12"/>
  <c r="N82" i="12"/>
  <c r="AH461" i="12"/>
  <c r="AI461" i="12" s="1"/>
  <c r="N341" i="12"/>
  <c r="N282" i="12"/>
  <c r="N67" i="12"/>
  <c r="N39" i="12"/>
  <c r="N125" i="12"/>
  <c r="N182" i="12"/>
  <c r="N277" i="12"/>
  <c r="N61" i="12"/>
  <c r="N309" i="12"/>
  <c r="N273" i="12"/>
  <c r="N223" i="12"/>
  <c r="N324" i="12"/>
  <c r="N157" i="12"/>
  <c r="N47" i="12"/>
  <c r="M301" i="12"/>
  <c r="N200" i="12"/>
  <c r="N141" i="12"/>
  <c r="N333" i="12"/>
  <c r="N69" i="12"/>
  <c r="N132" i="12"/>
  <c r="AH459" i="12"/>
  <c r="AI459" i="12" s="1"/>
  <c r="N328" i="12"/>
  <c r="N9" i="12"/>
  <c r="N219" i="12"/>
  <c r="M6" i="12"/>
  <c r="N189" i="12"/>
  <c r="N32" i="12"/>
  <c r="N37" i="12"/>
  <c r="N120" i="12"/>
  <c r="N70" i="12"/>
  <c r="N185" i="12"/>
  <c r="N8" i="12"/>
  <c r="N43" i="12"/>
  <c r="N131" i="12"/>
  <c r="N255" i="12"/>
  <c r="AH462" i="12"/>
  <c r="AI462" i="12" s="1"/>
  <c r="AH470" i="12"/>
  <c r="AI470" i="12" s="1"/>
  <c r="N10" i="12"/>
  <c r="C88" i="8"/>
  <c r="D77" i="8"/>
  <c r="N205" i="12"/>
  <c r="N79" i="12"/>
  <c r="N330" i="12"/>
  <c r="N126" i="12"/>
  <c r="N36" i="12"/>
  <c r="N268" i="12"/>
  <c r="N148" i="12"/>
  <c r="N204" i="12"/>
  <c r="N319" i="12"/>
  <c r="N153" i="12"/>
  <c r="N346" i="12"/>
  <c r="N150" i="12"/>
  <c r="N31" i="12"/>
  <c r="N144" i="12"/>
  <c r="N327" i="12"/>
  <c r="N206" i="12"/>
  <c r="N336" i="12"/>
  <c r="N65" i="12"/>
  <c r="N339" i="12"/>
  <c r="M248" i="12"/>
  <c r="N228" i="12"/>
  <c r="N115" i="12"/>
  <c r="N59" i="12"/>
  <c r="N7" i="12"/>
  <c r="N304" i="12"/>
  <c r="N349" i="12"/>
  <c r="N217" i="12"/>
  <c r="M300" i="12"/>
  <c r="N127" i="12"/>
  <c r="N57" i="12"/>
  <c r="N302" i="12"/>
  <c r="N269" i="12"/>
  <c r="N68" i="12"/>
  <c r="N201" i="12"/>
  <c r="N325" i="12"/>
  <c r="N248" i="12"/>
  <c r="N113" i="12"/>
  <c r="N280" i="12"/>
  <c r="N299" i="12"/>
  <c r="N122" i="12"/>
  <c r="N139" i="12"/>
  <c r="N210" i="12"/>
  <c r="N296" i="12"/>
  <c r="M173" i="12"/>
  <c r="M182" i="12"/>
  <c r="N71" i="12"/>
  <c r="N322" i="12"/>
  <c r="N216" i="12"/>
  <c r="N334" i="12"/>
  <c r="AH492" i="12"/>
  <c r="AI492" i="12" s="1"/>
  <c r="N227" i="12"/>
  <c r="N134" i="12"/>
  <c r="N105" i="12"/>
  <c r="N199" i="12"/>
  <c r="N163" i="12"/>
  <c r="N103" i="12"/>
  <c r="N258" i="12"/>
  <c r="N60" i="12"/>
  <c r="N34" i="12"/>
  <c r="N80" i="12"/>
  <c r="N95" i="12"/>
  <c r="N162" i="12"/>
  <c r="N209" i="12"/>
  <c r="N321" i="12"/>
  <c r="N281" i="12"/>
  <c r="N50" i="12"/>
  <c r="N62" i="12"/>
  <c r="N260" i="12"/>
  <c r="M95" i="12"/>
  <c r="N149" i="12"/>
  <c r="N263" i="12"/>
  <c r="N262" i="12"/>
  <c r="N348" i="12"/>
  <c r="N264" i="12"/>
  <c r="N15" i="12"/>
  <c r="N279" i="12"/>
  <c r="M189" i="12"/>
  <c r="M299" i="12"/>
  <c r="N146" i="12"/>
  <c r="N300" i="12"/>
  <c r="N117" i="12"/>
  <c r="AH456" i="12"/>
  <c r="AI456" i="12" s="1"/>
  <c r="N275" i="12"/>
  <c r="N203" i="12"/>
  <c r="N283" i="12"/>
  <c r="N220" i="12"/>
  <c r="N133" i="12"/>
  <c r="N323" i="12"/>
  <c r="N329" i="12"/>
  <c r="N261" i="12"/>
  <c r="N53" i="12"/>
  <c r="N214" i="12"/>
  <c r="N75" i="12"/>
  <c r="M296" i="12"/>
  <c r="N135" i="12"/>
  <c r="AR490" i="12"/>
  <c r="AE490" i="12"/>
  <c r="AN490" i="12"/>
  <c r="AO490" i="12" s="1"/>
  <c r="N229" i="12"/>
  <c r="N347" i="12"/>
  <c r="M101" i="12"/>
  <c r="AH455" i="12"/>
  <c r="AI455" i="12" s="1"/>
  <c r="M179" i="12"/>
  <c r="N58" i="12"/>
  <c r="AH458" i="12"/>
  <c r="AI458" i="12" s="1"/>
  <c r="N245" i="12"/>
  <c r="N246" i="12" s="1"/>
  <c r="N35" i="12"/>
  <c r="M15" i="12"/>
  <c r="N145" i="12"/>
  <c r="N21" i="12"/>
  <c r="N33" i="12"/>
  <c r="N202" i="12"/>
  <c r="N265" i="12"/>
  <c r="N137" i="12"/>
  <c r="E74" i="8"/>
  <c r="AN484" i="9"/>
  <c r="AO484" i="9" s="1"/>
  <c r="N222" i="12"/>
  <c r="N119" i="12"/>
  <c r="N215" i="12"/>
  <c r="N278" i="12"/>
  <c r="N64" i="12"/>
  <c r="AH421" i="12"/>
  <c r="AI421" i="12" s="1"/>
  <c r="N128" i="12"/>
  <c r="M94" i="12"/>
  <c r="N138" i="12"/>
  <c r="N225" i="12"/>
  <c r="N270" i="12"/>
  <c r="AH460" i="12"/>
  <c r="AI460" i="12" s="1"/>
  <c r="N301" i="12"/>
  <c r="N326" i="12"/>
  <c r="N124" i="12"/>
  <c r="N44" i="12"/>
  <c r="N116" i="12"/>
  <c r="N332" i="12"/>
  <c r="N45" i="12"/>
  <c r="N121" i="12"/>
  <c r="N259" i="12"/>
  <c r="N335" i="12"/>
  <c r="N221" i="12"/>
  <c r="N276" i="12"/>
  <c r="N142" i="12"/>
  <c r="N66" i="12"/>
  <c r="N101" i="12"/>
  <c r="N130" i="12"/>
  <c r="N179" i="12"/>
  <c r="N161" i="12"/>
  <c r="N207" i="12"/>
  <c r="N285" i="12"/>
  <c r="N143" i="12"/>
  <c r="N55" i="12"/>
  <c r="N271" i="12"/>
  <c r="N213" i="12"/>
  <c r="N23" i="12"/>
  <c r="N46" i="12"/>
  <c r="N56" i="12"/>
  <c r="N173" i="12"/>
  <c r="N272" i="12"/>
  <c r="N51" i="12"/>
  <c r="N344" i="12"/>
  <c r="N257" i="12"/>
  <c r="AN489" i="9" l="1"/>
  <c r="AO489" i="9" s="1"/>
  <c r="AE489" i="9"/>
  <c r="AH489" i="9"/>
  <c r="AI489" i="9" s="1"/>
  <c r="AN489" i="12"/>
  <c r="AO489" i="12" s="1"/>
  <c r="AE489" i="12"/>
  <c r="AH489" i="12"/>
  <c r="AI489" i="12" s="1"/>
  <c r="AH499" i="9"/>
  <c r="AI499" i="9" s="1"/>
  <c r="N54" i="12"/>
  <c r="AH481" i="12"/>
  <c r="AI481" i="12" s="1"/>
  <c r="N160" i="12"/>
  <c r="M11" i="12"/>
  <c r="AI457" i="12"/>
  <c r="AH457" i="12"/>
  <c r="M297" i="12"/>
  <c r="M12" i="12"/>
  <c r="AI495" i="12"/>
  <c r="AH495" i="12"/>
  <c r="AI493" i="12"/>
  <c r="AH493" i="12"/>
  <c r="N176" i="12"/>
  <c r="M308" i="12"/>
  <c r="AH471" i="12"/>
  <c r="AI471" i="12" s="1"/>
  <c r="N78" i="12"/>
  <c r="M242" i="12"/>
  <c r="N243" i="12" s="1"/>
  <c r="AH476" i="12"/>
  <c r="AI476" i="12" s="1"/>
  <c r="N158" i="12"/>
  <c r="AI496" i="12"/>
  <c r="AH496" i="12"/>
  <c r="M9" i="12"/>
  <c r="M309" i="12"/>
  <c r="M245" i="12"/>
  <c r="M298" i="12"/>
  <c r="M313" i="12"/>
  <c r="N313" i="12"/>
  <c r="N97" i="12"/>
  <c r="N94" i="12"/>
  <c r="AH454" i="12"/>
  <c r="M17" i="12"/>
  <c r="M8" i="12"/>
  <c r="M302" i="12"/>
  <c r="N286" i="12"/>
  <c r="N72" i="12"/>
  <c r="N350" i="12"/>
  <c r="N6" i="12"/>
  <c r="N13" i="12" s="1"/>
  <c r="M10" i="12"/>
  <c r="C76" i="8"/>
  <c r="AE499" i="9"/>
  <c r="D89" i="8"/>
  <c r="D87" i="8"/>
  <c r="AH431" i="12"/>
  <c r="AI431" i="12" s="1"/>
  <c r="AH449" i="12"/>
  <c r="AI449" i="12" s="1"/>
  <c r="N230" i="12"/>
  <c r="AH432" i="12"/>
  <c r="AI432" i="12" s="1"/>
  <c r="AH444" i="12"/>
  <c r="AI444" i="12" s="1"/>
  <c r="AH447" i="12"/>
  <c r="AI447" i="12" s="1"/>
  <c r="AH429" i="12"/>
  <c r="AI429" i="12" s="1"/>
  <c r="AH448" i="12"/>
  <c r="AI448" i="12" s="1"/>
  <c r="N186" i="12"/>
  <c r="N187" i="12" s="1"/>
  <c r="AH412" i="12"/>
  <c r="AI412" i="12" s="1"/>
  <c r="AH443" i="12"/>
  <c r="AI443" i="12" s="1"/>
  <c r="AH413" i="12"/>
  <c r="AI413" i="12" s="1"/>
  <c r="N331" i="12"/>
  <c r="N180" i="12"/>
  <c r="AH440" i="12"/>
  <c r="AI440" i="12" s="1"/>
  <c r="AH437" i="12"/>
  <c r="AI437" i="12" s="1"/>
  <c r="AH415" i="12"/>
  <c r="AI415" i="12" s="1"/>
  <c r="AH475" i="12"/>
  <c r="AI475" i="12" s="1"/>
  <c r="M305" i="12"/>
  <c r="AH446" i="12"/>
  <c r="AI446" i="12" s="1"/>
  <c r="N41" i="12"/>
  <c r="AH410" i="12"/>
  <c r="AI410" i="12" s="1"/>
  <c r="AH442" i="12"/>
  <c r="AI442" i="12" s="1"/>
  <c r="AH425" i="12"/>
  <c r="AI425" i="12" s="1"/>
  <c r="AH472" i="12"/>
  <c r="AI472" i="12" s="1"/>
  <c r="N267" i="12"/>
  <c r="AH423" i="12"/>
  <c r="AI423" i="12" s="1"/>
  <c r="AH416" i="12"/>
  <c r="AI416" i="12" s="1"/>
  <c r="M24" i="12"/>
  <c r="AH414" i="12"/>
  <c r="AI414" i="12" s="1"/>
  <c r="AH438" i="12"/>
  <c r="AI438" i="12" s="1"/>
  <c r="AH430" i="12"/>
  <c r="AI430" i="12" s="1"/>
  <c r="AH439" i="12"/>
  <c r="AI439" i="12" s="1"/>
  <c r="AH422" i="12"/>
  <c r="AI422" i="12" s="1"/>
  <c r="AH411" i="12"/>
  <c r="AI411" i="12" s="1"/>
  <c r="E75" i="8"/>
  <c r="G75" i="8" s="1"/>
  <c r="I75" i="8" s="1"/>
  <c r="G74" i="8"/>
  <c r="I74" i="8" s="1"/>
  <c r="AR499" i="12"/>
  <c r="AE499" i="12"/>
  <c r="AN499" i="12"/>
  <c r="AO499" i="12" s="1"/>
  <c r="E50" i="2"/>
  <c r="E53" i="2" s="1"/>
  <c r="E56" i="2" s="1"/>
  <c r="E65" i="2" s="1"/>
  <c r="N211" i="12"/>
  <c r="N123" i="12"/>
  <c r="AH479" i="12"/>
  <c r="AI479" i="12" s="1"/>
  <c r="AH478" i="12"/>
  <c r="AI478" i="12" s="1"/>
  <c r="AH480" i="12"/>
  <c r="AI480" i="12" s="1"/>
  <c r="AH436" i="12"/>
  <c r="AI436" i="12" s="1"/>
  <c r="AH424" i="12"/>
  <c r="AI424" i="12" s="1"/>
  <c r="AH445" i="12"/>
  <c r="AI445" i="12" s="1"/>
  <c r="AN490" i="9"/>
  <c r="AO490" i="9" s="1"/>
  <c r="N251" i="12"/>
  <c r="N252" i="12" s="1"/>
  <c r="C87" i="8" l="1"/>
  <c r="C84" i="8"/>
  <c r="N14" i="12"/>
  <c r="AH467" i="12"/>
  <c r="AI467" i="12" s="1"/>
  <c r="N164" i="12"/>
  <c r="M13" i="12"/>
  <c r="M14" i="12" s="1"/>
  <c r="AI454" i="12"/>
  <c r="AI450" i="12"/>
  <c r="AH450" i="12"/>
  <c r="AI417" i="12"/>
  <c r="AH417" i="12"/>
  <c r="AI418" i="12"/>
  <c r="AH418" i="12"/>
  <c r="AI451" i="12"/>
  <c r="AH451" i="12"/>
  <c r="N136" i="12"/>
  <c r="N24" i="12"/>
  <c r="N25" i="12" s="1"/>
  <c r="AH435" i="12"/>
  <c r="AI435" i="12" s="1"/>
  <c r="AI427" i="12"/>
  <c r="AH427" i="12"/>
  <c r="AI433" i="12"/>
  <c r="AH433" i="12"/>
  <c r="AI426" i="12"/>
  <c r="AH426" i="12"/>
  <c r="N83" i="12"/>
  <c r="M97" i="12"/>
  <c r="AI419" i="12"/>
  <c r="AH419" i="12"/>
  <c r="N154" i="12"/>
  <c r="M186" i="12"/>
  <c r="N305" i="12"/>
  <c r="N306" i="12" s="1"/>
  <c r="AI452" i="12"/>
  <c r="AH452" i="12"/>
  <c r="AI428" i="12"/>
  <c r="AH428" i="12"/>
  <c r="N106" i="12"/>
  <c r="N107" i="12" s="1"/>
  <c r="F76" i="8"/>
  <c r="H76" i="8" s="1"/>
  <c r="C77" i="8"/>
  <c r="F77" i="8" s="1"/>
  <c r="H77" i="8" s="1"/>
  <c r="AH434" i="12"/>
  <c r="AI434" i="12" s="1"/>
  <c r="AH482" i="12"/>
  <c r="AI482" i="12" s="1"/>
  <c r="N352" i="12"/>
  <c r="N232" i="12"/>
  <c r="M310" i="12"/>
  <c r="M251" i="12"/>
  <c r="E76" i="8"/>
  <c r="AN499" i="9"/>
  <c r="AO499" i="9" s="1"/>
  <c r="AH420" i="12"/>
  <c r="AI420" i="12" s="1"/>
  <c r="N156" i="12"/>
  <c r="N109" i="12" l="1"/>
  <c r="N27" i="12"/>
  <c r="M109" i="12"/>
  <c r="AM417" i="12"/>
  <c r="AG417" i="12"/>
  <c r="M27" i="12"/>
  <c r="M106" i="12"/>
  <c r="N195" i="12"/>
  <c r="N196" i="12" s="1"/>
  <c r="N74" i="12"/>
  <c r="AG410" i="12"/>
  <c r="AG416" i="12"/>
  <c r="AG414" i="12"/>
  <c r="AG411" i="12"/>
  <c r="N288" i="12"/>
  <c r="AM419" i="12"/>
  <c r="AG419" i="12"/>
  <c r="AG412" i="12"/>
  <c r="N354" i="12"/>
  <c r="N310" i="12"/>
  <c r="N311" i="12" s="1"/>
  <c r="AG413" i="12"/>
  <c r="AH453" i="12"/>
  <c r="AI453" i="12" s="1"/>
  <c r="AG415" i="12"/>
  <c r="AM418" i="12"/>
  <c r="AG418" i="12"/>
  <c r="N290" i="12"/>
  <c r="E77" i="8"/>
  <c r="G77" i="8" s="1"/>
  <c r="I77" i="8" s="1"/>
  <c r="C89" i="8"/>
  <c r="G76" i="8"/>
  <c r="I76" i="8" s="1"/>
  <c r="N234" i="12"/>
  <c r="M195" i="12"/>
  <c r="N166" i="12"/>
  <c r="M315" i="12"/>
  <c r="N85" i="12" l="1"/>
  <c r="AH469" i="12"/>
  <c r="AI469" i="12" s="1"/>
  <c r="N315" i="12"/>
  <c r="N316" i="12" s="1"/>
  <c r="AH490" i="12" l="1"/>
  <c r="AI490" i="12" s="1"/>
  <c r="AH484" i="12"/>
  <c r="AI484" i="12" s="1"/>
  <c r="AH408" i="12"/>
  <c r="AI408" i="12" s="1"/>
  <c r="D88" i="8" l="1"/>
  <c r="AH499" i="12" l="1"/>
  <c r="AI499" i="1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<sst xmlns="http://schemas.openxmlformats.org/spreadsheetml/2006/main" count="13877" uniqueCount="2722">
  <si>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</si>
  <si>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</si>
  <si>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</si>
  <si>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</si>
  <si>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</si>
  <si>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</si>
  <si>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</si>
  <si>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</si>
  <si>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</si>
  <si>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</si>
  <si>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</si>
  <si>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</si>
  <si>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</si>
  <si>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</si>
  <si>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</si>
  <si>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</si>
  <si>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</si>
  <si>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</si>
  <si>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</si>
  <si>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</si>
  <si>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</si>
  <si>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</si>
  <si>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</si>
  <si>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</si>
  <si>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</si>
  <si>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</si>
  <si>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</si>
  <si>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</si>
  <si>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</si>
  <si>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</si>
  <si>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</si>
  <si>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</si>
  <si>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</si>
  <si>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</si>
  <si>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</si>
  <si>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</si>
  <si>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</si>
  <si>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</si>
  <si>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</si>
  <si>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</si>
  <si>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</si>
  <si>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</si>
  <si>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</si>
  <si>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</si>
  <si>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</si>
  <si>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</si>
  <si>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</si>
  <si>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</si>
  <si>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</si>
  <si>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</si>
  <si>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</si>
  <si>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</si>
  <si>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</si>
  <si>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</si>
  <si>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</si>
  <si>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</si>
  <si>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</si>
  <si>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</si>
  <si>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</si>
  <si>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</si>
  <si>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</si>
  <si>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</si>
  <si>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</si>
  <si>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</si>
  <si>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</si>
  <si>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</si>
  <si>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</si>
  <si>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</si>
  <si>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</si>
  <si>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</si>
  <si>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</si>
  <si>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</si>
  <si>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</si>
  <si>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</si>
  <si>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</si>
  <si>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</si>
  <si>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</si>
  <si>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</si>
  <si>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</si>
  <si>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</si>
  <si>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</si>
  <si>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</si>
  <si>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</si>
  <si>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</si>
  <si>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</si>
  <si>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</si>
  <si>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</si>
  <si>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</si>
  <si>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</si>
  <si>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</si>
  <si>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</si>
  <si>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</si>
  <si>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</si>
  <si>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</si>
  <si>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</si>
  <si>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</si>
  <si>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</si>
  <si>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</si>
  <si>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</si>
  <si>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</si>
  <si>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</si>
  <si>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</si>
  <si>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</si>
  <si>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</si>
  <si>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</si>
  <si>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</si>
  <si>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</si>
  <si>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</si>
  <si>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</si>
  <si>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</si>
  <si>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</si>
  <si>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</si>
  <si>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</si>
  <si>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</si>
  <si>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</si>
  <si>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</si>
  <si>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</si>
  <si>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</si>
  <si>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</si>
  <si>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</si>
  <si>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</si>
  <si>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</si>
  <si>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</si>
  <si>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</si>
  <si>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</si>
  <si>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</si>
  <si>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</si>
  <si>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</si>
  <si>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</si>
  <si>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</si>
  <si>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</si>
  <si>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</si>
  <si>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</si>
  <si>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</si>
  <si>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</si>
  <si>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</si>
  <si>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</si>
  <si>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</si>
  <si>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</si>
  <si>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</si>
  <si>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</si>
  <si>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</si>
  <si>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</si>
  <si>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</si>
  <si>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</si>
  <si>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</si>
  <si>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</si>
  <si>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</si>
  <si>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</si>
  <si>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</si>
  <si>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</si>
  <si>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</si>
  <si>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</si>
  <si>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</si>
  <si>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</si>
  <si>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</si>
  <si>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</si>
  <si>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</si>
  <si>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</si>
  <si>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</si>
  <si>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</si>
  <si>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</si>
  <si>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</si>
  <si>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</si>
  <si>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</si>
  <si>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</si>
  <si>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</si>
  <si>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</si>
  <si>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</si>
  <si>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</si>
  <si>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</si>
  <si>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</si>
  <si>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</si>
  <si>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</si>
  <si>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</si>
  <si>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</si>
  <si>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</si>
  <si>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</si>
  <si>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</si>
  <si>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</si>
  <si>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</si>
  <si>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</si>
  <si>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</si>
  <si>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</si>
  <si>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</si>
  <si>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</si>
  <si>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</si>
  <si>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</si>
  <si>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</si>
  <si>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</si>
  <si>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</si>
  <si>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</si>
  <si>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</si>
  <si>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</si>
  <si>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</si>
  <si>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</si>
  <si>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</si>
  <si>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</si>
  <si>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</si>
  <si>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</si>
  <si>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</si>
  <si>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</si>
  <si>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</si>
  <si>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</si>
  <si>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</si>
  <si>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</si>
  <si>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</si>
  <si>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</si>
  <si>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</si>
  <si>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</si>
  <si>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</si>
  <si>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</si>
  <si>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</si>
  <si>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</si>
  <si>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</si>
  <si>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</si>
  <si>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</si>
  <si>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</si>
  <si>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</si>
  <si>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</si>
  <si>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</si>
  <si>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</si>
  <si>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</si>
  <si>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</si>
  <si>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</si>
  <si>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</si>
  <si>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</si>
  <si>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</si>
  <si>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</si>
  <si>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</si>
  <si>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</si>
  <si>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</si>
  <si>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</si>
  <si>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</si>
  <si>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</si>
  <si>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</si>
  <si>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</si>
  <si>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</si>
  <si>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</si>
  <si>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</si>
  <si>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</si>
  <si>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</si>
  <si>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</si>
  <si>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</si>
  <si>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</si>
  <si>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</si>
  <si>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</si>
  <si>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</si>
  <si>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</si>
  <si>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</si>
  <si>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</si>
  <si>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</si>
  <si>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</si>
  <si>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</si>
  <si>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</si>
  <si>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</si>
  <si>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</si>
  <si>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</si>
  <si>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</si>
  <si>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</si>
  <si>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</si>
  <si>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</si>
  <si>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</si>
  <si>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</si>
  <si>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</si>
  <si>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</si>
  <si>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</si>
  <si>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</si>
  <si>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</si>
  <si>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</si>
  <si>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</si>
  <si>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</si>
  <si>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</si>
  <si>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</si>
  <si>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</si>
  <si>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</si>
  <si>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</si>
  <si>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</si>
  <si>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</si>
  <si>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</si>
  <si>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</si>
  <si>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</si>
  <si>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</si>
  <si>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</si>
  <si>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</si>
  <si>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</si>
  <si>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</si>
  <si>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</si>
  <si>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</si>
  <si>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</si>
  <si>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</si>
  <si>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</si>
  <si>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</si>
  <si>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</si>
  <si>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</si>
  <si>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</si>
  <si>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</si>
  <si>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</si>
  <si>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</si>
  <si>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</si>
  <si>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</si>
  <si>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</si>
  <si>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</si>
  <si>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</si>
  <si>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</si>
  <si>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</si>
  <si>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</si>
  <si>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</si>
  <si>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</si>
  <si>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</si>
  <si>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</si>
  <si>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</si>
  <si>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</si>
  <si>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</si>
  <si>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</si>
  <si>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</si>
  <si>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</si>
  <si>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</si>
  <si>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</si>
  <si>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</si>
  <si>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</si>
  <si>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</si>
  <si>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</si>
  <si>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</si>
  <si>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</si>
  <si>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</si>
  <si>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</si>
  <si>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</si>
  <si>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</si>
  <si>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</si>
  <si>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</si>
  <si>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</si>
  <si>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</si>
  <si>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</si>
  <si>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</si>
  <si>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</si>
  <si>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</si>
  <si>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</si>
  <si>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</si>
  <si>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</si>
  <si>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</si>
  <si>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</si>
  <si>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</si>
  <si>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</si>
  <si>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</si>
  <si>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</si>
  <si>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</si>
  <si>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</si>
  <si>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</si>
  <si>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</si>
  <si>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</si>
  <si>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</si>
  <si>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</si>
  <si>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</si>
  <si>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</si>
  <si>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</si>
  <si>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</si>
  <si>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</si>
  <si>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</si>
  <si>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</si>
  <si>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</si>
  <si>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</si>
  <si>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</si>
  <si>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</si>
  <si>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</si>
  <si>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</si>
  <si>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</si>
  <si>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</si>
  <si>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</si>
  <si>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</si>
  <si>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</si>
  <si>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</si>
  <si>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</si>
  <si>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</si>
  <si>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</si>
  <si>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</si>
  <si>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</si>
  <si>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</si>
  <si>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</si>
  <si>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</si>
  <si>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</si>
  <si>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</si>
  <si>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</si>
  <si>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</si>
  <si>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</si>
  <si>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</si>
  <si>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</si>
  <si>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</si>
  <si>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</si>
  <si>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</si>
  <si>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</si>
  <si>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</si>
  <si>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</si>
  <si>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</si>
  <si>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</si>
  <si>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</si>
  <si>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</si>
  <si>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</si>
  <si>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</si>
  <si>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</si>
  <si>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</si>
  <si>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</si>
  <si>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</si>
  <si>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</si>
  <si>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</si>
  <si>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</si>
  <si>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</si>
  <si>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</si>
  <si>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</si>
  <si>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</si>
  <si>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</si>
  <si>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</si>
  <si>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</si>
  <si>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</si>
  <si>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</si>
  <si>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</si>
  <si>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</si>
  <si>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</si>
  <si>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</si>
  <si>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</si>
  <si>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</si>
  <si>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</si>
  <si>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</si>
  <si>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</si>
  <si>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</si>
  <si>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</si>
  <si>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</si>
  <si>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</si>
  <si>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</si>
  <si>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</si>
  <si>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</si>
  <si>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</si>
  <si>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</si>
  <si>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</si>
  <si>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</si>
  <si>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</si>
  <si>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</si>
  <si>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</si>
  <si>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</si>
  <si>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</si>
  <si>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</si>
  <si>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</si>
  <si>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</si>
  <si>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</si>
  <si>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</si>
  <si>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</si>
  <si>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</si>
  <si>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</si>
  <si>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</si>
  <si>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</si>
  <si>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</si>
  <si>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</si>
  <si>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</si>
  <si>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</si>
  <si>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</si>
  <si>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</si>
  <si>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</si>
  <si>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</si>
  <si>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</si>
  <si>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</si>
  <si>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</si>
  <si>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</si>
  <si>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</si>
  <si>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</si>
  <si>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</si>
  <si>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</si>
  <si>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</si>
  <si>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</si>
  <si>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</si>
  <si>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</si>
  <si>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</si>
  <si>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</si>
  <si>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</si>
  <si>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</si>
  <si>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</si>
  <si>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</si>
  <si>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</si>
  <si>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</si>
  <si>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</si>
  <si>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</si>
  <si>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</si>
  <si>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</si>
  <si>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</si>
  <si>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</si>
  <si>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</si>
  <si>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</si>
  <si>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</si>
  <si>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</si>
  <si>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</si>
  <si>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</si>
  <si>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</si>
  <si>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</si>
  <si>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</si>
  <si>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</si>
  <si>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</si>
  <si>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</si>
  <si>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</si>
  <si>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</si>
  <si>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</si>
  <si>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</si>
  <si>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</si>
  <si>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</si>
  <si>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</si>
  <si>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</si>
  <si>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</si>
  <si>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</si>
  <si>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</si>
  <si>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</si>
  <si>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</si>
  <si>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</si>
  <si>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</si>
  <si>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</si>
  <si>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</si>
  <si>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</si>
  <si>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</si>
  <si>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</si>
  <si>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</si>
  <si>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</si>
  <si>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</si>
  <si>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</si>
  <si>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</si>
  <si>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</si>
  <si>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</si>
  <si>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</si>
  <si>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</si>
  <si>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</si>
  <si>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</si>
  <si>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</si>
  <si>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</si>
  <si>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</si>
  <si>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</si>
  <si>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</si>
  <si>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</si>
  <si>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</si>
  <si>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</si>
  <si>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</si>
  <si>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</si>
  <si>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</si>
  <si>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</si>
  <si>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</si>
  <si>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</si>
  <si>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</si>
  <si>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</si>
  <si>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</si>
  <si>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</si>
  <si>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</si>
  <si>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</si>
  <si>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</si>
  <si>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</si>
  <si>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</si>
  <si>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</si>
  <si>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</si>
  <si>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</si>
  <si>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</si>
  <si>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</si>
  <si>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</si>
  <si>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</si>
  <si>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</si>
  <si>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</si>
  <si>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</si>
  <si>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</si>
  <si>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</si>
  <si>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</si>
  <si>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</si>
  <si>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</si>
  <si>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</si>
  <si>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</si>
  <si>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</si>
  <si>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</si>
  <si>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</si>
  <si>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</si>
  <si>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</si>
  <si>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</si>
  <si>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</si>
  <si>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</si>
  <si>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</si>
  <si>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</si>
  <si>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</si>
  <si>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</si>
  <si>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</si>
  <si>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</si>
  <si>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</si>
  <si>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</si>
  <si>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</si>
  <si>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</si>
  <si>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</si>
  <si>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</si>
  <si>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</si>
  <si>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</si>
  <si>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</si>
  <si>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</si>
  <si>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</si>
  <si>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</si>
  <si>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</si>
  <si>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</si>
  <si>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</si>
  <si>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</si>
  <si>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</si>
  <si>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</si>
  <si>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</si>
  <si>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</si>
  <si>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</si>
  <si>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</si>
  <si>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</si>
  <si>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</si>
  <si>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</si>
  <si>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</si>
  <si>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</si>
  <si>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</si>
  <si>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</si>
  <si>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</si>
  <si>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</si>
  <si>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</si>
  <si>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</si>
  <si>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</si>
  <si>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</si>
  <si>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</si>
  <si>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</si>
  <si>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</si>
  <si>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</si>
  <si>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</si>
  <si>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</si>
  <si>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</si>
  <si>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</si>
  <si>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</si>
  <si>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</si>
  <si>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</si>
  <si>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</si>
  <si>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</si>
  <si>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</si>
  <si>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</si>
  <si>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</si>
  <si>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</si>
  <si>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</si>
  <si>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</si>
  <si>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</si>
  <si>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</si>
  <si>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P-12</t>
  </si>
  <si>
    <t>VAR</t>
  </si>
  <si>
    <t>#Compte</t>
  </si>
  <si>
    <t>Solde d'ouverture</t>
  </si>
  <si>
    <t>Solde courant</t>
  </si>
  <si>
    <t>Solde de fin</t>
  </si>
  <si>
    <t>Valid GL #</t>
  </si>
  <si>
    <t>Debits</t>
  </si>
  <si>
    <t>Classification</t>
  </si>
  <si>
    <t>$ / NB</t>
  </si>
  <si>
    <t>PETITE CAISSE</t>
  </si>
  <si>
    <t>1402</t>
  </si>
  <si>
    <t>1416</t>
  </si>
  <si>
    <t>PNEUS</t>
  </si>
  <si>
    <t>EQUIPEMENT INFORMATIQUE</t>
  </si>
  <si>
    <t>ENSEIGNES</t>
  </si>
  <si>
    <t>2101</t>
  </si>
  <si>
    <t>2103</t>
  </si>
  <si>
    <t>TVQ A PAYER</t>
  </si>
  <si>
    <t>TPS A PAYER</t>
  </si>
  <si>
    <t>TPS A RECEVOIR</t>
  </si>
  <si>
    <t>TAOS</t>
  </si>
  <si>
    <t>ASSURANCE GROUPE</t>
  </si>
  <si>
    <t>Dept</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</si>
  <si>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</si>
  <si>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</si>
  <si>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</si>
  <si>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</si>
  <si>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</si>
  <si>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</si>
  <si>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</si>
  <si>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</si>
  <si>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</si>
  <si>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</si>
  <si>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</si>
  <si>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</si>
  <si>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</si>
  <si>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</si>
  <si>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</si>
  <si>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</si>
  <si>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Retours</t>
  </si>
  <si>
    <t>Oui</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</si>
  <si>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</si>
  <si>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</si>
  <si>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</si>
  <si>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</si>
  <si>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</si>
  <si>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</si>
  <si>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</si>
  <si>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</si>
  <si>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</si>
  <si>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</si>
  <si>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</si>
  <si>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</si>
  <si>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</si>
  <si>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</si>
  <si>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</si>
  <si>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</si>
  <si>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</si>
  <si>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</si>
  <si>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</si>
  <si>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</si>
  <si>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</si>
  <si>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</si>
  <si>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</si>
  <si>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</si>
  <si>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</si>
  <si>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</si>
  <si>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</si>
  <si>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</si>
  <si>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</si>
  <si>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</si>
  <si>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</si>
  <si>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</si>
  <si>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</si>
  <si>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</si>
  <si>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</si>
  <si>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</si>
  <si>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</si>
  <si>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</si>
  <si>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</si>
  <si>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</si>
  <si>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</si>
  <si>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</si>
  <si>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</si>
  <si>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</si>
  <si>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</si>
  <si>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</si>
  <si>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</si>
  <si>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</si>
  <si>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</si>
  <si>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</si>
  <si>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</si>
  <si>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</si>
  <si>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</si>
  <si>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</si>
  <si>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</si>
  <si>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</si>
  <si>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</si>
  <si>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</si>
  <si>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</si>
  <si>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</si>
  <si>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</si>
  <si>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</si>
  <si>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</si>
  <si>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</si>
  <si>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</si>
  <si>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</si>
  <si>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</si>
  <si>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</si>
  <si>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</si>
  <si>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</si>
  <si>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</si>
  <si>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</si>
  <si>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</si>
  <si>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</si>
  <si>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</si>
  <si>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</si>
  <si>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</si>
  <si>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</si>
  <si>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</si>
  <si>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</si>
  <si>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</si>
  <si>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</si>
  <si>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</si>
  <si>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</si>
  <si>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</si>
  <si>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</si>
  <si>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</si>
  <si>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</si>
  <si>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</si>
  <si>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</si>
  <si>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</si>
  <si>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</si>
  <si>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</si>
  <si>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</si>
  <si>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</si>
  <si>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</si>
  <si>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</si>
  <si>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</si>
  <si>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</si>
  <si>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</si>
  <si>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</si>
  <si>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</si>
  <si>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</si>
  <si>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</si>
  <si>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</si>
  <si>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</si>
  <si>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</si>
  <si>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</si>
  <si>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</si>
  <si>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</si>
  <si>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</si>
  <si>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</si>
  <si>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</si>
  <si>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</si>
  <si>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</si>
  <si>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</si>
  <si>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</si>
  <si>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</si>
  <si>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</si>
  <si>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</si>
  <si>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</si>
  <si>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</si>
  <si>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</si>
  <si>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</si>
  <si>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</si>
  <si>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</si>
  <si>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</si>
  <si>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</si>
  <si>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</si>
  <si>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</si>
  <si>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</si>
  <si>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</si>
  <si>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</si>
  <si>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</si>
  <si>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</si>
  <si>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</si>
  <si>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</si>
  <si>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</si>
  <si>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</si>
  <si>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</si>
  <si>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</si>
  <si>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</si>
  <si>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</si>
  <si>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</si>
  <si>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</si>
  <si>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</si>
  <si>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</si>
  <si>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</si>
  <si>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</si>
  <si>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</si>
  <si>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</si>
  <si>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</si>
  <si>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</si>
  <si>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</si>
  <si>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</si>
  <si>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</si>
  <si>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</si>
  <si>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</si>
  <si>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</si>
  <si>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</si>
  <si>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</si>
  <si>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</si>
  <si>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</si>
  <si>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</si>
  <si>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</si>
  <si>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</si>
  <si>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</si>
  <si>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</si>
  <si>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</si>
  <si>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</si>
  <si>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</si>
  <si>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</si>
  <si>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</si>
  <si>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</si>
  <si>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</si>
  <si>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</si>
  <si>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</si>
  <si>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</si>
  <si>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</si>
  <si>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</si>
  <si>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</si>
  <si>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</si>
  <si>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</si>
  <si>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</si>
  <si>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</si>
  <si>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</si>
  <si>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</si>
  <si>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</si>
  <si>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</si>
  <si>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</si>
  <si>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</si>
  <si>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</si>
  <si>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</si>
  <si>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</si>
  <si>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</si>
  <si>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</si>
  <si>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</si>
  <si>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</si>
  <si>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</si>
  <si>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</si>
  <si>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</si>
  <si>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</si>
  <si>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</si>
  <si>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</si>
  <si>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</si>
  <si>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</si>
  <si>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</si>
  <si>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</si>
  <si>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</si>
  <si>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</si>
  <si>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</si>
  <si>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</si>
  <si>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</si>
  <si>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</si>
  <si>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</si>
  <si>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</si>
  <si>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</si>
  <si>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</si>
  <si>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</si>
  <si>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</si>
  <si>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</si>
  <si>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</si>
  <si>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</si>
  <si>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</si>
  <si>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</si>
  <si>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</si>
  <si>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</si>
  <si>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</si>
  <si>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</si>
  <si>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</si>
  <si>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</si>
  <si>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</si>
  <si>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</si>
  <si>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</si>
  <si>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</si>
  <si>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</si>
  <si>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</si>
  <si>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</si>
  <si>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</si>
  <si>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</si>
  <si>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</si>
  <si>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</si>
  <si>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</si>
  <si>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</si>
  <si>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</si>
  <si>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</si>
  <si>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</si>
  <si>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</si>
  <si>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</si>
  <si>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</si>
  <si>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</si>
  <si>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</si>
  <si>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</si>
  <si>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</si>
  <si>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</si>
  <si>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</si>
  <si>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</si>
  <si>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</si>
  <si>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</si>
  <si>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</si>
  <si>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</si>
  <si>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</si>
  <si>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</si>
  <si>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</si>
  <si>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</si>
  <si>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</si>
  <si>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</si>
  <si>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</si>
  <si>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</si>
  <si>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</si>
  <si>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</si>
  <si>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</si>
  <si>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</si>
  <si>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</si>
  <si>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</si>
  <si>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</si>
  <si>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</si>
  <si>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</si>
  <si>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</si>
  <si>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</si>
  <si>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</si>
  <si>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</si>
  <si>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</si>
  <si>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</si>
  <si>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</si>
  <si>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</si>
  <si>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</si>
  <si>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</si>
  <si>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</si>
  <si>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</si>
  <si>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</si>
  <si>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</si>
  <si>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</si>
  <si>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</si>
  <si>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</si>
  <si>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</si>
  <si>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</si>
  <si>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</si>
  <si>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</si>
  <si>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</si>
  <si>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</si>
  <si>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</si>
  <si>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</si>
  <si>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</si>
  <si>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</si>
  <si>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</si>
  <si>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</si>
  <si>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</si>
  <si>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</si>
  <si>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</si>
  <si>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</si>
  <si>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</si>
  <si>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</si>
  <si>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</si>
  <si>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</si>
  <si>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</si>
  <si>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</si>
  <si>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</si>
  <si>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</si>
  <si>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</si>
  <si>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</si>
  <si>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</si>
  <si>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</si>
  <si>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</si>
  <si>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</si>
  <si>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</si>
  <si>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</si>
  <si>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</si>
  <si>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</si>
  <si>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</si>
  <si>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</si>
  <si>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</si>
  <si>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</si>
  <si>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</si>
  <si>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</si>
  <si>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</si>
  <si>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</si>
  <si>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</si>
  <si>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</si>
  <si>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</si>
  <si>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</si>
  <si>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</si>
  <si>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</si>
  <si>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</si>
  <si>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</si>
  <si>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</si>
  <si>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</si>
  <si>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</si>
  <si>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</si>
  <si>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</si>
  <si>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</si>
  <si>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</si>
  <si>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</si>
  <si>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</si>
  <si>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</si>
  <si>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</si>
  <si>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</si>
  <si>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</si>
  <si>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</si>
  <si>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</si>
  <si>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</si>
  <si>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</si>
  <si>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</si>
  <si>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</si>
  <si>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</si>
  <si>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</si>
  <si>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</si>
  <si>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</si>
  <si>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</si>
  <si>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</si>
  <si>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</si>
  <si>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</si>
  <si>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</si>
  <si>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</si>
  <si>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</si>
  <si>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</si>
  <si>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</si>
  <si>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</si>
  <si>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</si>
  <si>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</si>
  <si>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</si>
  <si>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</si>
  <si>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</si>
  <si>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</si>
  <si>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</si>
  <si>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</si>
  <si>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</si>
  <si>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</si>
  <si>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</si>
  <si>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</si>
  <si>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</si>
  <si>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</si>
  <si>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</si>
  <si>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</si>
  <si>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</si>
  <si>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</si>
  <si>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</si>
  <si>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</si>
  <si>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</si>
  <si>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</si>
  <si>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</si>
  <si>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</si>
  <si>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</si>
  <si>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</si>
  <si>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</si>
  <si>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</si>
  <si>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</si>
  <si>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</si>
  <si>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</si>
  <si>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</si>
  <si>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</si>
  <si>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</si>
  <si>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</si>
  <si>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</si>
  <si>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</si>
  <si>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</si>
  <si>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</si>
  <si>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</si>
  <si>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</si>
  <si>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</si>
  <si>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</si>
  <si>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</si>
  <si>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</si>
  <si>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</si>
  <si>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</si>
  <si>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</si>
  <si>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</si>
  <si>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</si>
  <si>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</si>
  <si>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</si>
  <si>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</si>
  <si>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</si>
  <si>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</si>
  <si>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</si>
  <si>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</si>
  <si>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</si>
  <si>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ACHALANDAGE</t>
  </si>
  <si>
    <t>Dealer Trade</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</si>
  <si>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</si>
  <si>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</si>
  <si>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</si>
  <si>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</si>
  <si>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</si>
  <si>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</si>
  <si>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</si>
  <si>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</si>
  <si>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</si>
  <si>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</si>
  <si>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</si>
  <si>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</si>
  <si>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</si>
  <si>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</si>
  <si>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</si>
  <si>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</si>
  <si>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</si>
  <si>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</si>
  <si>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</si>
  <si>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</si>
  <si>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</si>
  <si>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</si>
  <si>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</si>
  <si>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</si>
  <si>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</si>
  <si>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</si>
  <si>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</si>
  <si>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</si>
  <si>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</si>
  <si>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</si>
  <si>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</si>
  <si>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</si>
  <si>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</si>
  <si>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H</t>
  </si>
  <si>
    <t>HDB120</t>
  </si>
  <si>
    <t>FRAIS DE GESTION</t>
  </si>
  <si>
    <t>L</t>
  </si>
  <si>
    <t>HDB134</t>
  </si>
  <si>
    <t>PROV.POUR MAUVAIS.CREANCE</t>
  </si>
  <si>
    <t>HDB137</t>
  </si>
  <si>
    <t>AVAN.FIDUCIE TESTAMENTAIR</t>
  </si>
  <si>
    <t>HDB15</t>
  </si>
  <si>
    <t>IMRTD(COMPTE BNR)</t>
  </si>
  <si>
    <t>HDB16</t>
  </si>
  <si>
    <t>RTD (COMPTE BNR)</t>
  </si>
  <si>
    <t>H01201</t>
  </si>
  <si>
    <t>NF SALAIRES-VENTES DIR</t>
  </si>
  <si>
    <t>H01202</t>
  </si>
  <si>
    <t>NF SALAIRE &amp; COMM VENDEUR</t>
  </si>
  <si>
    <t>H01203</t>
  </si>
  <si>
    <t>NF SALAIRE &amp; COMM F&amp;I</t>
  </si>
  <si>
    <t>H01204</t>
  </si>
  <si>
    <t>NF PREP A LA ROUTE</t>
  </si>
  <si>
    <t>H01205</t>
  </si>
  <si>
    <t>NF PRATIQUES DE GARANTIE</t>
  </si>
  <si>
    <t>H01206</t>
  </si>
  <si>
    <t>NF TOT PUB &amp; PROMO VENTES</t>
  </si>
  <si>
    <t>H01207</t>
  </si>
  <si>
    <t>NF COOP RABAIS PUBLICITE</t>
  </si>
  <si>
    <t>H01208</t>
  </si>
  <si>
    <t>NF DEMONSTRATEURS</t>
  </si>
  <si>
    <t>H01209</t>
  </si>
  <si>
    <t>NF ENT VEH EN STOCK</t>
  </si>
  <si>
    <t>H01210</t>
  </si>
  <si>
    <t>NF FRAIS FINANCEMENT</t>
  </si>
  <si>
    <t>H01211</t>
  </si>
  <si>
    <t>NF ASSIST FLOOR PLAN HAC</t>
  </si>
  <si>
    <t>H01212</t>
  </si>
  <si>
    <t>NF FRAIS DE FINANCE</t>
  </si>
  <si>
    <t>H01221</t>
  </si>
  <si>
    <t>NF SALAIRES -AUTRES</t>
  </si>
  <si>
    <t>H01223</t>
  </si>
  <si>
    <t>NF ABS. &amp; CONGES PAYES</t>
  </si>
  <si>
    <t>H01224</t>
  </si>
  <si>
    <t>NF CSST</t>
  </si>
  <si>
    <t>H01225</t>
  </si>
  <si>
    <t>NF ASSURANCE CHOMAGE</t>
  </si>
  <si>
    <t>H01226</t>
  </si>
  <si>
    <t>NF ASSURANCE GROUPE</t>
  </si>
  <si>
    <t>H01227</t>
  </si>
  <si>
    <t>NF AUTRES AV. SOCIAUX</t>
  </si>
  <si>
    <t>H01228</t>
  </si>
  <si>
    <t>NF FORMATION</t>
  </si>
  <si>
    <t>H01230</t>
  </si>
  <si>
    <t>NF PAPETRIE-FOUR. BUREAU</t>
  </si>
  <si>
    <t>H01231</t>
  </si>
  <si>
    <t>NF OUTILLAGE-FOUR. DIVERS</t>
  </si>
  <si>
    <t>H01234</t>
  </si>
  <si>
    <t>NF UNIFORMES-SALOPETTES</t>
  </si>
  <si>
    <t>H01235</t>
  </si>
  <si>
    <t>NF CONCIERGERIE-NETTOYAGE</t>
  </si>
  <si>
    <t>H01240</t>
  </si>
  <si>
    <t>NF ENT EQUIPMENT</t>
  </si>
  <si>
    <t>H01241</t>
  </si>
  <si>
    <t>NF VEH DE SERVITUDES</t>
  </si>
  <si>
    <t>H01243</t>
  </si>
  <si>
    <t>NF LOCATION EQUIPEMENT</t>
  </si>
  <si>
    <t>H01244</t>
  </si>
  <si>
    <t>NF TRAITEMENT DES DONNEES</t>
  </si>
  <si>
    <t>H01245</t>
  </si>
  <si>
    <t>NF FRAIS REPRES/REPAS</t>
  </si>
  <si>
    <t>H01246</t>
  </si>
  <si>
    <t>NF DEPLACEMENT-REPRESENT.</t>
  </si>
  <si>
    <t>H01247</t>
  </si>
  <si>
    <t>NF TELEPHONE-TELEGRAMMES</t>
  </si>
  <si>
    <t>H01248</t>
  </si>
  <si>
    <t>NF FRAIS POSTAUX</t>
  </si>
  <si>
    <t>H01249</t>
  </si>
  <si>
    <t>NF FRET &amp; MESSAGERIE</t>
  </si>
  <si>
    <t>H01252</t>
  </si>
  <si>
    <t>NF FRAIS DIVERS</t>
  </si>
  <si>
    <t>H01253</t>
  </si>
  <si>
    <t>NF RESERVE DOMMAGE</t>
  </si>
  <si>
    <t>H01260</t>
  </si>
  <si>
    <t>NF LOYER INT HYPOTH.</t>
  </si>
  <si>
    <t>H01261</t>
  </si>
  <si>
    <t>NF AMORT AMELIOR  LOC</t>
  </si>
  <si>
    <t>H01262</t>
  </si>
  <si>
    <t>NF ENTRERIEN PROPRIÉTÉ</t>
  </si>
  <si>
    <t>H01263</t>
  </si>
  <si>
    <t>NF TAXES PROPRIÉTÉ</t>
  </si>
  <si>
    <t>H01264</t>
  </si>
  <si>
    <t>NF ASSURANCE BATIMENT</t>
  </si>
  <si>
    <t>H01265</t>
  </si>
  <si>
    <t>NF AMORT BATIMENT</t>
  </si>
  <si>
    <t>H01268</t>
  </si>
  <si>
    <t>NF TAXES AFFAIRES &amp;AUTRES</t>
  </si>
  <si>
    <t>H01269</t>
  </si>
  <si>
    <t>NF AMORT EQUIP &amp; INSTALL.</t>
  </si>
  <si>
    <t>H01270</t>
  </si>
  <si>
    <t>NF ASSURANCE GENERALE</t>
  </si>
  <si>
    <t>H01274</t>
  </si>
  <si>
    <t>NF EAU/ELECT./CHAUFFAGE</t>
  </si>
  <si>
    <t>H01276</t>
  </si>
  <si>
    <t>NF VERIFICATION COMPTABLE</t>
  </si>
  <si>
    <t>H01277</t>
  </si>
  <si>
    <t>NF COTISATIONS SOUSCRIP.</t>
  </si>
  <si>
    <t>H01278</t>
  </si>
  <si>
    <t>NF TAXES EN CAPITAL</t>
  </si>
  <si>
    <t>H01279</t>
  </si>
  <si>
    <t>NF DONATIONS</t>
  </si>
  <si>
    <t>H01280</t>
  </si>
  <si>
    <t>NF IMM &amp; PERMIS /CIE SEUL</t>
  </si>
  <si>
    <t>H01301</t>
  </si>
  <si>
    <t>OCC SALAIRES-VENTE DIR</t>
  </si>
  <si>
    <t>H01302</t>
  </si>
  <si>
    <t>OCC SALAIRES COMM-VENDEUR</t>
  </si>
  <si>
    <t>H01303</t>
  </si>
  <si>
    <t>OCC SALAIRES &amp; COMM - F&amp;I</t>
  </si>
  <si>
    <t>H01304</t>
  </si>
  <si>
    <t>OCC LIVRAISON</t>
  </si>
  <si>
    <t>H01305</t>
  </si>
  <si>
    <t>OCC PRATIQUE DE GARANTIE</t>
  </si>
  <si>
    <t>H01306</t>
  </si>
  <si>
    <t>OCC TOT PUB &amp; PROMO VENTE</t>
  </si>
  <si>
    <t>H01307</t>
  </si>
  <si>
    <t>OCC COOP RABAIS HD PUB.</t>
  </si>
  <si>
    <t>H01308</t>
  </si>
  <si>
    <t>OCC DEMONSTRATEURS</t>
  </si>
  <si>
    <t>H01309</t>
  </si>
  <si>
    <t>OCC ENT INVENTAIRE</t>
  </si>
  <si>
    <t>H01310</t>
  </si>
  <si>
    <t>OCC FRAIS FINANCEMENT</t>
  </si>
  <si>
    <t>H01312</t>
  </si>
  <si>
    <t>OCC FRAIS DE FINANCE</t>
  </si>
  <si>
    <t>H01321</t>
  </si>
  <si>
    <t>OCC SALAIRES-AUTRES</t>
  </si>
  <si>
    <t>H01323</t>
  </si>
  <si>
    <t>OCC ABS. &amp; CONGES PAYES</t>
  </si>
  <si>
    <t>H01324</t>
  </si>
  <si>
    <t>OCC CSST</t>
  </si>
  <si>
    <t>H01325</t>
  </si>
  <si>
    <t>OCC ASSURANCE CHOMAGE</t>
  </si>
  <si>
    <t>H01326</t>
  </si>
  <si>
    <t>OCC ASSURANCE GROUPE</t>
  </si>
  <si>
    <t>H01327</t>
  </si>
  <si>
    <t>OCC AUTRES AV. SOCIAUX</t>
  </si>
  <si>
    <t>H01328</t>
  </si>
  <si>
    <t>OCC FORMATION</t>
  </si>
  <si>
    <t>H01330</t>
  </si>
  <si>
    <t>OCC PAPETRIE-FOUR. BUREAU</t>
  </si>
  <si>
    <t>H01331</t>
  </si>
  <si>
    <t>OCC OUTIL-FOUR. DIVERS</t>
  </si>
  <si>
    <t>H01334</t>
  </si>
  <si>
    <t>OCC UNIFORMES-SALOPETTES</t>
  </si>
  <si>
    <t>H01335</t>
  </si>
  <si>
    <t>OCC CONCIERGE-NETTOYAGE</t>
  </si>
  <si>
    <t>H01340</t>
  </si>
  <si>
    <t>OCC ENT EQUIPMENT</t>
  </si>
  <si>
    <t>H01341</t>
  </si>
  <si>
    <t>OCC VEH DE SERVITUDES</t>
  </si>
  <si>
    <t>H01343</t>
  </si>
  <si>
    <t>OCC LOCATION EQUIPEMENT</t>
  </si>
  <si>
    <t>H01344</t>
  </si>
  <si>
    <t>OCC TRAITEMENT DONNEES</t>
  </si>
  <si>
    <t>H01345</t>
  </si>
  <si>
    <t>OCC FRAIS REPRES/REPAS</t>
  </si>
  <si>
    <t>H01346</t>
  </si>
  <si>
    <t>OCC DEPLACEMENT-REPRESENT</t>
  </si>
  <si>
    <t>H01347</t>
  </si>
  <si>
    <t>OCC TELEPHONE-TELEGRAMMES</t>
  </si>
  <si>
    <t>H01348</t>
  </si>
  <si>
    <t>OCC FRAIS POSTAUX</t>
  </si>
  <si>
    <t>H01349</t>
  </si>
  <si>
    <t>OCC FRET &amp; MESSAGERIE</t>
  </si>
  <si>
    <t>H01352</t>
  </si>
  <si>
    <t>OCC FRAIS DIVERS</t>
  </si>
  <si>
    <t>H01360</t>
  </si>
  <si>
    <t>OCC LOYER INT HYPOTH.</t>
  </si>
  <si>
    <t>H01361</t>
  </si>
  <si>
    <t>OCC AMORT AMELIOR  LOC</t>
  </si>
  <si>
    <t>H01362</t>
  </si>
  <si>
    <t>OCC ENTRERIEN PROPRIÉTÉ</t>
  </si>
  <si>
    <t>H01363</t>
  </si>
  <si>
    <t>OCC TAXES PROPRIÉTÉ</t>
  </si>
  <si>
    <t>H01364</t>
  </si>
  <si>
    <t>OCC ASSURANCE BATIMENT</t>
  </si>
  <si>
    <t>H01365</t>
  </si>
  <si>
    <t>OCC AMORT BATIMENT</t>
  </si>
  <si>
    <t>H01368</t>
  </si>
  <si>
    <t>OCC TAXES AFFAIRES&amp;AUTRES</t>
  </si>
  <si>
    <t>H01369</t>
  </si>
  <si>
    <t>OCC AMORT EQUIP &amp; INSTALL</t>
  </si>
  <si>
    <t>H01370</t>
  </si>
  <si>
    <t>OCC ASSURANCE GENERALE</t>
  </si>
  <si>
    <t>H01374</t>
  </si>
  <si>
    <t>OCC EAU/ELECT/CHAUFFAGE</t>
  </si>
  <si>
    <t>H01376</t>
  </si>
  <si>
    <t>OCC VERIF. COMPTABLE</t>
  </si>
  <si>
    <t>H01377</t>
  </si>
  <si>
    <t>OCC COTISATIONS SOUSCRIP.</t>
  </si>
  <si>
    <t>H01379</t>
  </si>
  <si>
    <t>OCC DONATIONS</t>
  </si>
  <si>
    <t>H01380</t>
  </si>
  <si>
    <t>OCC IMM &amp; PERMIS/CIE SEUL</t>
  </si>
  <si>
    <t>H01420</t>
  </si>
  <si>
    <t>PCE SALAIRES-DIR-DEPT</t>
  </si>
  <si>
    <t>H01421</t>
  </si>
  <si>
    <t>PCE SALAIRES -AUTRES</t>
  </si>
  <si>
    <t>H01423</t>
  </si>
  <si>
    <t>PCE ABSENCES&amp;CONGES PAYES</t>
  </si>
  <si>
    <t>H01424</t>
  </si>
  <si>
    <t>PCE CSST</t>
  </si>
  <si>
    <t>H01425</t>
  </si>
  <si>
    <t>PCE ASSURANCE CHOMAGE</t>
  </si>
  <si>
    <t>H01426</t>
  </si>
  <si>
    <t>PCE ASSURANCE GROUPE</t>
  </si>
  <si>
    <t>H01427</t>
  </si>
  <si>
    <t>PCE AUTRES AV. SOCIAUX</t>
  </si>
  <si>
    <t>H01428</t>
  </si>
  <si>
    <t>PCE FORMATION</t>
  </si>
  <si>
    <t>H01430</t>
  </si>
  <si>
    <t>PCE PAPETRIE-FOUR. BUREAU</t>
  </si>
  <si>
    <t>H01431</t>
  </si>
  <si>
    <t>PCE OUTIL-FOUR. DIVERS</t>
  </si>
  <si>
    <t>H01434</t>
  </si>
  <si>
    <t>PCE UNIFORMES-SALOPETTES</t>
  </si>
  <si>
    <t>H01435</t>
  </si>
  <si>
    <t>PCE CONCIERGE-NETTOYAGE</t>
  </si>
  <si>
    <t>H01437</t>
  </si>
  <si>
    <t>PCE PRATIQUES COURTOISIE</t>
  </si>
  <si>
    <t>H01438</t>
  </si>
  <si>
    <t>PCE PUB-PROMOTION PCE</t>
  </si>
  <si>
    <t>H01440</t>
  </si>
  <si>
    <t>PCE ENT EQUIPEMENT</t>
  </si>
  <si>
    <t>H01441</t>
  </si>
  <si>
    <t>PCE VEH. DE SERVITUDES</t>
  </si>
  <si>
    <t>H01442</t>
  </si>
  <si>
    <t>PCE ENT EQUIP</t>
  </si>
  <si>
    <t>H01443</t>
  </si>
  <si>
    <t>PCE LOCATION EQUIPEMENT</t>
  </si>
  <si>
    <t>H01444</t>
  </si>
  <si>
    <t>PCE TRAITEMENT DONNEES</t>
  </si>
  <si>
    <t>H01445</t>
  </si>
  <si>
    <t>PCE FRAIS REP/REPAS(80%)</t>
  </si>
  <si>
    <t>H01446</t>
  </si>
  <si>
    <t>PCE DEPLACEMENT-REPRESENT</t>
  </si>
  <si>
    <t>H01447</t>
  </si>
  <si>
    <t>PCE TELEPHONE-TELEGRAMMES</t>
  </si>
  <si>
    <t>H01448</t>
  </si>
  <si>
    <t>PCE FRAIS POSTAUX</t>
  </si>
  <si>
    <t>H01449</t>
  </si>
  <si>
    <t>PCE FRET &amp; MESSAGERIE</t>
  </si>
  <si>
    <t>H01452</t>
  </si>
  <si>
    <t>PCE FRAIS DIVERS</t>
  </si>
  <si>
    <t>H01460</t>
  </si>
  <si>
    <t>PCE LOYER INT HYPOTH.</t>
  </si>
  <si>
    <t>H01461</t>
  </si>
  <si>
    <t>PCE AMORT AMELIOR  LOC</t>
  </si>
  <si>
    <t>H01462</t>
  </si>
  <si>
    <t>PCE ENTRERIEN PROPRIÉTÉ</t>
  </si>
  <si>
    <t>H01463</t>
  </si>
  <si>
    <t>PCE TAXES PROPRIÉTÉ</t>
  </si>
  <si>
    <t>H01464</t>
  </si>
  <si>
    <t>PCE ASSURANCE BATIMENT</t>
  </si>
  <si>
    <t>H01465</t>
  </si>
  <si>
    <t>PCE AMORT BATIMENT</t>
  </si>
  <si>
    <t>H01468</t>
  </si>
  <si>
    <t>PCE TAXES AFFAIRES&amp;AUTRES</t>
  </si>
  <si>
    <t>H01469</t>
  </si>
  <si>
    <t>PCE AMORT EQUIP &amp; INSTALL</t>
  </si>
  <si>
    <t>H01470</t>
  </si>
  <si>
    <t>PCE ASSURANCE GENERALE</t>
  </si>
  <si>
    <t>H01474</t>
  </si>
  <si>
    <t>PCE EAU/ELECT/CHAUFFAGE</t>
  </si>
  <si>
    <t>H01476</t>
  </si>
  <si>
    <t>PCE VERIF. COMPTABLE</t>
  </si>
  <si>
    <t>H01477</t>
  </si>
  <si>
    <t>PCE COTISATIONS SOUSCRIP.</t>
  </si>
  <si>
    <t>H01479</t>
  </si>
  <si>
    <t>PCE DONATIONS</t>
  </si>
  <si>
    <t>H01480</t>
  </si>
  <si>
    <t>PCE IMMATRIC &amp; PERMIS</t>
  </si>
  <si>
    <t>H01520</t>
  </si>
  <si>
    <t>SVC SALAIRES-DIR-DEPT</t>
  </si>
  <si>
    <t>H01521</t>
  </si>
  <si>
    <t>SVC SALAIRES -AUTRES</t>
  </si>
  <si>
    <t>H01523</t>
  </si>
  <si>
    <t>SVC ABSENCES&amp;CONGES PAYES</t>
  </si>
  <si>
    <t>H01524</t>
  </si>
  <si>
    <t>SVC CSST</t>
  </si>
  <si>
    <t>H01525</t>
  </si>
  <si>
    <t>SVC ASSURANCE-CHOMAGE</t>
  </si>
  <si>
    <t>H01526</t>
  </si>
  <si>
    <t>SVC ASSURANCE GROUPE</t>
  </si>
  <si>
    <t>H01527</t>
  </si>
  <si>
    <t>SVC AUTRES AV. SOCIAUX</t>
  </si>
  <si>
    <t>H01528</t>
  </si>
  <si>
    <t>SVC FORMATION</t>
  </si>
  <si>
    <t>H01530</t>
  </si>
  <si>
    <t>SVC PAPETRIE-FOUR. BUREAU</t>
  </si>
  <si>
    <t>H01531</t>
  </si>
  <si>
    <t>SVC OUTIL-FOUR.DIVERS</t>
  </si>
  <si>
    <t>H01534</t>
  </si>
  <si>
    <t>SVC UNIFORMES-SALOPETTES</t>
  </si>
  <si>
    <t>H01535</t>
  </si>
  <si>
    <t>SVC CONCIERGE-NETTOYAGE</t>
  </si>
  <si>
    <t>H01537</t>
  </si>
  <si>
    <t>SVC PRATIQUES COURTOISIE</t>
  </si>
  <si>
    <t>H01538</t>
  </si>
  <si>
    <t>SVC PUB-PROMOTION-SVC</t>
  </si>
  <si>
    <t>H01539</t>
  </si>
  <si>
    <t>SVC DEDUCTIBLE</t>
  </si>
  <si>
    <t>H01540</t>
  </si>
  <si>
    <t>SVC ENT EQUIPEMENT</t>
  </si>
  <si>
    <t>H01541</t>
  </si>
  <si>
    <t>SVC VEH DE LOC SERVITUDE</t>
  </si>
  <si>
    <t>H01542</t>
  </si>
  <si>
    <t>SVC ENT EQUIPMENT</t>
  </si>
  <si>
    <t>H01543</t>
  </si>
  <si>
    <t>SVC LOCATION EQUIPEMENT</t>
  </si>
  <si>
    <t>H01544</t>
  </si>
  <si>
    <t>SVC TRAITEMENT DES DONNEE</t>
  </si>
  <si>
    <t>H01545</t>
  </si>
  <si>
    <t>SVC FRAIS REP/REPAS (80%)</t>
  </si>
  <si>
    <t>H01546</t>
  </si>
  <si>
    <t>SVC DEPLACEMENT-REPRESENT</t>
  </si>
  <si>
    <t>H01547</t>
  </si>
  <si>
    <t>SVC TELEPHONE-TELEGRAMMES</t>
  </si>
  <si>
    <t>H01548</t>
  </si>
  <si>
    <t>SVC FRAIS POSTAUX</t>
  </si>
  <si>
    <t>H01549</t>
  </si>
  <si>
    <t>SVC FRET &amp; MESSAGERIE</t>
  </si>
  <si>
    <t>H01552</t>
  </si>
  <si>
    <t>SVC FRAIS DIVERS</t>
  </si>
  <si>
    <t>H01553</t>
  </si>
  <si>
    <t>SRC RESERVE DOMMAGE</t>
  </si>
  <si>
    <t>H01560</t>
  </si>
  <si>
    <t>SVC LOYER INT HYPOTH.</t>
  </si>
  <si>
    <t>H01561</t>
  </si>
  <si>
    <t>SVC AMORT AMELIOR  LOC</t>
  </si>
  <si>
    <t>H01562</t>
  </si>
  <si>
    <t>SVC ENTRERIEN PROPRIÉTÉ</t>
  </si>
  <si>
    <t>H01563</t>
  </si>
  <si>
    <t>SVC TAXES PROPRIÉTÉ</t>
  </si>
  <si>
    <t>H01564</t>
  </si>
  <si>
    <t>SVC ASSURANCE BATIMENT</t>
  </si>
  <si>
    <t>H01565</t>
  </si>
  <si>
    <t>SVC AMORT BATIMENT</t>
  </si>
  <si>
    <t>H01568</t>
  </si>
  <si>
    <t>SVC TAXES AFFAIRES&amp;AUTRES</t>
  </si>
  <si>
    <t>H01569</t>
  </si>
  <si>
    <t>SVC AMORT EQUIP &amp; INSTALL</t>
  </si>
  <si>
    <t>H01570</t>
  </si>
  <si>
    <t>SVC ASSURANCE GENERALE</t>
  </si>
  <si>
    <t>H01574</t>
  </si>
  <si>
    <t>SVC EAU/ELECT/CHAUFFAGE</t>
  </si>
  <si>
    <t>H01576</t>
  </si>
  <si>
    <t>SVC VERIFICATION COMPTABL</t>
  </si>
  <si>
    <t>H01577</t>
  </si>
  <si>
    <t>SVC COTISATIONS SOUSCRIP.</t>
  </si>
  <si>
    <t>H01579</t>
  </si>
  <si>
    <t>SVC DONATIONS</t>
  </si>
  <si>
    <t>H01580</t>
  </si>
  <si>
    <t>SVC IMM &amp; PERMIS/CIE SEUL</t>
  </si>
  <si>
    <t>H01620</t>
  </si>
  <si>
    <t>CARR SALAIRES-DIR-DEPT</t>
  </si>
  <si>
    <t>H01621</t>
  </si>
  <si>
    <t>CARR SALAIRES-AUTRES</t>
  </si>
  <si>
    <t>H01623</t>
  </si>
  <si>
    <t>CARR ABS. &amp; CONGES PAYES</t>
  </si>
  <si>
    <t>H01624</t>
  </si>
  <si>
    <t>CARR CSST</t>
  </si>
  <si>
    <t>H01625</t>
  </si>
  <si>
    <t>CARR ASSURANCE-CHOMAGE</t>
  </si>
  <si>
    <t>H01626</t>
  </si>
  <si>
    <t>CARR ASSURANCE GROUPE</t>
  </si>
  <si>
    <t>H01627</t>
  </si>
  <si>
    <t>CARR AUTRES AV. SOCIAUX</t>
  </si>
  <si>
    <t>H01628</t>
  </si>
  <si>
    <t>CARR FORMATION</t>
  </si>
  <si>
    <t>H01630</t>
  </si>
  <si>
    <t>CARR PAPETRIE-FOUR.BUREAU</t>
  </si>
  <si>
    <t>H01631</t>
  </si>
  <si>
    <t>CARR OUTIL-FOUR.DIVERS</t>
  </si>
  <si>
    <t>H01634</t>
  </si>
  <si>
    <t>CARR UNIFORMES-SALOPETTES</t>
  </si>
  <si>
    <t>H01635</t>
  </si>
  <si>
    <t>CARR CONCIERGE-NETTOYAGE</t>
  </si>
  <si>
    <t>H01637</t>
  </si>
  <si>
    <t>CARR PRATIQUES COURTOISIE</t>
  </si>
  <si>
    <t>H01638</t>
  </si>
  <si>
    <t>CARR PUB-PROMOTION-PCE SV</t>
  </si>
  <si>
    <t>H01640</t>
  </si>
  <si>
    <t>CARR ENT EQUIPEMENT</t>
  </si>
  <si>
    <t>H01641</t>
  </si>
  <si>
    <t>CARR VEH DE SERVITUDE</t>
  </si>
  <si>
    <t>H01643</t>
  </si>
  <si>
    <t>CARR EQUIPMENT RENTAL</t>
  </si>
  <si>
    <t>H01644</t>
  </si>
  <si>
    <t>CARR TRAITEMENT DONNEES</t>
  </si>
  <si>
    <t>H01646</t>
  </si>
  <si>
    <t>CARR DEPLACEMENT-REPRESEN</t>
  </si>
  <si>
    <t>H01647</t>
  </si>
  <si>
    <t>CARR TELEPHONE-TELEGRAMME</t>
  </si>
  <si>
    <t>H01648</t>
  </si>
  <si>
    <t>CARR FRAIS POSTAUX</t>
  </si>
  <si>
    <t>H01652</t>
  </si>
  <si>
    <t>CARR FRAIS DIVERS</t>
  </si>
  <si>
    <t>H01660</t>
  </si>
  <si>
    <t>CARR LOYER INT HYPOTH.</t>
  </si>
  <si>
    <t>H01661</t>
  </si>
  <si>
    <t>CARR AMORT AMELIOR  LOC</t>
  </si>
  <si>
    <t>H01662</t>
  </si>
  <si>
    <t>CARR ENTRERIEN PROPRIÉTÉ</t>
  </si>
  <si>
    <t>H01663</t>
  </si>
  <si>
    <t>CARR TAXES PROPRIÉTÉ</t>
  </si>
  <si>
    <t>H01664</t>
  </si>
  <si>
    <t>CARR ASSURANCE BATIMENT</t>
  </si>
  <si>
    <t>H01665</t>
  </si>
  <si>
    <t>CARR AMORT BATIMENT</t>
  </si>
  <si>
    <t>H01668</t>
  </si>
  <si>
    <t>CARR TAXES AFFAIRES&amp;AUTRE</t>
  </si>
  <si>
    <t>H01669</t>
  </si>
  <si>
    <t>CARR AMORT EQUIP &amp; INSTAL</t>
  </si>
  <si>
    <t>H01670</t>
  </si>
  <si>
    <t>CARR ASSURANCE GENERALE</t>
  </si>
  <si>
    <t>H01674</t>
  </si>
  <si>
    <t>CARR EAU/ELECT/CHAUFFAGE</t>
  </si>
  <si>
    <t>H01676</t>
  </si>
  <si>
    <t>CARR VERIF. COMPTABLE</t>
  </si>
  <si>
    <t>H01677</t>
  </si>
  <si>
    <t>CARR COTISATION SOUSCRIP</t>
  </si>
  <si>
    <t>H01679</t>
  </si>
  <si>
    <t>CARR DONATIONS</t>
  </si>
  <si>
    <t>H01801</t>
  </si>
  <si>
    <t>L/R SALAIRES-VENTES DIR</t>
  </si>
  <si>
    <t>H01802</t>
  </si>
  <si>
    <t>L/R SALAIRE COMM VENDEUR</t>
  </si>
  <si>
    <t>H01803</t>
  </si>
  <si>
    <t>L/R SALAIRES &amp; COMM F&amp;I</t>
  </si>
  <si>
    <t>H01804</t>
  </si>
  <si>
    <t>L/R PREP A LA ROUTE</t>
  </si>
  <si>
    <t>H01805</t>
  </si>
  <si>
    <t>L/R PRATIQUES DE GARANTIE</t>
  </si>
  <si>
    <t>H01806</t>
  </si>
  <si>
    <t>L/R TOT PUB &amp; PROMO VENTE</t>
  </si>
  <si>
    <t>H01807</t>
  </si>
  <si>
    <t>L/R COOP RABAIS PUBLICITE</t>
  </si>
  <si>
    <t>H01808</t>
  </si>
  <si>
    <t>L/R DEMONSTRATEURS</t>
  </si>
  <si>
    <t>H01809</t>
  </si>
  <si>
    <t>L/R ENT VEH EN STOCK</t>
  </si>
  <si>
    <t>H01810</t>
  </si>
  <si>
    <t>L/R FRAIS FINANCEMENT</t>
  </si>
  <si>
    <t>H01820</t>
  </si>
  <si>
    <t>L/R MGR COMPENSATON</t>
  </si>
  <si>
    <t>H01821</t>
  </si>
  <si>
    <t>L/R SALAIRES -AUTRES</t>
  </si>
  <si>
    <t>H01823</t>
  </si>
  <si>
    <t>L/R ABS. &amp; CONGES PAYES</t>
  </si>
  <si>
    <t>H01824</t>
  </si>
  <si>
    <t>L/R CSST</t>
  </si>
  <si>
    <t>H01825</t>
  </si>
  <si>
    <t>L/R ASSURANCE CHOMAGE</t>
  </si>
  <si>
    <t>H01826</t>
  </si>
  <si>
    <t>L/R ASSURANCE GROUPE</t>
  </si>
  <si>
    <t>H01827</t>
  </si>
  <si>
    <t>L/R AUTRES AV. SOCIAUX</t>
  </si>
  <si>
    <t>H01828</t>
  </si>
  <si>
    <t>L/R FORMATION</t>
  </si>
  <si>
    <t>H01830</t>
  </si>
  <si>
    <t>L/R PAPETRIE-FOUR. BUREAU</t>
  </si>
  <si>
    <t>H01831</t>
  </si>
  <si>
    <t>L/R OUTILLAGE-FOUR DIVERS</t>
  </si>
  <si>
    <t>H01834</t>
  </si>
  <si>
    <t>L/R UNIFORMES-SALOPETTES</t>
  </si>
  <si>
    <t>H01835</t>
  </si>
  <si>
    <t>L/R CONCIERGE - NETTOYAGE</t>
  </si>
  <si>
    <t>H01840</t>
  </si>
  <si>
    <t>L/R ENT EQUIPMENT</t>
  </si>
  <si>
    <t>H01841</t>
  </si>
  <si>
    <t>L/R VEH DE SERVITUDES</t>
  </si>
  <si>
    <t>H01843</t>
  </si>
  <si>
    <t>L/R LOCATION EQUIPEMENT</t>
  </si>
  <si>
    <t>H01844</t>
  </si>
  <si>
    <t>L/R TRAITEMENT DONNEES</t>
  </si>
  <si>
    <t>H01846</t>
  </si>
  <si>
    <t>L/R DEPLACEMENT-REPRESENT</t>
  </si>
  <si>
    <t>H01847</t>
  </si>
  <si>
    <t>L/R TELEPHONE-TELEGRAMMES</t>
  </si>
  <si>
    <t>H01848</t>
  </si>
  <si>
    <t>L/R FRAIS POSTAUX</t>
  </si>
  <si>
    <t>H01852</t>
  </si>
  <si>
    <t>L/R DIVERS</t>
  </si>
  <si>
    <t>H01860</t>
  </si>
  <si>
    <t>L/R LOYER INT HYPOTH.</t>
  </si>
  <si>
    <t>H01861</t>
  </si>
  <si>
    <t>L/R AMORT AMELIOR  LOC</t>
  </si>
  <si>
    <t>H01862</t>
  </si>
  <si>
    <t>L/R ENTRERIEN PROPRIÉTÉ</t>
  </si>
  <si>
    <t>H01863</t>
  </si>
  <si>
    <t>L/R TAXES PROPRIÉTÉ</t>
  </si>
  <si>
    <t>H01864</t>
  </si>
  <si>
    <t>L/R ASSURANCE BATIMENT</t>
  </si>
  <si>
    <t>H01865</t>
  </si>
  <si>
    <t>L/R AMORT BATIMENT</t>
  </si>
  <si>
    <t>H01868</t>
  </si>
  <si>
    <t>L/R TAXES AFFAIRES-AUTRE</t>
  </si>
  <si>
    <t>H01869</t>
  </si>
  <si>
    <t>L/R AMORT EQUIP &amp; INSTALL</t>
  </si>
  <si>
    <t>H01870</t>
  </si>
  <si>
    <t>L/R ASSURANCE GENERALE</t>
  </si>
  <si>
    <t>H01874</t>
  </si>
  <si>
    <t>L/R EAU/ELECT./CHAUFFAGE</t>
  </si>
  <si>
    <t>H01876</t>
  </si>
  <si>
    <t>L/R VERIF COMPTABLE</t>
  </si>
  <si>
    <t>H01877</t>
  </si>
  <si>
    <t>L/R COTISATIONS SOUSCRIP.</t>
  </si>
  <si>
    <t>H01879</t>
  </si>
  <si>
    <t>L/R DONATIONS</t>
  </si>
  <si>
    <t>H02801</t>
  </si>
  <si>
    <t>DIS SALAIRES VENTES DIR</t>
  </si>
  <si>
    <t>H02820</t>
  </si>
  <si>
    <t>DIS ADM SALAIRES DIR DEP</t>
  </si>
  <si>
    <t>H02821</t>
  </si>
  <si>
    <t>DIS SALAIRES -AUTRES</t>
  </si>
  <si>
    <t>H02822</t>
  </si>
  <si>
    <t>DIS PROMOTION</t>
  </si>
  <si>
    <t>H02823</t>
  </si>
  <si>
    <t>DIS ABS. &amp; CONGES PAYES</t>
  </si>
  <si>
    <t>H02824</t>
  </si>
  <si>
    <t>DIS CSST</t>
  </si>
  <si>
    <t>H02825</t>
  </si>
  <si>
    <t>DIS ASSURANCE CHOMAGE</t>
  </si>
  <si>
    <t>H02826</t>
  </si>
  <si>
    <t>DIS ASSURANCE GROUPE</t>
  </si>
  <si>
    <t>H02827</t>
  </si>
  <si>
    <t>DIS AUTRES AV. SOCIAUX</t>
  </si>
  <si>
    <t>H02828</t>
  </si>
  <si>
    <t>DIS FORMATION</t>
  </si>
  <si>
    <t>H02830</t>
  </si>
  <si>
    <t>DIS PAPETRIE-FOUR. BUREAU</t>
  </si>
  <si>
    <t>H02831</t>
  </si>
  <si>
    <t>DIS OUTILLAGE-FOUR.DIVERS</t>
  </si>
  <si>
    <t>H02834</t>
  </si>
  <si>
    <t>DIS UNIFORMES-SALOPETTES</t>
  </si>
  <si>
    <t>H02835</t>
  </si>
  <si>
    <t>DIS CONCIERGE-NETTOYAGE</t>
  </si>
  <si>
    <t>H02837</t>
  </si>
  <si>
    <t>DIS PRATIQUES COURTOISIE</t>
  </si>
  <si>
    <t>H02838</t>
  </si>
  <si>
    <t>DIS PUBLICITE &amp; PROMO</t>
  </si>
  <si>
    <t>H02840</t>
  </si>
  <si>
    <t>DIS ENT EQUIPMENT</t>
  </si>
  <si>
    <t>H02841</t>
  </si>
  <si>
    <t>DIS VEH DE SERVITUDES</t>
  </si>
  <si>
    <t>H02843</t>
  </si>
  <si>
    <t>DIS LOCATION EQUIPEMENT</t>
  </si>
  <si>
    <t>H02844</t>
  </si>
  <si>
    <t>DIS TRAITEMENT DONNEES</t>
  </si>
  <si>
    <t>H02845</t>
  </si>
  <si>
    <t>DIS FRAIS REPRES/REPAS</t>
  </si>
  <si>
    <t>H02846</t>
  </si>
  <si>
    <t>DIS DEPLACEMENT-REPRESENT</t>
  </si>
  <si>
    <t>H02847</t>
  </si>
  <si>
    <t>DIS TELEPHONE-TELEGRAMMES</t>
  </si>
  <si>
    <t>H02848</t>
  </si>
  <si>
    <t>DIS FRAIS POSTAUX</t>
  </si>
  <si>
    <t>H02849</t>
  </si>
  <si>
    <t>DIS FRET &amp; MESSAGERIE</t>
  </si>
  <si>
    <t>H02852</t>
  </si>
  <si>
    <t>DIS FRAIS DIVERS</t>
  </si>
  <si>
    <t>H02860</t>
  </si>
  <si>
    <t>DIS LOYER INT HYPOTH.</t>
  </si>
  <si>
    <t>H02861</t>
  </si>
  <si>
    <t>DIS AMORT AMELIOR  LOC</t>
  </si>
  <si>
    <t>H02862</t>
  </si>
  <si>
    <t>DIS ENTRERIEN PROPRIETE</t>
  </si>
  <si>
    <t>H02863</t>
  </si>
  <si>
    <t>DIS TAXES PROPRIETE</t>
  </si>
  <si>
    <t>H02864</t>
  </si>
  <si>
    <t>DIS ASSURANCE BATIMENT</t>
  </si>
  <si>
    <t>H02865</t>
  </si>
  <si>
    <t>DIS AMORT BATIMENT</t>
  </si>
  <si>
    <t>H02868</t>
  </si>
  <si>
    <t>DIS TAXES AFFAIRES&amp;AUTRES</t>
  </si>
  <si>
    <t>H02869</t>
  </si>
  <si>
    <t>DIS AMORT EQUIP &amp; INSTALL</t>
  </si>
  <si>
    <t>H02870</t>
  </si>
  <si>
    <t>DIS ASSURANCE GENERALE</t>
  </si>
  <si>
    <t>H02874</t>
  </si>
  <si>
    <t>DIS EAU/ELECT/CHAUFFAGE</t>
  </si>
  <si>
    <t>H02876</t>
  </si>
  <si>
    <t>DIS VERIF. COMPTABLE</t>
  </si>
  <si>
    <t>H02877</t>
  </si>
  <si>
    <t>DIS COTISATIONS SOUSCRIP.</t>
  </si>
  <si>
    <t>H02879</t>
  </si>
  <si>
    <t>DIS DONATIONS</t>
  </si>
  <si>
    <t>H02880</t>
  </si>
  <si>
    <t>DIS-IMM &amp; PERMIS/CIE SEUL</t>
  </si>
  <si>
    <t>H02881</t>
  </si>
  <si>
    <t>H02921</t>
  </si>
  <si>
    <t>ADMIN SALAIRES AUTRES</t>
  </si>
  <si>
    <t>H02923</t>
  </si>
  <si>
    <t>ADMIN ABS CONGES PAYES</t>
  </si>
  <si>
    <t>H02924</t>
  </si>
  <si>
    <t>ADMIN CSST</t>
  </si>
  <si>
    <t>H02925</t>
  </si>
  <si>
    <t>ADMIN ASSURANCE CHOMAGE</t>
  </si>
  <si>
    <t>H02926</t>
  </si>
  <si>
    <t>ADMIN ASSURANCE GROUPE</t>
  </si>
  <si>
    <t>H02927</t>
  </si>
  <si>
    <t>ADMIN AUTRES AV. SOCIAUX</t>
  </si>
  <si>
    <t>H02928</t>
  </si>
  <si>
    <t>ADMIN FORMATION</t>
  </si>
  <si>
    <t>H02930</t>
  </si>
  <si>
    <t>ADMIN PAPETERIE FOURN BUR</t>
  </si>
  <si>
    <t>H02931</t>
  </si>
  <si>
    <t>ADMIN OUTIL FOURN DIVERS</t>
  </si>
  <si>
    <t>H02934</t>
  </si>
  <si>
    <t>ADMIN UNIFORMES SALOPETTE</t>
  </si>
  <si>
    <t>H02935</t>
  </si>
  <si>
    <t>ADMIN CONCIERGE NETTOYE</t>
  </si>
  <si>
    <t>H02940</t>
  </si>
  <si>
    <t>ENT EQUIPEMENT HERELLE</t>
  </si>
  <si>
    <t>H02944</t>
  </si>
  <si>
    <t>INTERNET HERELLE 4 DEPT</t>
  </si>
  <si>
    <t>H02946</t>
  </si>
  <si>
    <t>FRAIS REP. HERELLE</t>
  </si>
  <si>
    <t>H02947</t>
  </si>
  <si>
    <t>TELEPHONE HERELLE</t>
  </si>
  <si>
    <t>H02952</t>
  </si>
  <si>
    <t>DIVERS 4 DEPT HERELLE</t>
  </si>
  <si>
    <t>H02960</t>
  </si>
  <si>
    <t>LOYER HERELLE 4 DEPTS</t>
  </si>
  <si>
    <t>H02962</t>
  </si>
  <si>
    <t>DIS ENTRETIEN HERELLE</t>
  </si>
  <si>
    <t>H02963</t>
  </si>
  <si>
    <t>TAXES HERELLE 4 DEPT</t>
  </si>
  <si>
    <t>H02970</t>
  </si>
  <si>
    <t>ASSURANCES HERELLE 4 DEPT</t>
  </si>
  <si>
    <t>H02974</t>
  </si>
  <si>
    <t>ELECT. GAZ METRO 4 DEPT</t>
  </si>
  <si>
    <t>H10100</t>
  </si>
  <si>
    <t>A</t>
  </si>
  <si>
    <t>H10110</t>
  </si>
  <si>
    <t>H10120</t>
  </si>
  <si>
    <t>PETITE CAISSE SERVICE</t>
  </si>
  <si>
    <t>H10200</t>
  </si>
  <si>
    <t>ENCAISSE</t>
  </si>
  <si>
    <t>H10256</t>
  </si>
  <si>
    <t>TEMPO GL POUR CRE</t>
  </si>
  <si>
    <t>H10257</t>
  </si>
  <si>
    <t>TEMPO GL POUR CAP</t>
  </si>
  <si>
    <t>H10300</t>
  </si>
  <si>
    <t>BULK</t>
  </si>
  <si>
    <t>B</t>
  </si>
  <si>
    <t>H10400</t>
  </si>
  <si>
    <t>BANQUE TD CANADA TRUST</t>
  </si>
  <si>
    <t>H10500</t>
  </si>
  <si>
    <t>RBC NO 2</t>
  </si>
  <si>
    <t>H10600</t>
  </si>
  <si>
    <t>BANQUE RBC</t>
  </si>
  <si>
    <t>H10700</t>
  </si>
  <si>
    <t>CONTRAT FINANCE TRASIT</t>
  </si>
  <si>
    <t>V</t>
  </si>
  <si>
    <t>H10800</t>
  </si>
  <si>
    <t>TITRES NEGOCIABLES</t>
  </si>
  <si>
    <t>H10900</t>
  </si>
  <si>
    <t>VENTES AU COMPTANT</t>
  </si>
  <si>
    <t>H11000</t>
  </si>
  <si>
    <t>COMPTE PROV. IMM.</t>
  </si>
  <si>
    <t>H11100</t>
  </si>
  <si>
    <t>AUTRES</t>
  </si>
  <si>
    <t>H11300</t>
  </si>
  <si>
    <t>RECEVABLES DE CIBC</t>
  </si>
  <si>
    <t>H11400</t>
  </si>
  <si>
    <t>RECEVABLES NETS - LOC.</t>
  </si>
  <si>
    <t>H11500</t>
  </si>
  <si>
    <t>A/R PIECE &amp; SERVICE</t>
  </si>
  <si>
    <t>H11510</t>
  </si>
  <si>
    <t>A/R FORTUNE</t>
  </si>
  <si>
    <t>H11520</t>
  </si>
  <si>
    <t>RABAIS VENTE ENT SERVICE</t>
  </si>
  <si>
    <t>H11530</t>
  </si>
  <si>
    <t>RABAIS CHANG HUILE GRAT</t>
  </si>
  <si>
    <t>H11540</t>
  </si>
  <si>
    <t>CREDIT PIECE ET SERVICE</t>
  </si>
  <si>
    <t>H11550</t>
  </si>
  <si>
    <t>COMPTE RSV CREDIT FUTUR</t>
  </si>
  <si>
    <t>H11600</t>
  </si>
  <si>
    <t>COMPTES VEHICULE A REC.</t>
  </si>
  <si>
    <t>H11601</t>
  </si>
  <si>
    <t>A RECEVOIR VENDEUR</t>
  </si>
  <si>
    <t>T</t>
  </si>
  <si>
    <t>H11610</t>
  </si>
  <si>
    <t>H11700</t>
  </si>
  <si>
    <t>COMPTE A RECEVOIR  H.A.C.</t>
  </si>
  <si>
    <t>H11701</t>
  </si>
  <si>
    <t>CONTRIBUTION DEALER H.A.C</t>
  </si>
  <si>
    <t>H11702</t>
  </si>
  <si>
    <t>HOLDBACK A RECEVOIR</t>
  </si>
  <si>
    <t>H11710</t>
  </si>
  <si>
    <t>PDI A VENIR</t>
  </si>
  <si>
    <t>H11900</t>
  </si>
  <si>
    <t>A/R INTER-SOCIETE</t>
  </si>
  <si>
    <t>N</t>
  </si>
  <si>
    <t>H11901</t>
  </si>
  <si>
    <t>FIDUCIE MAXIME ALLARD</t>
  </si>
  <si>
    <t>H11902</t>
  </si>
  <si>
    <t>FIDUCIE ROZON</t>
  </si>
  <si>
    <t>H11903</t>
  </si>
  <si>
    <t>INTERCO-9510-1309 QC INC</t>
  </si>
  <si>
    <t>H11904</t>
  </si>
  <si>
    <t>INTERCO-9509-9016 QC INC</t>
  </si>
  <si>
    <t>H11905</t>
  </si>
  <si>
    <t>INTERCO-HÉRELLE</t>
  </si>
  <si>
    <t>H11906</t>
  </si>
  <si>
    <t>INTERCO-STE-MARIE AUTOMOB</t>
  </si>
  <si>
    <t>H11907</t>
  </si>
  <si>
    <t>INTERCO-13721515 QC INC</t>
  </si>
  <si>
    <t>H11908</t>
  </si>
  <si>
    <t>INTERCO-BMW SHERBROOKE</t>
  </si>
  <si>
    <t>H12000</t>
  </si>
  <si>
    <t>RECLAMATION GAR. HYUNDAI</t>
  </si>
  <si>
    <t>H12001</t>
  </si>
  <si>
    <t>RECLAMATION GAR. AUTRES</t>
  </si>
  <si>
    <t>H12090</t>
  </si>
  <si>
    <t>NE PAS UTILISER</t>
  </si>
  <si>
    <t>H12100</t>
  </si>
  <si>
    <t>RECLAMATION DE TRANSPORT</t>
  </si>
  <si>
    <t>H12200</t>
  </si>
  <si>
    <t>CARTES DE CREDIT</t>
  </si>
  <si>
    <t>H12300</t>
  </si>
  <si>
    <t>VOIR COMPTE 126</t>
  </si>
  <si>
    <t>H12500</t>
  </si>
  <si>
    <t>PROV. CREANCES DOUTEUSES</t>
  </si>
  <si>
    <t>H12600</t>
  </si>
  <si>
    <t>RISTOURNE DE FINANCES</t>
  </si>
  <si>
    <t>H13000</t>
  </si>
  <si>
    <t>VEHICULES NEUFS - HYUNDAI</t>
  </si>
  <si>
    <t>W</t>
  </si>
  <si>
    <t>H13001</t>
  </si>
  <si>
    <t>NEUF CAMIONS HYUNDAI</t>
  </si>
  <si>
    <t>H13003</t>
  </si>
  <si>
    <t>VEH. VERT HYUNDAI</t>
  </si>
  <si>
    <t>H13100</t>
  </si>
  <si>
    <t>VEHICULES NEUFS AUTRES</t>
  </si>
  <si>
    <t>H13600</t>
  </si>
  <si>
    <t>DEMONSTRATEUR - HYUNDAI</t>
  </si>
  <si>
    <t>H13700</t>
  </si>
  <si>
    <t>VEHICULES LOUE A L/T</t>
  </si>
  <si>
    <t>H13800</t>
  </si>
  <si>
    <t>VEHICULES D OCCASSION</t>
  </si>
  <si>
    <t>H13801</t>
  </si>
  <si>
    <t>VEHICULES OCC AUTRES</t>
  </si>
  <si>
    <t>H13802</t>
  </si>
  <si>
    <t>VEHICULES OCC CERTIF HYUN</t>
  </si>
  <si>
    <t>H13900</t>
  </si>
  <si>
    <t>VEHICULE LOCATION A C.T</t>
  </si>
  <si>
    <t>H14100</t>
  </si>
  <si>
    <t>ESSENCE INV. EN GROS</t>
  </si>
  <si>
    <t>H14400</t>
  </si>
  <si>
    <t>PIECES &amp; ACCESS.-HYUNDAI</t>
  </si>
  <si>
    <t>H14401</t>
  </si>
  <si>
    <t>ACCESSOIRES HYUNDAI</t>
  </si>
  <si>
    <t>H14500</t>
  </si>
  <si>
    <t>PIECES &amp; ACCESS.-F&amp;I</t>
  </si>
  <si>
    <t>H14501</t>
  </si>
  <si>
    <t>ACCESSOIRES AUTRES</t>
  </si>
  <si>
    <t>H14800</t>
  </si>
  <si>
    <t>H14900</t>
  </si>
  <si>
    <t>REPARATION SOUSTRAITTANCE</t>
  </si>
  <si>
    <t>H15000</t>
  </si>
  <si>
    <t>MAIN-D'OEUVRE - MECANO</t>
  </si>
  <si>
    <t>H15100</t>
  </si>
  <si>
    <t>ESSENCE-HUILE-GRAISSE</t>
  </si>
  <si>
    <t>H15200</t>
  </si>
  <si>
    <t>FOURN. ATELIER &amp; PEINTURE</t>
  </si>
  <si>
    <t>H15400</t>
  </si>
  <si>
    <t>LOYER PAYE D'AVANCE</t>
  </si>
  <si>
    <t>H15500</t>
  </si>
  <si>
    <t>IMPOT PAYE D'AVANCE</t>
  </si>
  <si>
    <t>H15510</t>
  </si>
  <si>
    <t>TAXES PAYÉ D'AVANCE</t>
  </si>
  <si>
    <t>H15600</t>
  </si>
  <si>
    <t>ASSURANCE PAYÉ D'AVANCE</t>
  </si>
  <si>
    <t>H15610</t>
  </si>
  <si>
    <t>ASSURANCE</t>
  </si>
  <si>
    <t>H15700</t>
  </si>
  <si>
    <t>C.S.S.T.</t>
  </si>
  <si>
    <t>H15800</t>
  </si>
  <si>
    <t>DIVERS PAYÉ D'AVANCE</t>
  </si>
  <si>
    <t>H15801</t>
  </si>
  <si>
    <t>PLAQUES PAYÉ D'AVANCE</t>
  </si>
  <si>
    <t>H15900</t>
  </si>
  <si>
    <t>AVOCAT PAYÉ D'AVANCE</t>
  </si>
  <si>
    <t>H16000</t>
  </si>
  <si>
    <t>VÉRIF PAYÉ D'AVANCE</t>
  </si>
  <si>
    <t>H16100</t>
  </si>
  <si>
    <t>OTHER CURRENT ASSETS</t>
  </si>
  <si>
    <t>H16500</t>
  </si>
  <si>
    <t>TERRAIN</t>
  </si>
  <si>
    <t>H16700</t>
  </si>
  <si>
    <t>BATIMENTS</t>
  </si>
  <si>
    <t>H16800</t>
  </si>
  <si>
    <t>AMORT-BATIMENTS</t>
  </si>
  <si>
    <t>H17000</t>
  </si>
  <si>
    <t>INSTALLATIONS FIXES</t>
  </si>
  <si>
    <t>H17100</t>
  </si>
  <si>
    <t>AMORT-INSTALLATIONS FIXES</t>
  </si>
  <si>
    <t>H17200</t>
  </si>
  <si>
    <t>AMELIORATIONS LOCATIVES</t>
  </si>
  <si>
    <t>H17300</t>
  </si>
  <si>
    <t>AMORT-AMELIORATIONS LOC.</t>
  </si>
  <si>
    <t>H17400</t>
  </si>
  <si>
    <t>EQUIPEMENT DE BUREAU</t>
  </si>
  <si>
    <t>H17500</t>
  </si>
  <si>
    <t>AMORT-EQUIP DE BUREAU</t>
  </si>
  <si>
    <t>H17600</t>
  </si>
  <si>
    <t>EQUIP DU SERVICE PIECES</t>
  </si>
  <si>
    <t>H17700</t>
  </si>
  <si>
    <t>AMORT- EQUIP DES PIECES</t>
  </si>
  <si>
    <t>H17800</t>
  </si>
  <si>
    <t>EQUIPEMENT DU SERVICE</t>
  </si>
  <si>
    <t>H17900</t>
  </si>
  <si>
    <t>AMORT-EQUIPEMENT DU SERV</t>
  </si>
  <si>
    <t>H18100</t>
  </si>
  <si>
    <t>H18200</t>
  </si>
  <si>
    <t>AMORT-ENSEIGNES</t>
  </si>
  <si>
    <t>H18300</t>
  </si>
  <si>
    <t>VEHICULES DE SERVITUDE</t>
  </si>
  <si>
    <t>H18400</t>
  </si>
  <si>
    <t>AMORT- VEHICULES SERVICE</t>
  </si>
  <si>
    <t>H18500</t>
  </si>
  <si>
    <t>H18600</t>
  </si>
  <si>
    <t>AMORT-EQUIPEMENT INFO.</t>
  </si>
  <si>
    <t>H18700</t>
  </si>
  <si>
    <t>PAVAGE</t>
  </si>
  <si>
    <t>H18710</t>
  </si>
  <si>
    <t>AMORT - PAVAGE</t>
  </si>
  <si>
    <t>H18800</t>
  </si>
  <si>
    <t>CAUTIONNEMENT REMBOURS.</t>
  </si>
  <si>
    <t>H18900</t>
  </si>
  <si>
    <t>TITRES DE PLACEMENT</t>
  </si>
  <si>
    <t>H19000</t>
  </si>
  <si>
    <t>FRAIS DE CONSTITUTION</t>
  </si>
  <si>
    <t>H19200</t>
  </si>
  <si>
    <t>AVANCE AUX ADMINISTRATEUR</t>
  </si>
  <si>
    <t>H19500</t>
  </si>
  <si>
    <t>H19600</t>
  </si>
  <si>
    <t>PARTICIPATION SOC. FIN.</t>
  </si>
  <si>
    <t>H19900</t>
  </si>
  <si>
    <t>AUTES ACTIF GESTION IMMO</t>
  </si>
  <si>
    <t>H19902</t>
  </si>
  <si>
    <t>AMORT CUMULE-RELATION CLI</t>
  </si>
  <si>
    <t>H20100</t>
  </si>
  <si>
    <t>PRET BANCAIRE</t>
  </si>
  <si>
    <t>H20200</t>
  </si>
  <si>
    <t>H20500</t>
  </si>
  <si>
    <t>FLOOR PLAN - NEUF</t>
  </si>
  <si>
    <t>F</t>
  </si>
  <si>
    <t>H20700</t>
  </si>
  <si>
    <t>FLOOR PLAN - OCCASION</t>
  </si>
  <si>
    <t>H20800</t>
  </si>
  <si>
    <t>FLOOR PLAN - DEMO &amp; COURT</t>
  </si>
  <si>
    <t>H20900</t>
  </si>
  <si>
    <t>FLOOR PLAN - AUTRES</t>
  </si>
  <si>
    <t>H21000</t>
  </si>
  <si>
    <t>DROITS DE RETENTION VEH.</t>
  </si>
  <si>
    <t>H21100</t>
  </si>
  <si>
    <t>AUTRES NOTES A PAYER</t>
  </si>
  <si>
    <t>H21200</t>
  </si>
  <si>
    <t>EXIGIBLE SUR LES REPOSS.</t>
  </si>
  <si>
    <t>H21300</t>
  </si>
  <si>
    <t>GAR. PROLONGEES A PAYER</t>
  </si>
  <si>
    <t>H21400</t>
  </si>
  <si>
    <t>PAIEMENT EFF. PAR CLIENT</t>
  </si>
  <si>
    <t>H21500</t>
  </si>
  <si>
    <t>COMPTE FOURNISSEUR</t>
  </si>
  <si>
    <t>P</t>
  </si>
  <si>
    <t>H21510</t>
  </si>
  <si>
    <t>COMPTE FOURNISSEUR AUTRE</t>
  </si>
  <si>
    <t>H21520</t>
  </si>
  <si>
    <t>COMPTE A PAYER - IA</t>
  </si>
  <si>
    <t>H21530</t>
  </si>
  <si>
    <t>COMPTE A PAYER - SYM-TECH</t>
  </si>
  <si>
    <t>H21600</t>
  </si>
  <si>
    <t>COMPTE FOURN HYUNDAI CAN</t>
  </si>
  <si>
    <t>H21601</t>
  </si>
  <si>
    <t>COMPTE FOURN BAL FORWARD</t>
  </si>
  <si>
    <t>H21700</t>
  </si>
  <si>
    <t>RETENUE FISCALES-EMPLOYES</t>
  </si>
  <si>
    <t>H21710</t>
  </si>
  <si>
    <t>PENSION ALIMENTAIRE PAYER</t>
  </si>
  <si>
    <t>H21800</t>
  </si>
  <si>
    <t>RPDB- REER COLLECTIF</t>
  </si>
  <si>
    <t>H21810</t>
  </si>
  <si>
    <t>DEDUCTIBLE DEMO</t>
  </si>
  <si>
    <t>H21900</t>
  </si>
  <si>
    <t>COMITE PARITAIRE IND AUTO</t>
  </si>
  <si>
    <t>H21910</t>
  </si>
  <si>
    <t>H22000</t>
  </si>
  <si>
    <t>H22010</t>
  </si>
  <si>
    <t>RTI(TVQ) A RECEVOIR</t>
  </si>
  <si>
    <t>H22020</t>
  </si>
  <si>
    <t>TAXES DE PNEUS</t>
  </si>
  <si>
    <t>H22050</t>
  </si>
  <si>
    <t>TPS &amp; TVQ A RECEVOIR</t>
  </si>
  <si>
    <t>H22060</t>
  </si>
  <si>
    <t>TPS &amp; TVQ A PAYER</t>
  </si>
  <si>
    <t>H22070</t>
  </si>
  <si>
    <t>TPA - ASS REMPLACEMENT</t>
  </si>
  <si>
    <t>H22080</t>
  </si>
  <si>
    <t>TVQ SAAQ</t>
  </si>
  <si>
    <t>H22100</t>
  </si>
  <si>
    <t>COMMISSIONS VENDEURS</t>
  </si>
  <si>
    <t>H22101</t>
  </si>
  <si>
    <t>BONI A PAYER</t>
  </si>
  <si>
    <t>H22110</t>
  </si>
  <si>
    <t>COMMISSIONS F&amp;I</t>
  </si>
  <si>
    <t>H22120</t>
  </si>
  <si>
    <t>COMM. A PAYER FORTUNE</t>
  </si>
  <si>
    <t>H22200</t>
  </si>
  <si>
    <t>DEPOTS CLIENTS</t>
  </si>
  <si>
    <t>H22300</t>
  </si>
  <si>
    <t>H22310</t>
  </si>
  <si>
    <t>CTI(TPS) A RECEVOIR</t>
  </si>
  <si>
    <t>H22330</t>
  </si>
  <si>
    <t>TAXE DE LUXE</t>
  </si>
  <si>
    <t>H22350</t>
  </si>
  <si>
    <t>H22360</t>
  </si>
  <si>
    <t>H22370</t>
  </si>
  <si>
    <t>TVH ONTARIO 13%</t>
  </si>
  <si>
    <t>H22400</t>
  </si>
  <si>
    <t>PPH A PAYER</t>
  </si>
  <si>
    <t>H22410</t>
  </si>
  <si>
    <t>RESERVE DOMMAGE VEH NEUF</t>
  </si>
  <si>
    <t>H22415</t>
  </si>
  <si>
    <t>RESERVE F&amp;I NEUF + USED</t>
  </si>
  <si>
    <t>H22416</t>
  </si>
  <si>
    <t>RESERVE DOMMAGE SERVICE</t>
  </si>
  <si>
    <t>H22417</t>
  </si>
  <si>
    <t>RESERVE PARTY-EMPLOYES</t>
  </si>
  <si>
    <t>H22420</t>
  </si>
  <si>
    <t>PROGRAMME ENTRETIEN</t>
  </si>
  <si>
    <t>H22430</t>
  </si>
  <si>
    <t>DEDUCTIBLE DEMOS</t>
  </si>
  <si>
    <t>H22440</t>
  </si>
  <si>
    <t>RES FRAIS DEMO FONC</t>
  </si>
  <si>
    <t>H22450</t>
  </si>
  <si>
    <t>TAXES</t>
  </si>
  <si>
    <t>H22460</t>
  </si>
  <si>
    <t>ASSURANCES</t>
  </si>
  <si>
    <t>H22490</t>
  </si>
  <si>
    <t>ACCESS VENDU NON INSTALLÉ</t>
  </si>
  <si>
    <t>H22500</t>
  </si>
  <si>
    <t>PAIE NET A PAYER</t>
  </si>
  <si>
    <t>H22500E</t>
  </si>
  <si>
    <t>SALAIRES A PAYER - IN/OUT</t>
  </si>
  <si>
    <t>H22500G</t>
  </si>
  <si>
    <t>DEDUCTIONS A PAYER/IN-OUT</t>
  </si>
  <si>
    <t>G</t>
  </si>
  <si>
    <t>H22600</t>
  </si>
  <si>
    <t>VACANCES &amp; CONGES A PAYES</t>
  </si>
  <si>
    <t>H22700</t>
  </si>
  <si>
    <t>INTERETS COURUS</t>
  </si>
  <si>
    <t>H22800</t>
  </si>
  <si>
    <t>RESERVE DIVERS</t>
  </si>
  <si>
    <t>H22810</t>
  </si>
  <si>
    <t>RESERVE WHOLESALE WH</t>
  </si>
  <si>
    <t>H22820</t>
  </si>
  <si>
    <t>RESERVE HPP USED</t>
  </si>
  <si>
    <t>H22830</t>
  </si>
  <si>
    <t>RESERVE PARE-BRISE/HASARD</t>
  </si>
  <si>
    <t>H22840</t>
  </si>
  <si>
    <t>RESERVE ENT ESTHETIQUE</t>
  </si>
  <si>
    <t>H22850</t>
  </si>
  <si>
    <t>RESERVE PNEUS REMISAGE</t>
  </si>
  <si>
    <t>H22860</t>
  </si>
  <si>
    <t>RESERVE CORE HYUNDAI INCI</t>
  </si>
  <si>
    <t>H22870</t>
  </si>
  <si>
    <t>RESERVE MOTEURS</t>
  </si>
  <si>
    <t>H22900</t>
  </si>
  <si>
    <t>MACHINE A CAFE</t>
  </si>
  <si>
    <t>H22901</t>
  </si>
  <si>
    <t>HOLDBACK</t>
  </si>
  <si>
    <t>H23100</t>
  </si>
  <si>
    <t>IMPOT-ANNEE COURANT</t>
  </si>
  <si>
    <t>H23105</t>
  </si>
  <si>
    <t>ACC PROVISIONNEL PROVINCI</t>
  </si>
  <si>
    <t>H23110</t>
  </si>
  <si>
    <t>ACC PROVISIONNEL FÉDÉRAL</t>
  </si>
  <si>
    <t>H23200</t>
  </si>
  <si>
    <t>TAXES FED &amp; PROV(PERIODES</t>
  </si>
  <si>
    <t>H23300</t>
  </si>
  <si>
    <t>IMPOTS CEDUL. PAYES AV.</t>
  </si>
  <si>
    <t>H23310</t>
  </si>
  <si>
    <t>IMPOT CEDUL P. AV FED</t>
  </si>
  <si>
    <t>H23330</t>
  </si>
  <si>
    <t>TACE DE LUXE</t>
  </si>
  <si>
    <t>H23400</t>
  </si>
  <si>
    <t>PARTI COURANTES DETTE L/T</t>
  </si>
  <si>
    <t>H23410</t>
  </si>
  <si>
    <t>MOINS PARTI COUR DETTE LT</t>
  </si>
  <si>
    <t>H23500</t>
  </si>
  <si>
    <t>AUTRES DETTES COURANTES</t>
  </si>
  <si>
    <t>H24000</t>
  </si>
  <si>
    <t>EFFETS A PAYER</t>
  </si>
  <si>
    <t>H24600</t>
  </si>
  <si>
    <t>HYPOTHEQUE(S) IMMOBILIERE</t>
  </si>
  <si>
    <t>H24900</t>
  </si>
  <si>
    <t>HYPOTHEQUE(S) MOBILIERE(S</t>
  </si>
  <si>
    <t>H25600</t>
  </si>
  <si>
    <t>REPRISE DE POSSESSION</t>
  </si>
  <si>
    <t>H26000</t>
  </si>
  <si>
    <t>PRETS AUX ADM&amp;ACTIONNAIRE</t>
  </si>
  <si>
    <t>H26010</t>
  </si>
  <si>
    <t>PRET ACT. 170924 CDA IN</t>
  </si>
  <si>
    <t>H26011</t>
  </si>
  <si>
    <t>BALANCE DE PRIX DE VENTE</t>
  </si>
  <si>
    <t>H26020</t>
  </si>
  <si>
    <t>AVANCE FIDUCIE JEAN ROZON</t>
  </si>
  <si>
    <t>H26021</t>
  </si>
  <si>
    <t>AVANCES AVEC STE-MARIE</t>
  </si>
  <si>
    <t>H26900</t>
  </si>
  <si>
    <t>AVANCE CIBC</t>
  </si>
  <si>
    <t>H28000</t>
  </si>
  <si>
    <t>CAPITAL-ACTIONS ORDINAIRE</t>
  </si>
  <si>
    <t>H28010</t>
  </si>
  <si>
    <t>CAPITAL ACTION CAT A</t>
  </si>
  <si>
    <t>H28011</t>
  </si>
  <si>
    <t>CAPITAL ACTION BA</t>
  </si>
  <si>
    <t>H28012</t>
  </si>
  <si>
    <t>CAPITAL ACTION C</t>
  </si>
  <si>
    <t>H28020</t>
  </si>
  <si>
    <t>CAPITAL ACTION CAT B</t>
  </si>
  <si>
    <t>H28030</t>
  </si>
  <si>
    <t>CAPITAL ACTION CAT C</t>
  </si>
  <si>
    <t>H28040</t>
  </si>
  <si>
    <t>CAPITAL ACTION CAT D</t>
  </si>
  <si>
    <t>H28050</t>
  </si>
  <si>
    <t>CAPITAL ACTION CAT E</t>
  </si>
  <si>
    <t>H28060</t>
  </si>
  <si>
    <t>CAPITAL ACTION CAT F</t>
  </si>
  <si>
    <t>H28070</t>
  </si>
  <si>
    <t>CAPITAL ACTION CAT G</t>
  </si>
  <si>
    <t>H28080</t>
  </si>
  <si>
    <t>SURPLUS APPORT CAT '' F '</t>
  </si>
  <si>
    <t>H28090</t>
  </si>
  <si>
    <t>SURPLUS APPORT CAT G</t>
  </si>
  <si>
    <t>H28200</t>
  </si>
  <si>
    <t>SURPLUS D APPORT CAPITAL</t>
  </si>
  <si>
    <t>H28210</t>
  </si>
  <si>
    <t>SURPLUS APPORT CAT F</t>
  </si>
  <si>
    <t>H28220</t>
  </si>
  <si>
    <t>H28500</t>
  </si>
  <si>
    <t>BENEFICE NON REPARTI</t>
  </si>
  <si>
    <t>H28700</t>
  </si>
  <si>
    <t>INVESTISS DES ASSOCIES</t>
  </si>
  <si>
    <t>H29000</t>
  </si>
  <si>
    <t>RETRAITS DIVIDENDES</t>
  </si>
  <si>
    <t>H29002</t>
  </si>
  <si>
    <t>DIVIDENDES-CAT ¨C¨</t>
  </si>
  <si>
    <t>H29003</t>
  </si>
  <si>
    <t>DIVIDENDES-CAT ¨F¨</t>
  </si>
  <si>
    <t>H29005</t>
  </si>
  <si>
    <t>DIVIDENDES-CAT ¨D¨</t>
  </si>
  <si>
    <t>H29900</t>
  </si>
  <si>
    <t>PROFIT OR LOSS</t>
  </si>
  <si>
    <t>H29901</t>
  </si>
  <si>
    <t>PROFIT AND LOSS-CLEARING</t>
  </si>
  <si>
    <t>H30100</t>
  </si>
  <si>
    <t>VTE VEH NF ACCENT 4 P</t>
  </si>
  <si>
    <t>S</t>
  </si>
  <si>
    <t>H30101</t>
  </si>
  <si>
    <t>VTE ACCENT BERLINE  4P</t>
  </si>
  <si>
    <t>H30200</t>
  </si>
  <si>
    <t>VTE VEH NF ACCENT 5 P</t>
  </si>
  <si>
    <t>H30300</t>
  </si>
  <si>
    <t>VTE GENESIS COUPE</t>
  </si>
  <si>
    <t>H30400</t>
  </si>
  <si>
    <t>VTE SANTA FE</t>
  </si>
  <si>
    <t>H30401</t>
  </si>
  <si>
    <t>VTE SANTA FE XL</t>
  </si>
  <si>
    <t>H30402</t>
  </si>
  <si>
    <t>VTE SANTA FE HYBRIDE</t>
  </si>
  <si>
    <t>H30403</t>
  </si>
  <si>
    <t>VTE SANTA FE PHEV</t>
  </si>
  <si>
    <t>H30410</t>
  </si>
  <si>
    <t>VTE SANTA FE  LWB</t>
  </si>
  <si>
    <t>H30500</t>
  </si>
  <si>
    <t>VTE SONATA HYBRIDE</t>
  </si>
  <si>
    <t>H30600</t>
  </si>
  <si>
    <t>VTE ELANTRA TOURING</t>
  </si>
  <si>
    <t>H30601</t>
  </si>
  <si>
    <t>VTE ELANTRA</t>
  </si>
  <si>
    <t>H30602</t>
  </si>
  <si>
    <t>VTE ELANTRA COUPE</t>
  </si>
  <si>
    <t>H30603</t>
  </si>
  <si>
    <t>ELANTRA GT</t>
  </si>
  <si>
    <t>H30604</t>
  </si>
  <si>
    <t>VTE ELANTRA HYBRIDE</t>
  </si>
  <si>
    <t>H30620</t>
  </si>
  <si>
    <t>H30700</t>
  </si>
  <si>
    <t>VTE NEUFS GENESIS</t>
  </si>
  <si>
    <t>H30800</t>
  </si>
  <si>
    <t>VTE IONIQ EV ET H</t>
  </si>
  <si>
    <t>H30801</t>
  </si>
  <si>
    <t>VTE IONIQ PHEV ET EV</t>
  </si>
  <si>
    <t>H30900</t>
  </si>
  <si>
    <t>VTE KONA</t>
  </si>
  <si>
    <t>H30901</t>
  </si>
  <si>
    <t>VTE KONA EV</t>
  </si>
  <si>
    <t>H31000</t>
  </si>
  <si>
    <t>VTE SONATA</t>
  </si>
  <si>
    <t>H31100</t>
  </si>
  <si>
    <t>VTE EQUUS</t>
  </si>
  <si>
    <t>H31200</t>
  </si>
  <si>
    <t>VTE VELOSTER</t>
  </si>
  <si>
    <t>H31300</t>
  </si>
  <si>
    <t>VTE TUCSON</t>
  </si>
  <si>
    <t>H31301</t>
  </si>
  <si>
    <t>VTE TUCSON HYBRIDE</t>
  </si>
  <si>
    <t>H31302</t>
  </si>
  <si>
    <t>VTE TUCSON PHEV</t>
  </si>
  <si>
    <t>H31400</t>
  </si>
  <si>
    <t>VTE ACCESSOIRES INSTALL.</t>
  </si>
  <si>
    <t>H31500</t>
  </si>
  <si>
    <t>VTE P.P.H.</t>
  </si>
  <si>
    <t>H31600</t>
  </si>
  <si>
    <t>VTE ASSURANCE</t>
  </si>
  <si>
    <t>H31610</t>
  </si>
  <si>
    <t>VTE ASSURANCE ROUTIERE</t>
  </si>
  <si>
    <t>H31640</t>
  </si>
  <si>
    <t>H31700</t>
  </si>
  <si>
    <t>VTE REVENUS FINANCE</t>
  </si>
  <si>
    <t>H31800</t>
  </si>
  <si>
    <t>VTE CHIMIQUES</t>
  </si>
  <si>
    <t>H31810</t>
  </si>
  <si>
    <t>VTE ENREGISTR &amp; LICENSE</t>
  </si>
  <si>
    <t>H31811</t>
  </si>
  <si>
    <t>VTE ASS. USURE</t>
  </si>
  <si>
    <t>H31900</t>
  </si>
  <si>
    <t>VTE PARCS NEUF</t>
  </si>
  <si>
    <t>H31910</t>
  </si>
  <si>
    <t>VTE PARC CAMIONS</t>
  </si>
  <si>
    <t>H32000</t>
  </si>
  <si>
    <t>VTE RACHAT LOCATION</t>
  </si>
  <si>
    <t>H32100</t>
  </si>
  <si>
    <t>VTE PALISADE</t>
  </si>
  <si>
    <t>H32200</t>
  </si>
  <si>
    <t>VTE VENUE</t>
  </si>
  <si>
    <t>H32300</t>
  </si>
  <si>
    <t>VTE USAGES CERTIFIES</t>
  </si>
  <si>
    <t>H32400</t>
  </si>
  <si>
    <t>VTE OCC CERTIF HYUNDAI</t>
  </si>
  <si>
    <t>H32500</t>
  </si>
  <si>
    <t>VTE OCC DETAIL</t>
  </si>
  <si>
    <t>H32600</t>
  </si>
  <si>
    <t>REMISE EN ETAT VEH OCCASS</t>
  </si>
  <si>
    <t>H32700</t>
  </si>
  <si>
    <t>VTE OCC AUTRE DETAIL</t>
  </si>
  <si>
    <t>H32800</t>
  </si>
  <si>
    <t>REMISE ETAT VEH OCC AUTRE</t>
  </si>
  <si>
    <t>H32900</t>
  </si>
  <si>
    <t>VTE ACCOMODATION</t>
  </si>
  <si>
    <t>H32950</t>
  </si>
  <si>
    <t>DIS INC GENESIS SUV</t>
  </si>
  <si>
    <t>I</t>
  </si>
  <si>
    <t>H32999</t>
  </si>
  <si>
    <t>ECHANGE CONCESSIONNAIRE</t>
  </si>
  <si>
    <t>H33000</t>
  </si>
  <si>
    <t>H33200</t>
  </si>
  <si>
    <t>VTE OCC EN GROS</t>
  </si>
  <si>
    <t>H33201</t>
  </si>
  <si>
    <t>VTE EBLOCK - EN GROS</t>
  </si>
  <si>
    <t>H33202</t>
  </si>
  <si>
    <t>H33300</t>
  </si>
  <si>
    <t>VTE USAGE RACHAT LOCATION</t>
  </si>
  <si>
    <t>H33310</t>
  </si>
  <si>
    <t>VTE P.P.H./REVENU FINANCE</t>
  </si>
  <si>
    <t>H33320</t>
  </si>
  <si>
    <t>VTE ASSURANCE USAGES</t>
  </si>
  <si>
    <t>H33330</t>
  </si>
  <si>
    <t>VTE OCC REVENU FINANCE</t>
  </si>
  <si>
    <t>H33340</t>
  </si>
  <si>
    <t>VTE OCC CHIMIQUES</t>
  </si>
  <si>
    <t>H33350</t>
  </si>
  <si>
    <t>VTE OCC ANTIVOL</t>
  </si>
  <si>
    <t>H33360</t>
  </si>
  <si>
    <t>VTE OCC AUTRE PRODUIT</t>
  </si>
  <si>
    <t>H33390</t>
  </si>
  <si>
    <t>VTE OCC RACHAT CONT LOC</t>
  </si>
  <si>
    <t>H33400</t>
  </si>
  <si>
    <t>VTE OCC MARQUG-ANTVOL-HPP</t>
  </si>
  <si>
    <t>H33410</t>
  </si>
  <si>
    <t>VTE OCC ASSURANCE</t>
  </si>
  <si>
    <t>H33420</t>
  </si>
  <si>
    <t>H33430</t>
  </si>
  <si>
    <t>VTE OCC PRODUIT CHIMIQUE</t>
  </si>
  <si>
    <t>H33440</t>
  </si>
  <si>
    <t>H33500</t>
  </si>
  <si>
    <t>REEVALUATION DU STOCK</t>
  </si>
  <si>
    <t>H33700</t>
  </si>
  <si>
    <t>VTE SANTA CRUZ</t>
  </si>
  <si>
    <t>H33800</t>
  </si>
  <si>
    <t>VTE IONIQ 5</t>
  </si>
  <si>
    <t>H34200</t>
  </si>
  <si>
    <t>VTE IONIQ 6</t>
  </si>
  <si>
    <t>H34300</t>
  </si>
  <si>
    <t>H34400</t>
  </si>
  <si>
    <t>VTE IONIQ 9</t>
  </si>
  <si>
    <t>H35000</t>
  </si>
  <si>
    <t>VTE PCS - COMPTOIR - GROS</t>
  </si>
  <si>
    <t>D</t>
  </si>
  <si>
    <t>H35200</t>
  </si>
  <si>
    <t>VTE PCS COMPTOIR - DETAIL</t>
  </si>
  <si>
    <t>H35300</t>
  </si>
  <si>
    <t>VTE ACCESS DETAIL</t>
  </si>
  <si>
    <t>H35400</t>
  </si>
  <si>
    <t>VTE PCS B.R CLIENT - MEC</t>
  </si>
  <si>
    <t>H35410</t>
  </si>
  <si>
    <t>VTE PIECES DETAIL HPP</t>
  </si>
  <si>
    <t>H35500</t>
  </si>
  <si>
    <t>VTE PCS B.R CLIENT - CARR</t>
  </si>
  <si>
    <t>H35600</t>
  </si>
  <si>
    <t>VTE PCS B.R GARANTIE -MEC</t>
  </si>
  <si>
    <t>H35800</t>
  </si>
  <si>
    <t>VTE PCS B.R INTERNE -MEC</t>
  </si>
  <si>
    <t>H36000</t>
  </si>
  <si>
    <t>VTE PIECES DIVERSES (AUTO</t>
  </si>
  <si>
    <t>H36200</t>
  </si>
  <si>
    <t>VTE PNEUS</t>
  </si>
  <si>
    <t>H36300</t>
  </si>
  <si>
    <t>ESCOMPTE PIECES (M.S.O)</t>
  </si>
  <si>
    <t>H36400</t>
  </si>
  <si>
    <t>REGULARISATION D INV.</t>
  </si>
  <si>
    <t>H36500</t>
  </si>
  <si>
    <t>VTE FOURN CARR/PEINTURE</t>
  </si>
  <si>
    <t>H37000</t>
  </si>
  <si>
    <t>VTE M.O B.R CLIENT- MEC.</t>
  </si>
  <si>
    <t>H37010</t>
  </si>
  <si>
    <t>VTE MO HPP</t>
  </si>
  <si>
    <t>H37100</t>
  </si>
  <si>
    <t>VTE M.O B.R CLIENT- CARR</t>
  </si>
  <si>
    <t>H37200</t>
  </si>
  <si>
    <t>VTE M.O B.R GARANTIE- MEC</t>
  </si>
  <si>
    <t>H37400</t>
  </si>
  <si>
    <t>VTE M.O B.R INTERNE- MEC</t>
  </si>
  <si>
    <t>H37500</t>
  </si>
  <si>
    <t>VTE M.O B.R INTERNE- CARR</t>
  </si>
  <si>
    <t>H37600</t>
  </si>
  <si>
    <t>VTE M.O SOUS-TRAITANCE -</t>
  </si>
  <si>
    <t>H37610</t>
  </si>
  <si>
    <t>S-TRAITANCE INTERNE CARR</t>
  </si>
  <si>
    <t>H37700</t>
  </si>
  <si>
    <t>VTE M.O B.R GARANTIE- CAR</t>
  </si>
  <si>
    <t>H37800</t>
  </si>
  <si>
    <t>VTE M.O DIVERSES (AUTOS)_</t>
  </si>
  <si>
    <t>H38000</t>
  </si>
  <si>
    <t>VTE TEMPS MORT MECANIQUE</t>
  </si>
  <si>
    <t>H38100</t>
  </si>
  <si>
    <t>VTE TEMPS MORT CARR</t>
  </si>
  <si>
    <t>H38200</t>
  </si>
  <si>
    <t>VTE M.O S-TRAITANCE -MEC</t>
  </si>
  <si>
    <t>H38210</t>
  </si>
  <si>
    <t>VTE SOUS TRAITANCE HPP</t>
  </si>
  <si>
    <t>H38300</t>
  </si>
  <si>
    <t>VTE ENTREPOSAGE DE PNEU</t>
  </si>
  <si>
    <t>H38400</t>
  </si>
  <si>
    <t>VTE HUILE</t>
  </si>
  <si>
    <t>H38500</t>
  </si>
  <si>
    <t>VTE ESSENCE</t>
  </si>
  <si>
    <t>H39000</t>
  </si>
  <si>
    <t>VTE REVENUS DE LOCATION</t>
  </si>
  <si>
    <t>H39100</t>
  </si>
  <si>
    <t>REVENU LOCATION  CT &amp; LT</t>
  </si>
  <si>
    <t>H39200</t>
  </si>
  <si>
    <t>GAIN/PERTE DISPOSITION</t>
  </si>
  <si>
    <t>H39300</t>
  </si>
  <si>
    <t>AUTRE DEPARTEMENT</t>
  </si>
  <si>
    <t>H39400</t>
  </si>
  <si>
    <t>H39500</t>
  </si>
  <si>
    <t>H39600</t>
  </si>
  <si>
    <t>H39700</t>
  </si>
  <si>
    <t>H39800</t>
  </si>
  <si>
    <t>H39900</t>
  </si>
  <si>
    <t>H40100</t>
  </si>
  <si>
    <t>CT VEH NF ACCENT 4 PORTES</t>
  </si>
  <si>
    <t>C</t>
  </si>
  <si>
    <t>H40101</t>
  </si>
  <si>
    <t>CT ACCENT BERLINE 4P</t>
  </si>
  <si>
    <t>H40200</t>
  </si>
  <si>
    <t>CT VHE NF ACCENT 5 PORTES</t>
  </si>
  <si>
    <t>H40300</t>
  </si>
  <si>
    <t>CT VEH NF GENESIS COUPE</t>
  </si>
  <si>
    <t>H40400</t>
  </si>
  <si>
    <t>CT SANTA FE</t>
  </si>
  <si>
    <t>H40401</t>
  </si>
  <si>
    <t>CT SANTA FE XL</t>
  </si>
  <si>
    <t>H40402</t>
  </si>
  <si>
    <t>CT SANTA FE HYBRIDE</t>
  </si>
  <si>
    <t>H40403</t>
  </si>
  <si>
    <t>CT VENTE SANTA FE PHEV</t>
  </si>
  <si>
    <t>H40410</t>
  </si>
  <si>
    <t>CT SANTA FE  LWB</t>
  </si>
  <si>
    <t>H40500</t>
  </si>
  <si>
    <t>CT SONATA HYBRYDE</t>
  </si>
  <si>
    <t>H40600</t>
  </si>
  <si>
    <t>CT ELANTRA  TOURING</t>
  </si>
  <si>
    <t>H40601</t>
  </si>
  <si>
    <t>CT ELANTRA</t>
  </si>
  <si>
    <t>H40602</t>
  </si>
  <si>
    <t>CT ELANTRA COUPE</t>
  </si>
  <si>
    <t>H40603</t>
  </si>
  <si>
    <t>CT ELANTRA GT</t>
  </si>
  <si>
    <t>H40604</t>
  </si>
  <si>
    <t>CT ELANTRA HYBRIDE</t>
  </si>
  <si>
    <t>H40620</t>
  </si>
  <si>
    <t>H40700</t>
  </si>
  <si>
    <t>CT VEH NF GENESIS</t>
  </si>
  <si>
    <t>H40800</t>
  </si>
  <si>
    <t>CT VEH NF IONIQ EV ET H</t>
  </si>
  <si>
    <t>H40801</t>
  </si>
  <si>
    <t>CT VEH NF IONIQ HYBRIDE</t>
  </si>
  <si>
    <t>H40900</t>
  </si>
  <si>
    <t>CT KONA</t>
  </si>
  <si>
    <t>H40901</t>
  </si>
  <si>
    <t>CT KONA EV</t>
  </si>
  <si>
    <t>H41000</t>
  </si>
  <si>
    <t>CT SONATA</t>
  </si>
  <si>
    <t>H41100</t>
  </si>
  <si>
    <t>CT EQUUS</t>
  </si>
  <si>
    <t>H41200</t>
  </si>
  <si>
    <t>CT VELOSTER</t>
  </si>
  <si>
    <t>H41300</t>
  </si>
  <si>
    <t>CT VEH NF TUCSON</t>
  </si>
  <si>
    <t>H41301</t>
  </si>
  <si>
    <t>CT TUCSON HYBRID</t>
  </si>
  <si>
    <t>H41302</t>
  </si>
  <si>
    <t>CT TUCSON PHEV</t>
  </si>
  <si>
    <t>H41400</t>
  </si>
  <si>
    <t>CT ACC. INST. CONC.</t>
  </si>
  <si>
    <t>H41500</t>
  </si>
  <si>
    <t>CT P.P.H.</t>
  </si>
  <si>
    <t>H41600</t>
  </si>
  <si>
    <t>CT VEH NF REV ASSURANCE</t>
  </si>
  <si>
    <t>H41610</t>
  </si>
  <si>
    <t>CT ASSURANCE ROUTIERE</t>
  </si>
  <si>
    <t>H41640</t>
  </si>
  <si>
    <t>H41700</t>
  </si>
  <si>
    <t>CT VEH NF REV FINANCE</t>
  </si>
  <si>
    <t>H41800</t>
  </si>
  <si>
    <t>CT CHIMIQUES</t>
  </si>
  <si>
    <t>H41810</t>
  </si>
  <si>
    <t>CT NF ENREGISTREMENT &amp;ADM</t>
  </si>
  <si>
    <t>H41811</t>
  </si>
  <si>
    <t>CT NF ASS. USURE</t>
  </si>
  <si>
    <t>H41900</t>
  </si>
  <si>
    <t>CT VTE PARCS NEUFS</t>
  </si>
  <si>
    <t>H41910</t>
  </si>
  <si>
    <t>CT PARC CAMION NEUF</t>
  </si>
  <si>
    <t>H42000</t>
  </si>
  <si>
    <t>CT DIVERS(AUTOS)</t>
  </si>
  <si>
    <t>H42100</t>
  </si>
  <si>
    <t>CT PALISADE</t>
  </si>
  <si>
    <t>H42200</t>
  </si>
  <si>
    <t>CT VENUE</t>
  </si>
  <si>
    <t>H42300</t>
  </si>
  <si>
    <t>CT USAGE CERTIFIE HD</t>
  </si>
  <si>
    <t>H42400</t>
  </si>
  <si>
    <t>CT USA REC CERTIF HYUNDAI</t>
  </si>
  <si>
    <t>Y</t>
  </si>
  <si>
    <t>H42500</t>
  </si>
  <si>
    <t>CT VEHICULES OCC HYUNDAI</t>
  </si>
  <si>
    <t>H42600</t>
  </si>
  <si>
    <t>H42700</t>
  </si>
  <si>
    <t>CT OCC VEH AUTRE DÉTAIL</t>
  </si>
  <si>
    <t>H42800</t>
  </si>
  <si>
    <t>H42900</t>
  </si>
  <si>
    <t>CT ACCOMODATION</t>
  </si>
  <si>
    <t>H42999</t>
  </si>
  <si>
    <t>CT ECHANGE CONCESSIONNAIR</t>
  </si>
  <si>
    <t>H43000</t>
  </si>
  <si>
    <t>H43200</t>
  </si>
  <si>
    <t>CT VEHICULES D OC- GROS</t>
  </si>
  <si>
    <t>H43201</t>
  </si>
  <si>
    <t>CT EBLOCK - EN GROS</t>
  </si>
  <si>
    <t>H43202</t>
  </si>
  <si>
    <t>CT WHOLESALE PAT</t>
  </si>
  <si>
    <t>H43300</t>
  </si>
  <si>
    <t>CT USAGE RACHAT LOCATION</t>
  </si>
  <si>
    <t>H43310</t>
  </si>
  <si>
    <t>CT PPP USED</t>
  </si>
  <si>
    <t>H43320</t>
  </si>
  <si>
    <t>CT ASSURANCE USAGES</t>
  </si>
  <si>
    <t>H43330</t>
  </si>
  <si>
    <t>CT OCC REVENU FINANCE</t>
  </si>
  <si>
    <t>H43340</t>
  </si>
  <si>
    <t>CT OCC CHIMIQUES</t>
  </si>
  <si>
    <t>H43350</t>
  </si>
  <si>
    <t>CT OCC  ANTIVOL</t>
  </si>
  <si>
    <t>H43360</t>
  </si>
  <si>
    <t>CT OCC AUTRES PRODUIT</t>
  </si>
  <si>
    <t>H43390</t>
  </si>
  <si>
    <t>CT OCC RACHAT CONT LOC</t>
  </si>
  <si>
    <t>H43400</t>
  </si>
  <si>
    <t>CT HPP - MARQUAGE</t>
  </si>
  <si>
    <t>H43410</t>
  </si>
  <si>
    <t>CT OCC ASS VIE REMPL</t>
  </si>
  <si>
    <t>H43420</t>
  </si>
  <si>
    <t>CT OCC FINANCE</t>
  </si>
  <si>
    <t>H43430</t>
  </si>
  <si>
    <t>CT OCC PRODUITS CHIMIQUE</t>
  </si>
  <si>
    <t>H43440</t>
  </si>
  <si>
    <t>H43500</t>
  </si>
  <si>
    <t>H43700</t>
  </si>
  <si>
    <t>CT SANTA CRUZ</t>
  </si>
  <si>
    <t>H43800</t>
  </si>
  <si>
    <t>CT IONIQ 5</t>
  </si>
  <si>
    <t>H44200</t>
  </si>
  <si>
    <t>CT IONIQ 6</t>
  </si>
  <si>
    <t>H44300</t>
  </si>
  <si>
    <t>H44400</t>
  </si>
  <si>
    <t>CT IONIQ 9</t>
  </si>
  <si>
    <t>H45000</t>
  </si>
  <si>
    <t>CT PCS - COMPTOIR - GROS</t>
  </si>
  <si>
    <t>H45200</t>
  </si>
  <si>
    <t>CT PCS COMPTOIR - DETAIL</t>
  </si>
  <si>
    <t>H45300</t>
  </si>
  <si>
    <t>CT ACCESS DETAIL</t>
  </si>
  <si>
    <t>H45400</t>
  </si>
  <si>
    <t>CT PCS B.R CLIENT - MEC</t>
  </si>
  <si>
    <t>H45410</t>
  </si>
  <si>
    <t>CT PIECES HPP</t>
  </si>
  <si>
    <t>H45500</t>
  </si>
  <si>
    <t>CT PCS B.R CLIENT - CARR</t>
  </si>
  <si>
    <t>H45600</t>
  </si>
  <si>
    <t>CT PCS B.R GARANTIE -MEC</t>
  </si>
  <si>
    <t>H45800</t>
  </si>
  <si>
    <t>CT PCS B.R INTERNE - MEC</t>
  </si>
  <si>
    <t>H46000</t>
  </si>
  <si>
    <t>CT PIECES DIVERSES (AUTOS</t>
  </si>
  <si>
    <t>H46200</t>
  </si>
  <si>
    <t>CT PNEUS</t>
  </si>
  <si>
    <t>H46300</t>
  </si>
  <si>
    <t>H46400</t>
  </si>
  <si>
    <t>H46500</t>
  </si>
  <si>
    <t>CT FOURN DE CARR/PEINTURE</t>
  </si>
  <si>
    <t>H47000</t>
  </si>
  <si>
    <t>CT M.O B.R CLIENT- MEC</t>
  </si>
  <si>
    <t>H47010</t>
  </si>
  <si>
    <t>CT MO HPP</t>
  </si>
  <si>
    <t>H47100</t>
  </si>
  <si>
    <t>CT M.O B.R CLIENT- CARR</t>
  </si>
  <si>
    <t>H47200</t>
  </si>
  <si>
    <t>CT M.O B.R GARANTIE- MEC</t>
  </si>
  <si>
    <t>H47400</t>
  </si>
  <si>
    <t>CT M.O B.R INTERNE- MEC</t>
  </si>
  <si>
    <t>H47500</t>
  </si>
  <si>
    <t>CT M.O B.R INTERNE- CARR</t>
  </si>
  <si>
    <t>H47600</t>
  </si>
  <si>
    <t>CT M.O S-TRAITANCE - CARR</t>
  </si>
  <si>
    <t>H47610</t>
  </si>
  <si>
    <t>CT S-TRAITANCE INT CARR</t>
  </si>
  <si>
    <t>H47700</t>
  </si>
  <si>
    <t>CT M.O B.R GARANTIE- CARR</t>
  </si>
  <si>
    <t>H47800</t>
  </si>
  <si>
    <t>CT M.O DIVERSES (AUTOS)_</t>
  </si>
  <si>
    <t>H48000</t>
  </si>
  <si>
    <t>CT TEMPS MORT - MECANIQUE</t>
  </si>
  <si>
    <t>H48100</t>
  </si>
  <si>
    <t>CT TEMPS MORT-CARR/PEINT.</t>
  </si>
  <si>
    <t>H48200</t>
  </si>
  <si>
    <t>CT M.O S-TRAITANCE - MEC</t>
  </si>
  <si>
    <t>H48210</t>
  </si>
  <si>
    <t>CT SOUS TRAITANCE HPP</t>
  </si>
  <si>
    <t>H48300</t>
  </si>
  <si>
    <t>CT ENTREPOSAGE DE PNEU</t>
  </si>
  <si>
    <t>H48400</t>
  </si>
  <si>
    <t>CT HUILE-GRAISSE</t>
  </si>
  <si>
    <t>H48500</t>
  </si>
  <si>
    <t>CT ESSENCE</t>
  </si>
  <si>
    <t>H49000</t>
  </si>
  <si>
    <t>CT OPERATION LOCATION</t>
  </si>
  <si>
    <t>H49100</t>
  </si>
  <si>
    <t>FRAIS LOCATION CT &amp; LT</t>
  </si>
  <si>
    <t>H49200</t>
  </si>
  <si>
    <t>H49300</t>
  </si>
  <si>
    <t>CT AUTRE DEPARTEMENT</t>
  </si>
  <si>
    <t>H49400</t>
  </si>
  <si>
    <t>H49500</t>
  </si>
  <si>
    <t>H49600</t>
  </si>
  <si>
    <t>H49700</t>
  </si>
  <si>
    <t>H49800</t>
  </si>
  <si>
    <t>H49900</t>
  </si>
  <si>
    <t>H50100</t>
  </si>
  <si>
    <t>SALAIRE - PROPRIETAIRE</t>
  </si>
  <si>
    <t>H60100</t>
  </si>
  <si>
    <t>ESC COMPTANTS REALISES</t>
  </si>
  <si>
    <t>H60200</t>
  </si>
  <si>
    <t>INTERETS CREDITEURS</t>
  </si>
  <si>
    <t>H60400</t>
  </si>
  <si>
    <t>MAUVAISES CREANCES RECOUV</t>
  </si>
  <si>
    <t>H60500</t>
  </si>
  <si>
    <t>HOLD BACK</t>
  </si>
  <si>
    <t>H60600</t>
  </si>
  <si>
    <t>COMMISSION - TAXE VENTES</t>
  </si>
  <si>
    <t>H60700</t>
  </si>
  <si>
    <t>REVENU DE LOCATION CL LT</t>
  </si>
  <si>
    <t>H60900</t>
  </si>
  <si>
    <t>RECOMPENSE ISC</t>
  </si>
  <si>
    <t>H61000</t>
  </si>
  <si>
    <t>RECETTES DIVERSES</t>
  </si>
  <si>
    <t>H61100</t>
  </si>
  <si>
    <t>AMORT DES ACTIFS INCORPOR</t>
  </si>
  <si>
    <t>H61800</t>
  </si>
  <si>
    <t>GENESIS RX SUPPORT</t>
  </si>
  <si>
    <t>H70100</t>
  </si>
  <si>
    <t>FRAIS BANCAIRES &amp; AUTRES</t>
  </si>
  <si>
    <t>H70200</t>
  </si>
  <si>
    <t>INTERET - PRET A TERME TD</t>
  </si>
  <si>
    <t>H70300</t>
  </si>
  <si>
    <t>INT SOLDE DE PRIX VENTE</t>
  </si>
  <si>
    <t>H70400</t>
  </si>
  <si>
    <t>FRAIS RECOUV. CREANCES</t>
  </si>
  <si>
    <t>H70600</t>
  </si>
  <si>
    <t>JETONS DE PRESENCES</t>
  </si>
  <si>
    <t>H70700</t>
  </si>
  <si>
    <t>FRAIS LOCATION CL LT</t>
  </si>
  <si>
    <t>H70800</t>
  </si>
  <si>
    <t>INTERET IMPOTS DEPENSES</t>
  </si>
  <si>
    <t>H70900</t>
  </si>
  <si>
    <t>IMPÔTS EXIGIBLES</t>
  </si>
  <si>
    <t>H70910</t>
  </si>
  <si>
    <t>IMPÔTS FUTURES</t>
  </si>
  <si>
    <t>H70999</t>
  </si>
  <si>
    <t>DUMMY ACCT FOR AGIB</t>
  </si>
  <si>
    <t>H71000</t>
  </si>
  <si>
    <t>FRAIS DIVERS</t>
  </si>
  <si>
    <t>H72000</t>
  </si>
  <si>
    <t>IMPOT FUTUR</t>
  </si>
  <si>
    <t>H90100</t>
  </si>
  <si>
    <t>IMPOT SUR REVENU ESTIME</t>
  </si>
  <si>
    <t>H95000</t>
  </si>
  <si>
    <t>IMPOTS EXIGIBLES</t>
  </si>
  <si>
    <t>H99997</t>
  </si>
  <si>
    <t>DEPENSES PAIE - IN/OUT</t>
  </si>
  <si>
    <t>H99998</t>
  </si>
  <si>
    <t>DOCUMENTS CANCELLES</t>
  </si>
  <si>
    <t>H99999</t>
  </si>
  <si>
    <t>POST PROFIT/LOSS HISTORY</t>
  </si>
  <si>
    <t>Account#</t>
  </si>
  <si>
    <t>MAIN-D OEUVRE - MECANO</t>
  </si>
  <si>
    <t>IMPOT PAYE D AVANCE</t>
  </si>
  <si>
    <t>TAXES PAYÉ D AVANCE</t>
  </si>
  <si>
    <t>ASSURANCE PAYÉ D AVANCE</t>
  </si>
  <si>
    <t>DIVERS PAYÉ D AVANCE</t>
  </si>
  <si>
    <t>PLAQUES PAYÉ D AVANCE</t>
  </si>
  <si>
    <t>VÉRIF PAYÉ D AVANCE</t>
  </si>
  <si>
    <t>Dealer trade</t>
  </si>
  <si>
    <t>INT SOLDE DE PRIX DE VENTE</t>
  </si>
  <si>
    <t>Balance Check</t>
  </si>
  <si>
    <t>Voitures electriques</t>
  </si>
  <si>
    <t>Hyundai</t>
  </si>
  <si>
    <t>Coller les balances de vérification respectives en cellule A1 dans les onglets BV_Data_An_Cour</t>
  </si>
  <si>
    <t>RESERVE DEDUC GAR REMPLAC</t>
  </si>
  <si>
    <t>WHOLESALE PAT</t>
  </si>
  <si>
    <t>Aout</t>
  </si>
  <si>
    <t>FRAIS DIVRS</t>
  </si>
  <si>
    <t>AVOCAT PAYE D'AVANCE</t>
  </si>
  <si>
    <t>CAPITAL ACTIONS CAT A</t>
  </si>
  <si>
    <t>CAPITAL ACTION 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</si>
</sst>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0.00000000000000%"/>
    <numFmt numFmtId="179" formatCode="[$-F400]h:mm:ss\ AM/PM"/>
    <numFmt numFmtId="180" formatCode="_ * #,##0_)\ &quot;$&quot;_ ;_ * \(#,##0\)\ &quot;$&quot;_ ;_ * &quot;-&quot;??_)\ &quot;$&quot;_ ;_ @_ "/>
    <numFmt numFmtId="181" formatCode="#,###.00;\-#,###.00;.00;@"/>
    <numFmt numFmtId="182" formatCode="#;#;0;@"/>
  </numFmts>
  <fonts count="178">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s>
  <fills count="37">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rgb="FFFFFF00"/>
        <bgColor rgb="FFC0C0C0"/>
      </patternFill>
    </fill>
  </fills>
  <borders count="21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s>
  <cellStyleXfs count="11337">
    <xf numFmtId="0" fontId="0" fillId="0" borderId="0"/>
    <xf numFmtId="43" fontId="119" fillId="0" borderId="0" applyFont="0" applyFill="0" applyBorder="0" applyAlignment="0" applyProtection="0"/>
    <xf numFmtId="9" fontId="119" fillId="0" borderId="0" applyFont="0" applyFill="0" applyBorder="0" applyAlignment="0" applyProtection="0"/>
    <xf numFmtId="166" fontId="171" fillId="0" borderId="0"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165" fontId="113" fillId="0" borderId="1" applyFont="0" applyFill="0" applyBorder="0" applyAlignment="0" applyProtection="0"/>
    <xf numFmtId="0" fontId="112" fillId="0" borderId="1"/>
    <xf numFmtId="0" fontId="111" fillId="0" borderId="1"/>
    <xf numFmtId="165" fontId="111" fillId="0" borderId="1" applyFont="0" applyFill="0" applyBorder="0" applyAlignment="0" applyProtection="0"/>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165" fontId="110" fillId="0" borderId="1" applyFont="0" applyFill="0" applyBorder="0" applyAlignment="0" applyProtection="0"/>
    <xf numFmtId="0" fontId="110" fillId="0" borderId="1"/>
    <xf numFmtId="0" fontId="110" fillId="0" borderId="1"/>
    <xf numFmtId="165" fontId="110" fillId="0" borderId="1" applyFont="0" applyFill="0" applyBorder="0" applyAlignment="0" applyProtection="0"/>
    <xf numFmtId="166"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5" fontId="106" fillId="0" borderId="1" applyFont="0" applyFill="0" applyBorder="0" applyAlignment="0" applyProtection="0"/>
    <xf numFmtId="0" fontId="105" fillId="0" borderId="1"/>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0" fontId="105" fillId="0" borderId="1"/>
    <xf numFmtId="165" fontId="105" fillId="0" borderId="1" applyFont="0" applyFill="0" applyBorder="0" applyAlignment="0" applyProtection="0"/>
    <xf numFmtId="166"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0" fontId="97" fillId="0" borderId="1"/>
    <xf numFmtId="165" fontId="97" fillId="0" borderId="1" applyFont="0" applyFill="0" applyBorder="0" applyAlignment="0" applyProtection="0"/>
    <xf numFmtId="166"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9"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166"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6"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0" fontId="85" fillId="0" borderId="1"/>
    <xf numFmtId="165" fontId="85" fillId="0" borderId="1" applyFont="0" applyFill="0" applyBorder="0" applyAlignment="0" applyProtection="0"/>
    <xf numFmtId="165" fontId="85" fillId="0" borderId="1" applyFont="0" applyFill="0" applyBorder="0" applyAlignment="0" applyProtection="0"/>
    <xf numFmtId="9" fontId="85" fillId="0" borderId="1" applyFont="0" applyFill="0" applyBorder="0" applyAlignment="0" applyProtection="0"/>
    <xf numFmtId="166"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0" fontId="81" fillId="0" borderId="1"/>
    <xf numFmtId="165" fontId="81" fillId="0" borderId="1" applyFont="0" applyFill="0" applyBorder="0" applyAlignment="0" applyProtection="0"/>
    <xf numFmtId="165" fontId="81" fillId="0" borderId="1" applyFont="0" applyFill="0" applyBorder="0" applyAlignment="0" applyProtection="0"/>
    <xf numFmtId="9" fontId="81" fillId="0" borderId="1" applyFont="0" applyFill="0" applyBorder="0" applyAlignment="0" applyProtection="0"/>
    <xf numFmtId="166"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5" fontId="77" fillId="0" borderId="1" applyFont="0" applyFill="0" applyBorder="0" applyAlignment="0" applyProtection="0"/>
    <xf numFmtId="9" fontId="77" fillId="0" borderId="1" applyFont="0" applyFill="0" applyBorder="0" applyAlignment="0" applyProtection="0"/>
    <xf numFmtId="166"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0" fontId="77" fillId="0" borderId="1"/>
    <xf numFmtId="165" fontId="77" fillId="0" borderId="1" applyFont="0" applyFill="0" applyBorder="0" applyAlignment="0" applyProtection="0"/>
    <xf numFmtId="166"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0" fontId="74" fillId="0" borderId="1"/>
    <xf numFmtId="9" fontId="74" fillId="0" borderId="1" applyFont="0" applyFill="0" applyBorder="0" applyAlignment="0" applyProtection="0"/>
    <xf numFmtId="44"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0" fontId="71" fillId="0" borderId="1"/>
    <xf numFmtId="0" fontId="70" fillId="0" borderId="1"/>
    <xf numFmtId="0" fontId="69" fillId="0" borderId="1"/>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5" fontId="68" fillId="0" borderId="1" applyFont="0" applyFill="0" applyBorder="0" applyAlignment="0" applyProtection="0"/>
    <xf numFmtId="9"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166"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9" fontId="68" fillId="0" borderId="1" applyFont="0" applyFill="0" applyBorder="0" applyAlignment="0" applyProtection="0"/>
    <xf numFmtId="164" fontId="68" fillId="0" borderId="1" applyFont="0" applyFill="0" applyBorder="0" applyAlignment="0" applyProtection="0"/>
    <xf numFmtId="0" fontId="68" fillId="0" borderId="1"/>
    <xf numFmtId="165" fontId="68" fillId="0" borderId="1" applyFont="0" applyFill="0" applyBorder="0" applyAlignment="0" applyProtection="0"/>
    <xf numFmtId="0" fontId="68" fillId="0" borderId="1"/>
    <xf numFmtId="0" fontId="68" fillId="0" borderId="1"/>
    <xf numFmtId="0" fontId="68" fillId="0" borderId="1"/>
    <xf numFmtId="0" fontId="68" fillId="0" borderId="1"/>
    <xf numFmtId="0" fontId="67" fillId="0" borderId="1"/>
    <xf numFmtId="0" fontId="66" fillId="0" borderId="1"/>
    <xf numFmtId="0" fontId="65" fillId="0" borderId="1"/>
    <xf numFmtId="0" fontId="64" fillId="0" borderId="1"/>
    <xf numFmtId="0" fontId="63"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066">
    <xf numFmtId="0" fontId="0" fillId="0" borderId="0" xfId="0"/>
    <xf numFmtId="0" fontId="116" fillId="0" borderId="0" xfId="0" applyFont="1"/>
    <xf numFmtId="0" fontId="117" fillId="2" borderId="1" xfId="0" applyFont="1" applyFill="1" applyBorder="1" applyAlignment="1">
      <alignment horizontal="center"/>
    </xf>
    <xf numFmtId="0" fontId="117" fillId="0" borderId="0" xfId="0" applyFont="1"/>
    <xf numFmtId="0" fontId="118" fillId="0" borderId="0" xfId="0" applyFont="1" applyAlignment="1">
      <alignment horizontal="center"/>
    </xf>
    <xf numFmtId="0" fontId="119" fillId="0" borderId="0" xfId="0" applyFont="1"/>
    <xf numFmtId="0" fontId="116" fillId="0" borderId="0" xfId="0" applyFont="1" applyAlignment="1">
      <alignment horizontal="center"/>
    </xf>
    <xf numFmtId="167" fontId="117" fillId="0" borderId="0" xfId="0" applyNumberFormat="1" applyFont="1" applyAlignment="1">
      <alignment horizontal="center"/>
    </xf>
    <xf numFmtId="0" fontId="120" fillId="0" borderId="0" xfId="0" applyFont="1" applyAlignment="1">
      <alignment horizontal="left"/>
    </xf>
    <xf numFmtId="0" fontId="121" fillId="0" borderId="0" xfId="0" applyFont="1" applyAlignment="1">
      <alignment horizontal="center"/>
    </xf>
    <xf numFmtId="0" fontId="121" fillId="0" borderId="0" xfId="0" applyFont="1" applyAlignment="1">
      <alignment horizontal="right"/>
    </xf>
    <xf numFmtId="0" fontId="120" fillId="0" borderId="0" xfId="0" applyFont="1"/>
    <xf numFmtId="0" fontId="117" fillId="0" borderId="2" xfId="0" applyFont="1" applyBorder="1"/>
    <xf numFmtId="0" fontId="122" fillId="0" borderId="3" xfId="0" applyFont="1" applyBorder="1"/>
    <xf numFmtId="168" fontId="122" fillId="0" borderId="4" xfId="0" applyNumberFormat="1" applyFont="1" applyBorder="1"/>
    <xf numFmtId="169" fontId="122" fillId="0" borderId="0" xfId="0" applyNumberFormat="1" applyFont="1"/>
    <xf numFmtId="169" fontId="122" fillId="0" borderId="5" xfId="0" applyNumberFormat="1" applyFont="1" applyBorder="1"/>
    <xf numFmtId="0" fontId="123" fillId="0" borderId="6" xfId="0" applyFont="1" applyBorder="1"/>
    <xf numFmtId="168" fontId="123" fillId="0" borderId="7" xfId="0" applyNumberFormat="1" applyFont="1" applyBorder="1"/>
    <xf numFmtId="169" fontId="123" fillId="0" borderId="0" xfId="0" applyNumberFormat="1" applyFont="1"/>
    <xf numFmtId="0" fontId="122" fillId="0" borderId="8" xfId="0" applyFont="1" applyBorder="1"/>
    <xf numFmtId="168" fontId="122" fillId="0" borderId="9" xfId="0" applyNumberFormat="1" applyFont="1" applyBorder="1"/>
    <xf numFmtId="0" fontId="123" fillId="0" borderId="8" xfId="0" applyFont="1" applyBorder="1"/>
    <xf numFmtId="0" fontId="123" fillId="3" borderId="10" xfId="0" applyFont="1" applyFill="1" applyBorder="1"/>
    <xf numFmtId="168" fontId="123" fillId="3" borderId="11" xfId="0" applyNumberFormat="1" applyFont="1" applyFill="1" applyBorder="1"/>
    <xf numFmtId="0" fontId="123" fillId="3" borderId="12" xfId="0" applyFont="1" applyFill="1" applyBorder="1"/>
    <xf numFmtId="168" fontId="123" fillId="3" borderId="13" xfId="0" applyNumberFormat="1" applyFont="1" applyFill="1" applyBorder="1"/>
    <xf numFmtId="0" fontId="123" fillId="0" borderId="0" xfId="0" applyFont="1"/>
    <xf numFmtId="168" fontId="122" fillId="0" borderId="7" xfId="0" applyNumberFormat="1" applyFont="1" applyBorder="1"/>
    <xf numFmtId="169" fontId="117" fillId="0" borderId="0" xfId="0" applyNumberFormat="1" applyFont="1"/>
    <xf numFmtId="0" fontId="117" fillId="0" borderId="8" xfId="0" applyFont="1" applyBorder="1"/>
    <xf numFmtId="168" fontId="117" fillId="0" borderId="9" xfId="0" applyNumberFormat="1" applyFont="1" applyBorder="1"/>
    <xf numFmtId="170" fontId="117" fillId="0" borderId="0" xfId="0" applyNumberFormat="1" applyFont="1"/>
    <xf numFmtId="0" fontId="117" fillId="0" borderId="0" xfId="0" applyFont="1" applyAlignment="1">
      <alignment horizontal="center"/>
    </xf>
    <xf numFmtId="0" fontId="125" fillId="0" borderId="0" xfId="0" applyFont="1" applyAlignment="1">
      <alignment horizontal="center"/>
    </xf>
    <xf numFmtId="0" fontId="121" fillId="4" borderId="15" xfId="0" applyFont="1" applyFill="1" applyBorder="1" applyAlignment="1">
      <alignment horizontal="center"/>
    </xf>
    <xf numFmtId="0" fontId="121" fillId="0" borderId="0" xfId="0" applyFont="1"/>
    <xf numFmtId="171" fontId="126" fillId="0" borderId="0" xfId="0" applyNumberFormat="1" applyFont="1" applyAlignment="1">
      <alignment horizontal="left"/>
    </xf>
    <xf numFmtId="0" fontId="126" fillId="0" borderId="0" xfId="0" applyFont="1"/>
    <xf numFmtId="0" fontId="127" fillId="0" borderId="0" xfId="0" applyFont="1" applyAlignment="1">
      <alignment horizontal="center"/>
    </xf>
    <xf numFmtId="0" fontId="120" fillId="5" borderId="16" xfId="0" applyFont="1" applyFill="1" applyBorder="1" applyAlignment="1">
      <alignment horizontal="center"/>
    </xf>
    <xf numFmtId="0" fontId="127" fillId="0" borderId="0" xfId="0" applyFont="1"/>
    <xf numFmtId="0" fontId="127" fillId="5" borderId="19" xfId="0" applyFont="1" applyFill="1" applyBorder="1"/>
    <xf numFmtId="0" fontId="127" fillId="5" borderId="22" xfId="0" applyFont="1" applyFill="1" applyBorder="1"/>
    <xf numFmtId="0" fontId="127" fillId="5" borderId="20" xfId="0" applyFont="1" applyFill="1" applyBorder="1"/>
    <xf numFmtId="0" fontId="120" fillId="5" borderId="19" xfId="0" applyFont="1" applyFill="1" applyBorder="1"/>
    <xf numFmtId="0" fontId="120" fillId="5" borderId="22" xfId="0" applyFont="1" applyFill="1" applyBorder="1"/>
    <xf numFmtId="0" fontId="120" fillId="5" borderId="20" xfId="0" applyFont="1" applyFill="1" applyBorder="1"/>
    <xf numFmtId="0" fontId="127" fillId="5" borderId="1" xfId="0" applyFont="1" applyFill="1" applyBorder="1"/>
    <xf numFmtId="0" fontId="120" fillId="5" borderId="10" xfId="0" applyFont="1" applyFill="1" applyBorder="1"/>
    <xf numFmtId="0" fontId="120" fillId="5" borderId="12" xfId="0" applyFont="1" applyFill="1" applyBorder="1"/>
    <xf numFmtId="0" fontId="120" fillId="5" borderId="1" xfId="0" applyFont="1" applyFill="1" applyBorder="1"/>
    <xf numFmtId="0" fontId="120" fillId="5" borderId="20" xfId="0" applyFont="1" applyFill="1" applyBorder="1" applyAlignment="1">
      <alignment horizontal="left"/>
    </xf>
    <xf numFmtId="0" fontId="120" fillId="5" borderId="28" xfId="0" applyFont="1" applyFill="1" applyBorder="1"/>
    <xf numFmtId="0" fontId="128" fillId="5" borderId="20" xfId="0" applyFont="1" applyFill="1" applyBorder="1"/>
    <xf numFmtId="0" fontId="128" fillId="5" borderId="22" xfId="0" applyFont="1" applyFill="1" applyBorder="1"/>
    <xf numFmtId="0" fontId="120" fillId="5" borderId="31" xfId="0" applyFont="1" applyFill="1" applyBorder="1"/>
    <xf numFmtId="0" fontId="120" fillId="5" borderId="32" xfId="0" applyFont="1" applyFill="1" applyBorder="1"/>
    <xf numFmtId="0" fontId="129" fillId="5" borderId="1" xfId="0" applyFont="1" applyFill="1" applyBorder="1"/>
    <xf numFmtId="0" fontId="129" fillId="0" borderId="0" xfId="0" applyFont="1"/>
    <xf numFmtId="0" fontId="126" fillId="5" borderId="1" xfId="0" applyFont="1" applyFill="1" applyBorder="1"/>
    <xf numFmtId="0" fontId="121" fillId="5" borderId="1" xfId="0" applyFont="1" applyFill="1" applyBorder="1"/>
    <xf numFmtId="171" fontId="126" fillId="5" borderId="1" xfId="0" applyNumberFormat="1" applyFont="1" applyFill="1" applyBorder="1" applyAlignment="1">
      <alignment horizontal="left"/>
    </xf>
    <xf numFmtId="0" fontId="128" fillId="5" borderId="19" xfId="0" applyFont="1" applyFill="1" applyBorder="1"/>
    <xf numFmtId="0" fontId="120" fillId="5" borderId="33" xfId="0" applyFont="1" applyFill="1" applyBorder="1"/>
    <xf numFmtId="0" fontId="120" fillId="5" borderId="34" xfId="0" applyFont="1" applyFill="1" applyBorder="1"/>
    <xf numFmtId="0" fontId="120" fillId="5" borderId="37" xfId="0" applyFont="1" applyFill="1" applyBorder="1"/>
    <xf numFmtId="0" fontId="130" fillId="5" borderId="1" xfId="0" applyFont="1" applyFill="1" applyBorder="1" applyAlignment="1">
      <alignment horizontal="center" vertical="center"/>
    </xf>
    <xf numFmtId="0" fontId="130" fillId="5" borderId="22" xfId="0" applyFont="1" applyFill="1" applyBorder="1"/>
    <xf numFmtId="0" fontId="130" fillId="5" borderId="20" xfId="0" applyFont="1" applyFill="1" applyBorder="1"/>
    <xf numFmtId="0" fontId="130" fillId="5" borderId="28" xfId="0" applyFont="1" applyFill="1" applyBorder="1"/>
    <xf numFmtId="0" fontId="130" fillId="5" borderId="19" xfId="0" applyFont="1" applyFill="1" applyBorder="1"/>
    <xf numFmtId="0" fontId="130" fillId="5" borderId="37" xfId="0" applyFont="1" applyFill="1" applyBorder="1"/>
    <xf numFmtId="0" fontId="130" fillId="5" borderId="40" xfId="0" applyFont="1" applyFill="1" applyBorder="1"/>
    <xf numFmtId="0" fontId="126" fillId="5" borderId="41" xfId="0" applyFont="1" applyFill="1" applyBorder="1"/>
    <xf numFmtId="0" fontId="128" fillId="5" borderId="41" xfId="0" applyFont="1" applyFill="1" applyBorder="1"/>
    <xf numFmtId="0" fontId="127" fillId="5" borderId="41" xfId="0" applyFont="1" applyFill="1" applyBorder="1"/>
    <xf numFmtId="0" fontId="127" fillId="5" borderId="42" xfId="0" applyFont="1" applyFill="1" applyBorder="1"/>
    <xf numFmtId="0" fontId="130" fillId="5" borderId="43" xfId="0" applyFont="1" applyFill="1" applyBorder="1"/>
    <xf numFmtId="0" fontId="131" fillId="6" borderId="1" xfId="0" applyFont="1" applyFill="1" applyBorder="1"/>
    <xf numFmtId="0" fontId="126" fillId="6" borderId="1" xfId="0" applyFont="1" applyFill="1" applyBorder="1"/>
    <xf numFmtId="0" fontId="132" fillId="6" borderId="1" xfId="0" applyFont="1" applyFill="1" applyBorder="1"/>
    <xf numFmtId="0" fontId="133" fillId="6" borderId="1" xfId="0" applyFont="1" applyFill="1" applyBorder="1" applyAlignment="1">
      <alignment horizontal="center" vertical="center"/>
    </xf>
    <xf numFmtId="0" fontId="126" fillId="6" borderId="1" xfId="0" applyFont="1" applyFill="1" applyBorder="1" applyAlignment="1">
      <alignment horizontal="center" vertical="center"/>
    </xf>
    <xf numFmtId="0" fontId="131" fillId="6" borderId="1" xfId="0" applyFont="1" applyFill="1" applyBorder="1" applyAlignment="1">
      <alignment horizontal="center"/>
    </xf>
    <xf numFmtId="0" fontId="126" fillId="6" borderId="1" xfId="0" applyFont="1" applyFill="1" applyBorder="1" applyAlignment="1">
      <alignment horizontal="center"/>
    </xf>
    <xf numFmtId="0" fontId="134" fillId="6" borderId="1" xfId="0" applyFont="1" applyFill="1" applyBorder="1" applyAlignment="1">
      <alignment horizontal="center"/>
    </xf>
    <xf numFmtId="173" fontId="126" fillId="6" borderId="1" xfId="0" applyNumberFormat="1" applyFont="1" applyFill="1" applyBorder="1"/>
    <xf numFmtId="37" fontId="126" fillId="6" borderId="1" xfId="0" applyNumberFormat="1" applyFont="1" applyFill="1" applyBorder="1"/>
    <xf numFmtId="173" fontId="131" fillId="6" borderId="1" xfId="0" applyNumberFormat="1" applyFont="1" applyFill="1" applyBorder="1"/>
    <xf numFmtId="37" fontId="131" fillId="6" borderId="1" xfId="0" applyNumberFormat="1" applyFont="1" applyFill="1" applyBorder="1"/>
    <xf numFmtId="0" fontId="135" fillId="6" borderId="1" xfId="0" applyFont="1" applyFill="1" applyBorder="1"/>
    <xf numFmtId="0" fontId="134" fillId="6" borderId="1" xfId="0" applyFont="1" applyFill="1" applyBorder="1" applyAlignment="1">
      <alignment horizontal="left"/>
    </xf>
    <xf numFmtId="0" fontId="136" fillId="6" borderId="1" xfId="0" applyFont="1" applyFill="1" applyBorder="1"/>
    <xf numFmtId="37" fontId="126" fillId="0" borderId="0" xfId="0" applyNumberFormat="1" applyFont="1"/>
    <xf numFmtId="0" fontId="137" fillId="0" borderId="0" xfId="0" applyFont="1"/>
    <xf numFmtId="0" fontId="138" fillId="0" borderId="0" xfId="0" applyFont="1"/>
    <xf numFmtId="0" fontId="139" fillId="0" borderId="0" xfId="0" applyFont="1" applyAlignment="1">
      <alignment horizontal="center"/>
    </xf>
    <xf numFmtId="0" fontId="116" fillId="7" borderId="1" xfId="0" applyFont="1" applyFill="1" applyBorder="1" applyAlignment="1">
      <alignment horizontal="center"/>
    </xf>
    <xf numFmtId="0" fontId="116" fillId="8" borderId="45" xfId="0" applyFont="1" applyFill="1" applyBorder="1" applyAlignment="1">
      <alignment horizontal="center" vertical="center" wrapText="1"/>
    </xf>
    <xf numFmtId="0" fontId="116" fillId="8" borderId="46" xfId="0" applyFont="1" applyFill="1" applyBorder="1" applyAlignment="1">
      <alignment horizontal="center" vertical="center" wrapText="1"/>
    </xf>
    <xf numFmtId="0" fontId="116" fillId="8" borderId="47" xfId="0" applyFont="1" applyFill="1" applyBorder="1" applyAlignment="1">
      <alignment horizontal="center" vertical="center" wrapText="1"/>
    </xf>
    <xf numFmtId="0" fontId="116" fillId="8" borderId="48" xfId="0" applyFont="1" applyFill="1" applyBorder="1" applyAlignment="1">
      <alignment horizontal="center" vertical="center" wrapText="1"/>
    </xf>
    <xf numFmtId="167" fontId="140" fillId="9" borderId="52" xfId="0" applyNumberFormat="1" applyFont="1" applyFill="1" applyBorder="1" applyAlignment="1">
      <alignment horizontal="center" vertical="center"/>
    </xf>
    <xf numFmtId="167" fontId="140" fillId="9" borderId="53" xfId="0" applyNumberFormat="1" applyFont="1" applyFill="1" applyBorder="1" applyAlignment="1">
      <alignment horizontal="center" vertical="center"/>
    </xf>
    <xf numFmtId="3" fontId="116" fillId="9" borderId="52" xfId="0" applyNumberFormat="1" applyFont="1" applyFill="1" applyBorder="1" applyAlignment="1">
      <alignment horizontal="center" vertical="center"/>
    </xf>
    <xf numFmtId="3" fontId="116" fillId="9" borderId="53" xfId="0" applyNumberFormat="1" applyFont="1" applyFill="1" applyBorder="1" applyAlignment="1">
      <alignment horizontal="center" vertical="center"/>
    </xf>
    <xf numFmtId="0" fontId="117" fillId="9" borderId="54" xfId="0" applyFont="1" applyFill="1" applyBorder="1" applyAlignment="1">
      <alignment wrapText="1"/>
    </xf>
    <xf numFmtId="0" fontId="117" fillId="0" borderId="44" xfId="0" applyFont="1" applyBorder="1" applyAlignment="1">
      <alignment horizontal="center" vertical="center" wrapText="1"/>
    </xf>
    <xf numFmtId="0" fontId="117" fillId="0" borderId="44" xfId="0" applyFont="1" applyBorder="1" applyAlignment="1">
      <alignment horizontal="center" vertical="center"/>
    </xf>
    <xf numFmtId="0" fontId="117" fillId="0" borderId="55" xfId="0" applyFont="1" applyBorder="1" applyAlignment="1">
      <alignment horizontal="left" vertical="center" wrapText="1"/>
    </xf>
    <xf numFmtId="37" fontId="117" fillId="0" borderId="0" xfId="0" applyNumberFormat="1" applyFont="1" applyAlignment="1">
      <alignment horizontal="center" vertical="center"/>
    </xf>
    <xf numFmtId="37" fontId="117" fillId="0" borderId="56" xfId="0" applyNumberFormat="1" applyFont="1" applyBorder="1" applyAlignment="1">
      <alignment horizontal="center" vertical="center"/>
    </xf>
    <xf numFmtId="0" fontId="117" fillId="0" borderId="57" xfId="0" applyFont="1" applyBorder="1" applyAlignment="1">
      <alignment horizontal="center" vertical="center" wrapText="1"/>
    </xf>
    <xf numFmtId="0" fontId="117" fillId="0" borderId="57" xfId="0" applyFont="1" applyBorder="1" applyAlignment="1">
      <alignment horizontal="center" vertical="center"/>
    </xf>
    <xf numFmtId="0" fontId="117" fillId="0" borderId="56" xfId="0" applyFont="1" applyBorder="1" applyAlignment="1">
      <alignment horizontal="left" vertical="center" wrapText="1"/>
    </xf>
    <xf numFmtId="0" fontId="117" fillId="0" borderId="55" xfId="0" applyFont="1" applyBorder="1" applyAlignment="1">
      <alignment horizontal="center" vertical="center" wrapText="1"/>
    </xf>
    <xf numFmtId="0" fontId="117" fillId="0" borderId="56" xfId="0" applyFont="1" applyBorder="1" applyAlignment="1">
      <alignment horizontal="center" vertical="center" wrapText="1"/>
    </xf>
    <xf numFmtId="0" fontId="117" fillId="0" borderId="49" xfId="0" applyFont="1" applyBorder="1" applyAlignment="1">
      <alignment horizontal="center" vertical="center" wrapText="1"/>
    </xf>
    <xf numFmtId="0" fontId="117" fillId="0" borderId="49" xfId="0" applyFont="1" applyBorder="1" applyAlignment="1">
      <alignment horizontal="center" vertical="center"/>
    </xf>
    <xf numFmtId="0" fontId="117" fillId="0" borderId="58" xfId="0" applyFont="1" applyBorder="1" applyAlignment="1">
      <alignment horizontal="center" vertical="center" wrapText="1"/>
    </xf>
    <xf numFmtId="0" fontId="117" fillId="0" borderId="59" xfId="0" applyFont="1" applyBorder="1" applyAlignment="1">
      <alignment horizontal="center" vertical="center" wrapText="1"/>
    </xf>
    <xf numFmtId="37" fontId="117" fillId="0" borderId="58" xfId="0" applyNumberFormat="1" applyFont="1" applyBorder="1" applyAlignment="1">
      <alignment horizontal="center" vertical="center"/>
    </xf>
    <xf numFmtId="37" fontId="117" fillId="0" borderId="60" xfId="0" applyNumberFormat="1" applyFont="1" applyBorder="1" applyAlignment="1">
      <alignment horizontal="center" vertical="center"/>
    </xf>
    <xf numFmtId="0" fontId="117" fillId="0" borderId="0" xfId="0" applyFont="1" applyAlignment="1">
      <alignment wrapText="1"/>
    </xf>
    <xf numFmtId="0" fontId="117" fillId="0" borderId="0" xfId="0" applyFont="1" applyAlignment="1">
      <alignment horizontal="center" wrapText="1"/>
    </xf>
    <xf numFmtId="0" fontId="117" fillId="0" borderId="0" xfId="0" applyFont="1" applyAlignment="1">
      <alignment horizontal="right"/>
    </xf>
    <xf numFmtId="43" fontId="117" fillId="0" borderId="0" xfId="0" applyNumberFormat="1" applyFont="1" applyAlignment="1">
      <alignment horizontal="center"/>
    </xf>
    <xf numFmtId="0" fontId="117" fillId="0" borderId="61" xfId="0" applyFont="1" applyBorder="1" applyAlignment="1">
      <alignment horizontal="right" vertical="center"/>
    </xf>
    <xf numFmtId="0" fontId="117" fillId="0" borderId="61" xfId="0" applyFont="1" applyBorder="1" applyAlignment="1">
      <alignment vertical="center"/>
    </xf>
    <xf numFmtId="0" fontId="117" fillId="7" borderId="61" xfId="0" applyFont="1" applyFill="1" applyBorder="1" applyAlignment="1">
      <alignment horizontal="right" vertical="center" wrapText="1"/>
    </xf>
    <xf numFmtId="0" fontId="117" fillId="0" borderId="61" xfId="0" applyFont="1" applyBorder="1" applyAlignment="1">
      <alignment horizontal="center" vertical="center"/>
    </xf>
    <xf numFmtId="0" fontId="117" fillId="0" borderId="61" xfId="0" applyFont="1" applyBorder="1" applyAlignment="1">
      <alignment horizontal="center" vertical="center" wrapText="1"/>
    </xf>
    <xf numFmtId="0" fontId="117" fillId="0" borderId="0" xfId="0" applyFont="1" applyAlignment="1">
      <alignment horizontal="left"/>
    </xf>
    <xf numFmtId="43" fontId="117" fillId="0" borderId="0" xfId="0" applyNumberFormat="1" applyFont="1"/>
    <xf numFmtId="43" fontId="117" fillId="0" borderId="62" xfId="0" applyNumberFormat="1" applyFont="1" applyBorder="1"/>
    <xf numFmtId="43" fontId="117" fillId="0" borderId="63" xfId="0" applyNumberFormat="1" applyFont="1" applyBorder="1"/>
    <xf numFmtId="175" fontId="117" fillId="0" borderId="64" xfId="0" applyNumberFormat="1" applyFont="1" applyBorder="1"/>
    <xf numFmtId="0" fontId="118" fillId="0" borderId="0" xfId="0" applyFont="1"/>
    <xf numFmtId="176" fontId="118" fillId="0" borderId="0" xfId="0" applyNumberFormat="1" applyFont="1" applyAlignment="1">
      <alignment horizontal="left"/>
    </xf>
    <xf numFmtId="0" fontId="142" fillId="0" borderId="0" xfId="0" applyFont="1" applyAlignment="1">
      <alignment horizontal="center"/>
    </xf>
    <xf numFmtId="49" fontId="118" fillId="0" borderId="0" xfId="0" applyNumberFormat="1" applyFont="1" applyAlignment="1">
      <alignment horizontal="center" vertical="center"/>
    </xf>
    <xf numFmtId="170" fontId="118" fillId="10" borderId="1" xfId="0" applyNumberFormat="1" applyFont="1" applyFill="1" applyBorder="1" applyAlignment="1">
      <alignment horizontal="center" vertical="center"/>
    </xf>
    <xf numFmtId="170" fontId="118" fillId="10" borderId="1" xfId="0" applyNumberFormat="1" applyFont="1" applyFill="1" applyBorder="1" applyAlignment="1">
      <alignment horizontal="center"/>
    </xf>
    <xf numFmtId="173" fontId="118" fillId="0" borderId="0" xfId="0" applyNumberFormat="1" applyFont="1" applyAlignment="1">
      <alignment horizontal="center"/>
    </xf>
    <xf numFmtId="170" fontId="118" fillId="0" borderId="0" xfId="0" applyNumberFormat="1" applyFont="1"/>
    <xf numFmtId="43" fontId="118" fillId="0" borderId="0" xfId="0" applyNumberFormat="1" applyFont="1" applyAlignment="1">
      <alignment horizontal="center"/>
    </xf>
    <xf numFmtId="43" fontId="118" fillId="0" borderId="0" xfId="0" applyNumberFormat="1" applyFont="1"/>
    <xf numFmtId="0" fontId="118" fillId="11" borderId="1" xfId="0" applyFont="1" applyFill="1" applyBorder="1" applyAlignment="1">
      <alignment horizontal="center"/>
    </xf>
    <xf numFmtId="177" fontId="118" fillId="0" borderId="0" xfId="0" applyNumberFormat="1" applyFont="1"/>
    <xf numFmtId="44" fontId="118" fillId="0" borderId="0" xfId="0" applyNumberFormat="1" applyFont="1"/>
    <xf numFmtId="0" fontId="118" fillId="11" borderId="1" xfId="0" applyFont="1" applyFill="1" applyBorder="1" applyAlignment="1">
      <alignment horizontal="right"/>
    </xf>
    <xf numFmtId="43" fontId="118" fillId="11" borderId="1" xfId="0" applyNumberFormat="1" applyFont="1" applyFill="1" applyBorder="1"/>
    <xf numFmtId="0" fontId="118" fillId="10" borderId="1" xfId="0" applyFont="1" applyFill="1" applyBorder="1"/>
    <xf numFmtId="0" fontId="116" fillId="12" borderId="61" xfId="0" applyFont="1" applyFill="1" applyBorder="1" applyAlignment="1">
      <alignment horizontal="center"/>
    </xf>
    <xf numFmtId="0" fontId="116" fillId="12" borderId="65" xfId="0" applyFont="1" applyFill="1" applyBorder="1" applyAlignment="1">
      <alignment horizontal="center"/>
    </xf>
    <xf numFmtId="0" fontId="116" fillId="12" borderId="66" xfId="0" applyFont="1" applyFill="1" applyBorder="1" applyAlignment="1">
      <alignment horizontal="center"/>
    </xf>
    <xf numFmtId="0" fontId="116" fillId="12" borderId="67" xfId="0" applyFont="1" applyFill="1" applyBorder="1" applyAlignment="1">
      <alignment horizontal="center"/>
    </xf>
    <xf numFmtId="0" fontId="116" fillId="12" borderId="68" xfId="0" applyFont="1" applyFill="1" applyBorder="1" applyAlignment="1">
      <alignment horizontal="center"/>
    </xf>
    <xf numFmtId="0" fontId="116" fillId="0" borderId="69" xfId="0" applyFont="1" applyBorder="1"/>
    <xf numFmtId="37" fontId="116" fillId="0" borderId="70" xfId="0" applyNumberFormat="1" applyFont="1" applyBorder="1" applyAlignment="1">
      <alignment horizontal="center"/>
    </xf>
    <xf numFmtId="1" fontId="116" fillId="0" borderId="72" xfId="0" applyNumberFormat="1" applyFont="1" applyBorder="1" applyAlignment="1">
      <alignment horizontal="center"/>
    </xf>
    <xf numFmtId="1" fontId="116" fillId="0" borderId="73" xfId="0" applyNumberFormat="1" applyFont="1" applyBorder="1" applyAlignment="1">
      <alignment horizontal="center"/>
    </xf>
    <xf numFmtId="9" fontId="116" fillId="0" borderId="74" xfId="0" applyNumberFormat="1" applyFont="1" applyBorder="1" applyAlignment="1">
      <alignment horizontal="center"/>
    </xf>
    <xf numFmtId="9" fontId="116" fillId="0" borderId="75" xfId="0" applyNumberFormat="1" applyFont="1" applyBorder="1" applyAlignment="1">
      <alignment horizontal="center"/>
    </xf>
    <xf numFmtId="0" fontId="117" fillId="0" borderId="69" xfId="0" applyFont="1" applyBorder="1"/>
    <xf numFmtId="167" fontId="117" fillId="0" borderId="70" xfId="0" applyNumberFormat="1" applyFont="1" applyBorder="1" applyAlignment="1">
      <alignment horizontal="center"/>
    </xf>
    <xf numFmtId="167" fontId="117" fillId="0" borderId="72" xfId="0" applyNumberFormat="1" applyFont="1" applyBorder="1" applyAlignment="1">
      <alignment horizontal="center"/>
    </xf>
    <xf numFmtId="167" fontId="117" fillId="0" borderId="73" xfId="0" applyNumberFormat="1" applyFont="1" applyBorder="1" applyAlignment="1">
      <alignment horizontal="center"/>
    </xf>
    <xf numFmtId="9" fontId="117" fillId="0" borderId="70" xfId="0" applyNumberFormat="1" applyFont="1" applyBorder="1" applyAlignment="1">
      <alignment horizontal="center"/>
    </xf>
    <xf numFmtId="9" fontId="117" fillId="0" borderId="72" xfId="0" applyNumberFormat="1" applyFont="1" applyBorder="1" applyAlignment="1">
      <alignment horizontal="center"/>
    </xf>
    <xf numFmtId="9" fontId="117" fillId="0" borderId="76" xfId="0" applyNumberFormat="1" applyFont="1" applyBorder="1" applyAlignment="1">
      <alignment horizontal="center"/>
    </xf>
    <xf numFmtId="2" fontId="117" fillId="0" borderId="72" xfId="0" applyNumberFormat="1" applyFont="1" applyBorder="1" applyAlignment="1">
      <alignment horizontal="center"/>
    </xf>
    <xf numFmtId="2" fontId="117" fillId="0" borderId="73" xfId="0" applyNumberFormat="1" applyFont="1" applyBorder="1" applyAlignment="1">
      <alignment horizontal="center"/>
    </xf>
    <xf numFmtId="9" fontId="117" fillId="0" borderId="73" xfId="0" applyNumberFormat="1" applyFont="1" applyBorder="1" applyAlignment="1">
      <alignment horizontal="center"/>
    </xf>
    <xf numFmtId="0" fontId="116" fillId="0" borderId="77" xfId="0" applyFont="1" applyBorder="1"/>
    <xf numFmtId="0" fontId="117" fillId="0" borderId="78" xfId="0" applyFont="1" applyBorder="1"/>
    <xf numFmtId="167" fontId="117" fillId="0" borderId="79" xfId="0" applyNumberFormat="1" applyFont="1" applyBorder="1" applyAlignment="1">
      <alignment horizontal="center"/>
    </xf>
    <xf numFmtId="167" fontId="117" fillId="0" borderId="80" xfId="0" applyNumberFormat="1" applyFont="1" applyBorder="1" applyAlignment="1">
      <alignment horizontal="center"/>
    </xf>
    <xf numFmtId="9" fontId="117" fillId="0" borderId="79" xfId="0" applyNumberFormat="1" applyFont="1" applyBorder="1" applyAlignment="1">
      <alignment horizontal="center"/>
    </xf>
    <xf numFmtId="9" fontId="117" fillId="0" borderId="81" xfId="0" applyNumberFormat="1" applyFont="1" applyBorder="1" applyAlignment="1">
      <alignment horizontal="center"/>
    </xf>
    <xf numFmtId="0" fontId="117" fillId="0" borderId="69" xfId="0" applyFont="1" applyBorder="1" applyAlignment="1">
      <alignment horizontal="left"/>
    </xf>
    <xf numFmtId="0" fontId="117" fillId="0" borderId="70" xfId="0" applyFont="1" applyBorder="1" applyAlignment="1">
      <alignment horizontal="center"/>
    </xf>
    <xf numFmtId="0" fontId="117" fillId="0" borderId="82" xfId="0" applyFont="1" applyBorder="1" applyAlignment="1">
      <alignment horizontal="left"/>
    </xf>
    <xf numFmtId="167" fontId="117" fillId="0" borderId="83" xfId="0" applyNumberFormat="1" applyFont="1" applyBorder="1" applyAlignment="1">
      <alignment horizontal="center"/>
    </xf>
    <xf numFmtId="167" fontId="117" fillId="0" borderId="85" xfId="0" applyNumberFormat="1" applyFont="1" applyBorder="1" applyAlignment="1">
      <alignment horizontal="center"/>
    </xf>
    <xf numFmtId="167" fontId="117" fillId="0" borderId="86" xfId="0" applyNumberFormat="1" applyFont="1" applyBorder="1" applyAlignment="1">
      <alignment horizontal="center"/>
    </xf>
    <xf numFmtId="9" fontId="117" fillId="0" borderId="85" xfId="0" applyNumberFormat="1" applyFont="1" applyBorder="1" applyAlignment="1">
      <alignment horizontal="center"/>
    </xf>
    <xf numFmtId="9" fontId="117" fillId="0" borderId="87" xfId="0" applyNumberFormat="1" applyFont="1" applyBorder="1" applyAlignment="1">
      <alignment horizontal="center"/>
    </xf>
    <xf numFmtId="167" fontId="117" fillId="0" borderId="0" xfId="0" applyNumberFormat="1" applyFont="1"/>
    <xf numFmtId="0" fontId="116" fillId="14" borderId="61" xfId="0" applyFont="1" applyFill="1" applyBorder="1" applyAlignment="1">
      <alignment horizontal="center"/>
    </xf>
    <xf numFmtId="0" fontId="116" fillId="14" borderId="65" xfId="0" applyFont="1" applyFill="1" applyBorder="1" applyAlignment="1">
      <alignment horizontal="center"/>
    </xf>
    <xf numFmtId="0" fontId="116" fillId="14" borderId="66" xfId="0" applyFont="1" applyFill="1" applyBorder="1" applyAlignment="1">
      <alignment horizontal="center"/>
    </xf>
    <xf numFmtId="0" fontId="116" fillId="14" borderId="68" xfId="0" applyFont="1" applyFill="1" applyBorder="1" applyAlignment="1">
      <alignment horizontal="center"/>
    </xf>
    <xf numFmtId="0" fontId="116" fillId="15" borderId="61" xfId="0" applyFont="1" applyFill="1" applyBorder="1" applyAlignment="1">
      <alignment horizontal="center"/>
    </xf>
    <xf numFmtId="177" fontId="117" fillId="0" borderId="70" xfId="0" applyNumberFormat="1" applyFont="1" applyBorder="1" applyAlignment="1">
      <alignment horizontal="center"/>
    </xf>
    <xf numFmtId="0" fontId="116" fillId="9" borderId="61" xfId="0" applyFont="1" applyFill="1" applyBorder="1" applyAlignment="1">
      <alignment horizontal="center"/>
    </xf>
    <xf numFmtId="0" fontId="116" fillId="9" borderId="65" xfId="0" applyFont="1" applyFill="1" applyBorder="1" applyAlignment="1">
      <alignment horizontal="center"/>
    </xf>
    <xf numFmtId="0" fontId="116" fillId="9" borderId="66" xfId="0" applyFont="1" applyFill="1" applyBorder="1" applyAlignment="1">
      <alignment horizontal="center"/>
    </xf>
    <xf numFmtId="0" fontId="116" fillId="9" borderId="68" xfId="0" applyFont="1" applyFill="1" applyBorder="1" applyAlignment="1">
      <alignment horizontal="center"/>
    </xf>
    <xf numFmtId="167" fontId="116" fillId="0" borderId="70" xfId="0" applyNumberFormat="1" applyFont="1" applyBorder="1" applyAlignment="1">
      <alignment horizontal="center"/>
    </xf>
    <xf numFmtId="167" fontId="116" fillId="0" borderId="72" xfId="0" applyNumberFormat="1" applyFont="1" applyBorder="1" applyAlignment="1">
      <alignment horizontal="center"/>
    </xf>
    <xf numFmtId="167" fontId="116" fillId="0" borderId="73" xfId="0" applyNumberFormat="1" applyFont="1" applyBorder="1" applyAlignment="1">
      <alignment horizontal="center"/>
    </xf>
    <xf numFmtId="9" fontId="116" fillId="0" borderId="72" xfId="0" applyNumberFormat="1" applyFont="1" applyBorder="1" applyAlignment="1">
      <alignment horizontal="center"/>
    </xf>
    <xf numFmtId="9" fontId="116" fillId="0" borderId="76" xfId="0" applyNumberFormat="1" applyFont="1" applyBorder="1" applyAlignment="1">
      <alignment horizontal="center"/>
    </xf>
    <xf numFmtId="0" fontId="117" fillId="0" borderId="82" xfId="0" applyFont="1" applyBorder="1"/>
    <xf numFmtId="0" fontId="116" fillId="8" borderId="61" xfId="0" applyFont="1" applyFill="1" applyBorder="1" applyAlignment="1">
      <alignment horizontal="center"/>
    </xf>
    <xf numFmtId="0" fontId="116" fillId="8" borderId="65" xfId="0" applyFont="1" applyFill="1" applyBorder="1" applyAlignment="1">
      <alignment horizontal="center"/>
    </xf>
    <xf numFmtId="0" fontId="116" fillId="8" borderId="66" xfId="0" applyFont="1" applyFill="1" applyBorder="1" applyAlignment="1">
      <alignment horizontal="center"/>
    </xf>
    <xf numFmtId="0" fontId="116" fillId="8" borderId="68" xfId="0" applyFont="1" applyFill="1" applyBorder="1" applyAlignment="1">
      <alignment horizontal="center"/>
    </xf>
    <xf numFmtId="0" fontId="116" fillId="16" borderId="61" xfId="0" applyFont="1" applyFill="1" applyBorder="1" applyAlignment="1">
      <alignment horizontal="center"/>
    </xf>
    <xf numFmtId="0" fontId="116" fillId="0" borderId="69" xfId="0" applyFont="1" applyBorder="1" applyAlignment="1">
      <alignment horizontal="left"/>
    </xf>
    <xf numFmtId="0" fontId="116" fillId="17" borderId="61" xfId="0" applyFont="1" applyFill="1" applyBorder="1" applyAlignment="1">
      <alignment horizontal="center"/>
    </xf>
    <xf numFmtId="0" fontId="116" fillId="17" borderId="65" xfId="0" applyFont="1" applyFill="1" applyBorder="1" applyAlignment="1">
      <alignment horizontal="center"/>
    </xf>
    <xf numFmtId="0" fontId="116" fillId="17" borderId="66" xfId="0" applyFont="1" applyFill="1" applyBorder="1" applyAlignment="1">
      <alignment horizontal="center"/>
    </xf>
    <xf numFmtId="0" fontId="116" fillId="17" borderId="68" xfId="0" applyFont="1" applyFill="1" applyBorder="1" applyAlignment="1">
      <alignment horizontal="center"/>
    </xf>
    <xf numFmtId="0" fontId="116" fillId="18" borderId="88" xfId="0" applyFont="1" applyFill="1" applyBorder="1" applyAlignment="1">
      <alignment horizontal="center"/>
    </xf>
    <xf numFmtId="1" fontId="117" fillId="0" borderId="70" xfId="0" applyNumberFormat="1" applyFont="1" applyBorder="1" applyAlignment="1">
      <alignment horizontal="center"/>
    </xf>
    <xf numFmtId="1" fontId="117" fillId="0" borderId="72" xfId="0" applyNumberFormat="1" applyFont="1" applyBorder="1" applyAlignment="1">
      <alignment horizontal="center"/>
    </xf>
    <xf numFmtId="1" fontId="117" fillId="0" borderId="73" xfId="0" applyNumberFormat="1" applyFont="1" applyBorder="1" applyAlignment="1">
      <alignment horizontal="center"/>
    </xf>
    <xf numFmtId="0" fontId="116" fillId="19" borderId="61" xfId="0" applyFont="1" applyFill="1" applyBorder="1" applyAlignment="1">
      <alignment horizontal="center"/>
    </xf>
    <xf numFmtId="0" fontId="116" fillId="19" borderId="65" xfId="0" applyFont="1" applyFill="1" applyBorder="1" applyAlignment="1">
      <alignment horizontal="center"/>
    </xf>
    <xf numFmtId="0" fontId="116" fillId="19" borderId="66" xfId="0" applyFont="1" applyFill="1" applyBorder="1" applyAlignment="1">
      <alignment horizontal="center"/>
    </xf>
    <xf numFmtId="0" fontId="116" fillId="19" borderId="68" xfId="0" applyFont="1" applyFill="1" applyBorder="1" applyAlignment="1">
      <alignment horizontal="center"/>
    </xf>
    <xf numFmtId="0" fontId="116" fillId="20" borderId="61" xfId="0" applyFont="1" applyFill="1" applyBorder="1" applyAlignment="1">
      <alignment horizontal="center"/>
    </xf>
    <xf numFmtId="167" fontId="117" fillId="0" borderId="74" xfId="0" applyNumberFormat="1" applyFont="1" applyBorder="1" applyAlignment="1">
      <alignment horizontal="center"/>
    </xf>
    <xf numFmtId="167" fontId="117" fillId="0" borderId="90" xfId="0" applyNumberFormat="1" applyFont="1" applyBorder="1" applyAlignment="1">
      <alignment horizontal="center"/>
    </xf>
    <xf numFmtId="173" fontId="117" fillId="0" borderId="70" xfId="0" applyNumberFormat="1" applyFont="1" applyBorder="1" applyAlignment="1">
      <alignment horizontal="center"/>
    </xf>
    <xf numFmtId="173" fontId="117" fillId="0" borderId="83" xfId="0" applyNumberFormat="1" applyFont="1" applyBorder="1" applyAlignment="1">
      <alignment horizontal="center"/>
    </xf>
    <xf numFmtId="2" fontId="117" fillId="0" borderId="85" xfId="0" applyNumberFormat="1" applyFont="1" applyBorder="1" applyAlignment="1">
      <alignment horizontal="center"/>
    </xf>
    <xf numFmtId="2" fontId="117" fillId="0" borderId="86" xfId="0" applyNumberFormat="1" applyFont="1" applyBorder="1" applyAlignment="1">
      <alignment horizontal="center"/>
    </xf>
    <xf numFmtId="0" fontId="121" fillId="0" borderId="0" xfId="0" applyFont="1" applyAlignment="1">
      <alignment horizontal="center" vertical="center"/>
    </xf>
    <xf numFmtId="0" fontId="126" fillId="0" borderId="0" xfId="0" applyFont="1" applyAlignment="1">
      <alignment horizontal="left" vertical="center"/>
    </xf>
    <xf numFmtId="3" fontId="121" fillId="0" borderId="0" xfId="0" applyNumberFormat="1" applyFont="1"/>
    <xf numFmtId="0" fontId="126" fillId="0" borderId="0" xfId="0" applyFont="1" applyAlignment="1">
      <alignment horizontal="center"/>
    </xf>
    <xf numFmtId="0" fontId="145" fillId="21" borderId="10" xfId="0" applyFont="1" applyFill="1" applyBorder="1"/>
    <xf numFmtId="0" fontId="146" fillId="21" borderId="11" xfId="0" applyFont="1" applyFill="1" applyBorder="1"/>
    <xf numFmtId="0" fontId="127" fillId="0" borderId="3" xfId="0" applyFont="1" applyBorder="1"/>
    <xf numFmtId="0" fontId="147" fillId="21" borderId="20" xfId="0" applyFont="1" applyFill="1" applyBorder="1"/>
    <xf numFmtId="10" fontId="147" fillId="21" borderId="21" xfId="0" applyNumberFormat="1" applyFont="1" applyFill="1" applyBorder="1"/>
    <xf numFmtId="0" fontId="127" fillId="0" borderId="6" xfId="0" applyFont="1" applyBorder="1"/>
    <xf numFmtId="3" fontId="127" fillId="0" borderId="91" xfId="0" applyNumberFormat="1" applyFont="1" applyBorder="1" applyAlignment="1">
      <alignment horizontal="center"/>
    </xf>
    <xf numFmtId="3" fontId="127" fillId="0" borderId="0" xfId="0" applyNumberFormat="1" applyFont="1" applyAlignment="1">
      <alignment horizontal="center"/>
    </xf>
    <xf numFmtId="3" fontId="127" fillId="0" borderId="9" xfId="0" applyNumberFormat="1" applyFont="1" applyBorder="1" applyAlignment="1">
      <alignment horizontal="center"/>
    </xf>
    <xf numFmtId="3" fontId="127" fillId="0" borderId="8" xfId="0" applyNumberFormat="1" applyFont="1" applyBorder="1" applyAlignment="1">
      <alignment horizontal="center"/>
    </xf>
    <xf numFmtId="0" fontId="127" fillId="0" borderId="92" xfId="0" applyFont="1" applyBorder="1"/>
    <xf numFmtId="3" fontId="127" fillId="0" borderId="14" xfId="0" applyNumberFormat="1" applyFont="1" applyBorder="1" applyAlignment="1">
      <alignment horizontal="center"/>
    </xf>
    <xf numFmtId="3" fontId="127" fillId="0" borderId="5" xfId="0" applyNumberFormat="1" applyFont="1" applyBorder="1"/>
    <xf numFmtId="3" fontId="127" fillId="0" borderId="14" xfId="0" applyNumberFormat="1" applyFont="1" applyBorder="1" applyAlignment="1">
      <alignment horizontal="right"/>
    </xf>
    <xf numFmtId="3" fontId="127" fillId="0" borderId="14" xfId="0" applyNumberFormat="1" applyFont="1" applyBorder="1"/>
    <xf numFmtId="3" fontId="127" fillId="0" borderId="92" xfId="0" applyNumberFormat="1" applyFont="1" applyBorder="1" applyAlignment="1">
      <alignment horizontal="center"/>
    </xf>
    <xf numFmtId="3" fontId="127" fillId="0" borderId="5" xfId="0" applyNumberFormat="1" applyFont="1" applyBorder="1" applyAlignment="1">
      <alignment horizontal="center"/>
    </xf>
    <xf numFmtId="0" fontId="127" fillId="0" borderId="8" xfId="0" applyFont="1" applyBorder="1"/>
    <xf numFmtId="3" fontId="127" fillId="0" borderId="0" xfId="0" applyNumberFormat="1" applyFont="1"/>
    <xf numFmtId="3" fontId="127" fillId="0" borderId="8" xfId="0" applyNumberFormat="1" applyFont="1" applyBorder="1"/>
    <xf numFmtId="3" fontId="127" fillId="0" borderId="9" xfId="0" applyNumberFormat="1" applyFont="1" applyBorder="1"/>
    <xf numFmtId="0" fontId="146" fillId="21" borderId="12" xfId="0" applyFont="1" applyFill="1" applyBorder="1"/>
    <xf numFmtId="10" fontId="147" fillId="21" borderId="13" xfId="0" applyNumberFormat="1" applyFont="1" applyFill="1" applyBorder="1"/>
    <xf numFmtId="0" fontId="120" fillId="0" borderId="6" xfId="0" applyFont="1" applyBorder="1"/>
    <xf numFmtId="3" fontId="120" fillId="0" borderId="91" xfId="0" applyNumberFormat="1" applyFont="1" applyBorder="1"/>
    <xf numFmtId="3" fontId="120" fillId="0" borderId="7" xfId="0" applyNumberFormat="1" applyFont="1" applyBorder="1"/>
    <xf numFmtId="3" fontId="120" fillId="0" borderId="6" xfId="0" applyNumberFormat="1" applyFont="1" applyBorder="1"/>
    <xf numFmtId="0" fontId="127" fillId="0" borderId="9" xfId="0" applyFont="1" applyBorder="1"/>
    <xf numFmtId="173" fontId="120" fillId="0" borderId="8" xfId="0" applyNumberFormat="1" applyFont="1" applyBorder="1"/>
    <xf numFmtId="173" fontId="120" fillId="0" borderId="9" xfId="0" applyNumberFormat="1" applyFont="1" applyBorder="1"/>
    <xf numFmtId="0" fontId="120" fillId="0" borderId="92" xfId="0" applyFont="1" applyBorder="1"/>
    <xf numFmtId="3" fontId="127" fillId="0" borderId="92" xfId="0" applyNumberFormat="1" applyFont="1" applyBorder="1"/>
    <xf numFmtId="3" fontId="120" fillId="0" borderId="92" xfId="0" applyNumberFormat="1" applyFont="1" applyBorder="1"/>
    <xf numFmtId="3" fontId="120" fillId="0" borderId="14" xfId="0" applyNumberFormat="1" applyFont="1" applyBorder="1"/>
    <xf numFmtId="0" fontId="120" fillId="0" borderId="8" xfId="0" applyFont="1" applyBorder="1"/>
    <xf numFmtId="3" fontId="127" fillId="0" borderId="91" xfId="0" applyNumberFormat="1" applyFont="1" applyBorder="1"/>
    <xf numFmtId="3" fontId="127" fillId="0" borderId="7" xfId="0" applyNumberFormat="1" applyFont="1" applyBorder="1"/>
    <xf numFmtId="3" fontId="127" fillId="0" borderId="6" xfId="0" applyNumberFormat="1" applyFont="1" applyBorder="1"/>
    <xf numFmtId="43" fontId="127" fillId="0" borderId="0" xfId="0" applyNumberFormat="1" applyFont="1"/>
    <xf numFmtId="3" fontId="120" fillId="0" borderId="8" xfId="0" applyNumberFormat="1" applyFont="1" applyBorder="1"/>
    <xf numFmtId="37" fontId="127" fillId="0" borderId="9" xfId="0" applyNumberFormat="1" applyFont="1" applyBorder="1"/>
    <xf numFmtId="37" fontId="127" fillId="0" borderId="8" xfId="0" applyNumberFormat="1" applyFont="1" applyBorder="1"/>
    <xf numFmtId="0" fontId="120" fillId="3" borderId="10" xfId="0" applyFont="1" applyFill="1" applyBorder="1"/>
    <xf numFmtId="37" fontId="120" fillId="3" borderId="26" xfId="0" applyNumberFormat="1" applyFont="1" applyFill="1" applyBorder="1"/>
    <xf numFmtId="3" fontId="120" fillId="3" borderId="26" xfId="0" applyNumberFormat="1" applyFont="1" applyFill="1" applyBorder="1"/>
    <xf numFmtId="37" fontId="120" fillId="3" borderId="11" xfId="0" applyNumberFormat="1" applyFont="1" applyFill="1" applyBorder="1"/>
    <xf numFmtId="37" fontId="120" fillId="3" borderId="10" xfId="0" applyNumberFormat="1" applyFont="1" applyFill="1" applyBorder="1"/>
    <xf numFmtId="0" fontId="120" fillId="3" borderId="12" xfId="0" applyFont="1" applyFill="1" applyBorder="1"/>
    <xf numFmtId="0" fontId="120" fillId="3" borderId="27" xfId="0" applyFont="1" applyFill="1" applyBorder="1"/>
    <xf numFmtId="0" fontId="120" fillId="3" borderId="13" xfId="0" applyFont="1" applyFill="1" applyBorder="1"/>
    <xf numFmtId="173" fontId="120" fillId="3" borderId="12" xfId="0" applyNumberFormat="1" applyFont="1" applyFill="1" applyBorder="1"/>
    <xf numFmtId="173" fontId="120" fillId="3" borderId="13" xfId="0" applyNumberFormat="1" applyFont="1" applyFill="1" applyBorder="1"/>
    <xf numFmtId="0" fontId="120" fillId="0" borderId="9" xfId="0" applyFont="1" applyBorder="1"/>
    <xf numFmtId="0" fontId="120" fillId="0" borderId="8" xfId="0" applyFont="1" applyBorder="1" applyAlignment="1">
      <alignment horizontal="left"/>
    </xf>
    <xf numFmtId="173" fontId="127" fillId="0" borderId="0" xfId="0" applyNumberFormat="1" applyFont="1" applyAlignment="1">
      <alignment horizontal="right"/>
    </xf>
    <xf numFmtId="37" fontId="127" fillId="0" borderId="0" xfId="0" applyNumberFormat="1" applyFont="1"/>
    <xf numFmtId="173" fontId="127" fillId="0" borderId="8" xfId="0" applyNumberFormat="1" applyFont="1" applyBorder="1"/>
    <xf numFmtId="173" fontId="127" fillId="0" borderId="14" xfId="0" applyNumberFormat="1" applyFont="1" applyBorder="1" applyAlignment="1">
      <alignment horizontal="right"/>
    </xf>
    <xf numFmtId="37" fontId="127" fillId="0" borderId="14" xfId="0" applyNumberFormat="1" applyFont="1" applyBorder="1"/>
    <xf numFmtId="173" fontId="127" fillId="0" borderId="92" xfId="0" applyNumberFormat="1" applyFont="1" applyBorder="1"/>
    <xf numFmtId="37" fontId="127" fillId="0" borderId="5" xfId="0" applyNumberFormat="1" applyFont="1" applyBorder="1"/>
    <xf numFmtId="0" fontId="127" fillId="0" borderId="0" xfId="0" applyFont="1" applyAlignment="1">
      <alignment horizontal="right"/>
    </xf>
    <xf numFmtId="0" fontId="127" fillId="0" borderId="8" xfId="0" applyFont="1" applyBorder="1" applyAlignment="1">
      <alignment horizontal="right"/>
    </xf>
    <xf numFmtId="0" fontId="127" fillId="0" borderId="14" xfId="0" applyFont="1" applyBorder="1" applyAlignment="1">
      <alignment horizontal="right"/>
    </xf>
    <xf numFmtId="0" fontId="127" fillId="0" borderId="92" xfId="0" applyFont="1" applyBorder="1" applyAlignment="1">
      <alignment horizontal="right"/>
    </xf>
    <xf numFmtId="3" fontId="127" fillId="0" borderId="93" xfId="0" applyNumberFormat="1" applyFont="1" applyBorder="1"/>
    <xf numFmtId="3" fontId="127" fillId="0" borderId="55" xfId="0" applyNumberFormat="1" applyFont="1" applyBorder="1"/>
    <xf numFmtId="3" fontId="127" fillId="0" borderId="95" xfId="0" applyNumberFormat="1" applyFont="1" applyBorder="1"/>
    <xf numFmtId="0" fontId="120" fillId="3" borderId="28" xfId="0" applyFont="1" applyFill="1" applyBorder="1"/>
    <xf numFmtId="0" fontId="120" fillId="3" borderId="29" xfId="0" applyFont="1" applyFill="1" applyBorder="1" applyAlignment="1">
      <alignment horizontal="center"/>
    </xf>
    <xf numFmtId="173" fontId="120" fillId="3" borderId="29" xfId="0" applyNumberFormat="1" applyFont="1" applyFill="1" applyBorder="1"/>
    <xf numFmtId="37" fontId="120" fillId="3" borderId="30" xfId="0" applyNumberFormat="1" applyFont="1" applyFill="1" applyBorder="1"/>
    <xf numFmtId="0" fontId="120" fillId="3" borderId="28" xfId="0" applyFont="1" applyFill="1" applyBorder="1" applyAlignment="1">
      <alignment horizontal="center"/>
    </xf>
    <xf numFmtId="0" fontId="127" fillId="3" borderId="31" xfId="0" applyFont="1" applyFill="1" applyBorder="1"/>
    <xf numFmtId="0" fontId="127" fillId="3" borderId="28" xfId="0" applyFont="1" applyFill="1" applyBorder="1"/>
    <xf numFmtId="0" fontId="128" fillId="0" borderId="8" xfId="0" applyFont="1" applyBorder="1"/>
    <xf numFmtId="0" fontId="128" fillId="0" borderId="92" xfId="0" applyFont="1" applyBorder="1"/>
    <xf numFmtId="0" fontId="127" fillId="0" borderId="91" xfId="0" applyFont="1" applyBorder="1" applyAlignment="1">
      <alignment horizontal="right"/>
    </xf>
    <xf numFmtId="0" fontId="127" fillId="0" borderId="91" xfId="0" applyFont="1" applyBorder="1"/>
    <xf numFmtId="0" fontId="127" fillId="0" borderId="6" xfId="0" applyFont="1" applyBorder="1" applyAlignment="1">
      <alignment horizontal="right"/>
    </xf>
    <xf numFmtId="37" fontId="127" fillId="0" borderId="7" xfId="0" applyNumberFormat="1" applyFont="1" applyBorder="1"/>
    <xf numFmtId="0" fontId="127" fillId="0" borderId="14" xfId="0" applyFont="1" applyBorder="1"/>
    <xf numFmtId="37" fontId="120" fillId="0" borderId="0" xfId="0" applyNumberFormat="1" applyFont="1"/>
    <xf numFmtId="37" fontId="120" fillId="3" borderId="24" xfId="0" applyNumberFormat="1" applyFont="1" applyFill="1" applyBorder="1"/>
    <xf numFmtId="0" fontId="127" fillId="10" borderId="1" xfId="0" applyFont="1" applyFill="1" applyBorder="1"/>
    <xf numFmtId="1" fontId="127" fillId="0" borderId="8" xfId="0" applyNumberFormat="1" applyFont="1" applyBorder="1"/>
    <xf numFmtId="170" fontId="127" fillId="0" borderId="0" xfId="0" applyNumberFormat="1" applyFont="1"/>
    <xf numFmtId="0" fontId="120" fillId="6" borderId="20" xfId="0" applyFont="1" applyFill="1" applyBorder="1"/>
    <xf numFmtId="0" fontId="127" fillId="6" borderId="1" xfId="0" applyFont="1" applyFill="1" applyBorder="1"/>
    <xf numFmtId="0" fontId="120" fillId="6" borderId="1" xfId="0" applyFont="1" applyFill="1" applyBorder="1"/>
    <xf numFmtId="37" fontId="120" fillId="6" borderId="21" xfId="0" applyNumberFormat="1" applyFont="1" applyFill="1" applyBorder="1"/>
    <xf numFmtId="0" fontId="127" fillId="6" borderId="20" xfId="0" applyFont="1" applyFill="1" applyBorder="1"/>
    <xf numFmtId="0" fontId="127" fillId="6" borderId="22" xfId="0" applyFont="1" applyFill="1" applyBorder="1"/>
    <xf numFmtId="0" fontId="127" fillId="6" borderId="23" xfId="0" applyFont="1" applyFill="1" applyBorder="1"/>
    <xf numFmtId="37" fontId="120" fillId="6" borderId="24" xfId="0" applyNumberFormat="1" applyFont="1" applyFill="1" applyBorder="1"/>
    <xf numFmtId="0" fontId="120" fillId="3" borderId="34" xfId="0" applyFont="1" applyFill="1" applyBorder="1"/>
    <xf numFmtId="0" fontId="127" fillId="3" borderId="35" xfId="0" applyFont="1" applyFill="1" applyBorder="1"/>
    <xf numFmtId="0" fontId="120" fillId="3" borderId="35" xfId="0" applyFont="1" applyFill="1" applyBorder="1"/>
    <xf numFmtId="37" fontId="120" fillId="3" borderId="36" xfId="0" applyNumberFormat="1" applyFont="1" applyFill="1" applyBorder="1"/>
    <xf numFmtId="0" fontId="127" fillId="3" borderId="34" xfId="0" applyFont="1" applyFill="1" applyBorder="1"/>
    <xf numFmtId="1" fontId="129" fillId="0" borderId="0" xfId="0" applyNumberFormat="1" applyFont="1"/>
    <xf numFmtId="37" fontId="129" fillId="0" borderId="0" xfId="0" applyNumberFormat="1" applyFont="1"/>
    <xf numFmtId="0" fontId="148" fillId="22" borderId="1" xfId="0" applyFont="1" applyFill="1" applyBorder="1"/>
    <xf numFmtId="0" fontId="127" fillId="0" borderId="9" xfId="0" applyFont="1" applyBorder="1" applyAlignment="1">
      <alignment horizontal="center"/>
    </xf>
    <xf numFmtId="0" fontId="127" fillId="0" borderId="8" xfId="0" applyFont="1" applyBorder="1" applyAlignment="1">
      <alignment horizontal="center"/>
    </xf>
    <xf numFmtId="0" fontId="127" fillId="0" borderId="92" xfId="0" applyFont="1" applyBorder="1" applyAlignment="1">
      <alignment horizontal="center"/>
    </xf>
    <xf numFmtId="0" fontId="127" fillId="0" borderId="5" xfId="0" applyFont="1" applyBorder="1" applyAlignment="1">
      <alignment horizontal="center"/>
    </xf>
    <xf numFmtId="0" fontId="149" fillId="0" borderId="0" xfId="0" applyFont="1"/>
    <xf numFmtId="173" fontId="130" fillId="0" borderId="8" xfId="0" applyNumberFormat="1" applyFont="1" applyBorder="1"/>
    <xf numFmtId="173" fontId="130" fillId="0" borderId="9" xfId="0" applyNumberFormat="1" applyFont="1" applyBorder="1"/>
    <xf numFmtId="39" fontId="127" fillId="0" borderId="0" xfId="0" applyNumberFormat="1" applyFont="1"/>
    <xf numFmtId="3" fontId="120" fillId="0" borderId="5" xfId="0" applyNumberFormat="1" applyFont="1" applyBorder="1"/>
    <xf numFmtId="172" fontId="127" fillId="0" borderId="0" xfId="0" applyNumberFormat="1" applyFont="1"/>
    <xf numFmtId="172" fontId="120" fillId="3" borderId="26" xfId="0" applyNumberFormat="1" applyFont="1" applyFill="1" applyBorder="1"/>
    <xf numFmtId="9" fontId="120" fillId="3" borderId="12" xfId="0" applyNumberFormat="1" applyFont="1" applyFill="1" applyBorder="1"/>
    <xf numFmtId="173" fontId="120" fillId="9" borderId="13" xfId="0" applyNumberFormat="1" applyFont="1" applyFill="1" applyBorder="1"/>
    <xf numFmtId="173" fontId="127" fillId="0" borderId="0" xfId="0" applyNumberFormat="1" applyFont="1"/>
    <xf numFmtId="173" fontId="127" fillId="0" borderId="14" xfId="0" applyNumberFormat="1" applyFont="1" applyBorder="1"/>
    <xf numFmtId="0" fontId="127" fillId="3" borderId="22" xfId="0" applyFont="1" applyFill="1" applyBorder="1"/>
    <xf numFmtId="0" fontId="120" fillId="0" borderId="0" xfId="0" applyFont="1" applyAlignment="1">
      <alignment horizontal="center"/>
    </xf>
    <xf numFmtId="173" fontId="120" fillId="0" borderId="0" xfId="0" applyNumberFormat="1" applyFont="1"/>
    <xf numFmtId="0" fontId="120" fillId="0" borderId="8" xfId="0" applyFont="1" applyBorder="1" applyAlignment="1">
      <alignment horizontal="center"/>
    </xf>
    <xf numFmtId="1" fontId="127" fillId="0" borderId="0" xfId="0" applyNumberFormat="1" applyFont="1"/>
    <xf numFmtId="0" fontId="127" fillId="3" borderId="35" xfId="0" applyFont="1" applyFill="1" applyBorder="1" applyAlignment="1">
      <alignment horizontal="right"/>
    </xf>
    <xf numFmtId="0" fontId="127" fillId="3" borderId="34" xfId="0" applyFont="1" applyFill="1" applyBorder="1" applyAlignment="1">
      <alignment horizontal="right"/>
    </xf>
    <xf numFmtId="173" fontId="127" fillId="0" borderId="9" xfId="0" applyNumberFormat="1" applyFont="1" applyBorder="1"/>
    <xf numFmtId="39" fontId="127" fillId="0" borderId="14" xfId="0" applyNumberFormat="1" applyFont="1" applyBorder="1" applyAlignment="1">
      <alignment horizontal="center"/>
    </xf>
    <xf numFmtId="173" fontId="127" fillId="0" borderId="5" xfId="0" applyNumberFormat="1" applyFont="1" applyBorder="1"/>
    <xf numFmtId="37" fontId="127" fillId="0" borderId="92" xfId="0" applyNumberFormat="1" applyFont="1" applyBorder="1"/>
    <xf numFmtId="37" fontId="127" fillId="0" borderId="91" xfId="0" applyNumberFormat="1" applyFont="1" applyBorder="1"/>
    <xf numFmtId="37" fontId="127" fillId="0" borderId="6" xfId="0" applyNumberFormat="1" applyFont="1" applyBorder="1"/>
    <xf numFmtId="10" fontId="127" fillId="0" borderId="0" xfId="0" applyNumberFormat="1" applyFont="1"/>
    <xf numFmtId="173" fontId="120" fillId="0" borderId="92" xfId="0" applyNumberFormat="1" applyFont="1" applyBorder="1"/>
    <xf numFmtId="173" fontId="120" fillId="0" borderId="5" xfId="0" applyNumberFormat="1" applyFont="1" applyBorder="1"/>
    <xf numFmtId="173" fontId="127" fillId="0" borderId="6" xfId="0" applyNumberFormat="1" applyFont="1" applyBorder="1"/>
    <xf numFmtId="172" fontId="120" fillId="0" borderId="0" xfId="0" applyNumberFormat="1" applyFont="1"/>
    <xf numFmtId="37" fontId="120" fillId="0" borderId="8" xfId="0" applyNumberFormat="1" applyFont="1" applyBorder="1"/>
    <xf numFmtId="37" fontId="120" fillId="0" borderId="9" xfId="0" applyNumberFormat="1" applyFont="1" applyBorder="1"/>
    <xf numFmtId="0" fontId="120" fillId="0" borderId="14" xfId="0" applyFont="1" applyBorder="1"/>
    <xf numFmtId="172" fontId="120" fillId="0" borderId="14" xfId="0" applyNumberFormat="1" applyFont="1" applyBorder="1"/>
    <xf numFmtId="37" fontId="120" fillId="0" borderId="92" xfId="0" applyNumberFormat="1" applyFont="1" applyBorder="1"/>
    <xf numFmtId="37" fontId="120" fillId="0" borderId="5" xfId="0" applyNumberFormat="1" applyFont="1" applyBorder="1"/>
    <xf numFmtId="37" fontId="127" fillId="0" borderId="96" xfId="0" applyNumberFormat="1" applyFont="1" applyBorder="1"/>
    <xf numFmtId="0" fontId="120" fillId="6" borderId="10" xfId="0" applyFont="1" applyFill="1" applyBorder="1"/>
    <xf numFmtId="37" fontId="120" fillId="6" borderId="26" xfId="0" applyNumberFormat="1" applyFont="1" applyFill="1" applyBorder="1"/>
    <xf numFmtId="37" fontId="120" fillId="6" borderId="11" xfId="0" applyNumberFormat="1" applyFont="1" applyFill="1" applyBorder="1"/>
    <xf numFmtId="37" fontId="120" fillId="6" borderId="10" xfId="0" applyNumberFormat="1" applyFont="1" applyFill="1" applyBorder="1"/>
    <xf numFmtId="173" fontId="120" fillId="6" borderId="10" xfId="0" applyNumberFormat="1" applyFont="1" applyFill="1" applyBorder="1"/>
    <xf numFmtId="0" fontId="120" fillId="6" borderId="22" xfId="0" applyFont="1" applyFill="1" applyBorder="1"/>
    <xf numFmtId="37" fontId="120" fillId="6" borderId="23" xfId="0" applyNumberFormat="1" applyFont="1" applyFill="1" applyBorder="1"/>
    <xf numFmtId="39" fontId="120" fillId="6" borderId="23" xfId="0" applyNumberFormat="1" applyFont="1" applyFill="1" applyBorder="1" applyAlignment="1">
      <alignment horizontal="center"/>
    </xf>
    <xf numFmtId="173" fontId="120" fillId="6" borderId="24" xfId="0" applyNumberFormat="1" applyFont="1" applyFill="1" applyBorder="1"/>
    <xf numFmtId="37" fontId="120" fillId="6" borderId="22" xfId="0" applyNumberFormat="1" applyFont="1" applyFill="1" applyBorder="1"/>
    <xf numFmtId="37" fontId="120" fillId="0" borderId="91" xfId="0" applyNumberFormat="1" applyFont="1" applyBorder="1"/>
    <xf numFmtId="172" fontId="120" fillId="0" borderId="91" xfId="0" applyNumberFormat="1" applyFont="1" applyBorder="1"/>
    <xf numFmtId="37" fontId="120" fillId="0" borderId="7" xfId="0" applyNumberFormat="1" applyFont="1" applyBorder="1"/>
    <xf numFmtId="37" fontId="120" fillId="0" borderId="6" xfId="0" applyNumberFormat="1" applyFont="1" applyBorder="1"/>
    <xf numFmtId="0" fontId="120" fillId="6" borderId="19" xfId="0" applyFont="1" applyFill="1" applyBorder="1"/>
    <xf numFmtId="37" fontId="120" fillId="6" borderId="15" xfId="0" applyNumberFormat="1" applyFont="1" applyFill="1" applyBorder="1"/>
    <xf numFmtId="172" fontId="120" fillId="6" borderId="15" xfId="0" applyNumberFormat="1" applyFont="1" applyFill="1" applyBorder="1"/>
    <xf numFmtId="37" fontId="120" fillId="6" borderId="25" xfId="0" applyNumberFormat="1" applyFont="1" applyFill="1" applyBorder="1"/>
    <xf numFmtId="37" fontId="120" fillId="6" borderId="19" xfId="0" applyNumberFormat="1" applyFont="1" applyFill="1" applyBorder="1"/>
    <xf numFmtId="173" fontId="120" fillId="3" borderId="10" xfId="0" applyNumberFormat="1" applyFont="1" applyFill="1" applyBorder="1"/>
    <xf numFmtId="37" fontId="127" fillId="0" borderId="0" xfId="0" applyNumberFormat="1" applyFont="1" applyAlignment="1">
      <alignment horizontal="center"/>
    </xf>
    <xf numFmtId="0" fontId="127" fillId="0" borderId="14" xfId="0" applyFont="1" applyBorder="1" applyAlignment="1">
      <alignment horizontal="center"/>
    </xf>
    <xf numFmtId="1" fontId="127" fillId="0" borderId="6" xfId="0" applyNumberFormat="1" applyFont="1" applyBorder="1"/>
    <xf numFmtId="172" fontId="127" fillId="0" borderId="14" xfId="0" applyNumberFormat="1" applyFont="1" applyBorder="1"/>
    <xf numFmtId="2" fontId="127" fillId="0" borderId="14" xfId="0" applyNumberFormat="1" applyFont="1" applyBorder="1"/>
    <xf numFmtId="10" fontId="120" fillId="3" borderId="10" xfId="0" applyNumberFormat="1" applyFont="1" applyFill="1" applyBorder="1"/>
    <xf numFmtId="0" fontId="128" fillId="0" borderId="6" xfId="0" applyFont="1" applyBorder="1"/>
    <xf numFmtId="173" fontId="120" fillId="0" borderId="91" xfId="0" applyNumberFormat="1" applyFont="1" applyBorder="1"/>
    <xf numFmtId="173" fontId="120" fillId="0" borderId="6" xfId="0" applyNumberFormat="1" applyFont="1" applyBorder="1"/>
    <xf numFmtId="0" fontId="127" fillId="0" borderId="5" xfId="0" applyFont="1" applyBorder="1"/>
    <xf numFmtId="173" fontId="120" fillId="3" borderId="26" xfId="0" applyNumberFormat="1" applyFont="1" applyFill="1" applyBorder="1"/>
    <xf numFmtId="173" fontId="120" fillId="3" borderId="16" xfId="0" applyNumberFormat="1" applyFont="1" applyFill="1" applyBorder="1"/>
    <xf numFmtId="37" fontId="120" fillId="3" borderId="18" xfId="0" applyNumberFormat="1" applyFont="1" applyFill="1" applyBorder="1"/>
    <xf numFmtId="37" fontId="120" fillId="3" borderId="35" xfId="0" applyNumberFormat="1" applyFont="1" applyFill="1" applyBorder="1"/>
    <xf numFmtId="172" fontId="120" fillId="3" borderId="35" xfId="0" applyNumberFormat="1" applyFont="1" applyFill="1" applyBorder="1"/>
    <xf numFmtId="37" fontId="120" fillId="3" borderId="34" xfId="0" applyNumberFormat="1" applyFont="1" applyFill="1" applyBorder="1"/>
    <xf numFmtId="0" fontId="127" fillId="3" borderId="12" xfId="0" applyFont="1" applyFill="1" applyBorder="1"/>
    <xf numFmtId="6" fontId="127" fillId="0" borderId="0" xfId="0" applyNumberFormat="1" applyFont="1"/>
    <xf numFmtId="0" fontId="127" fillId="0" borderId="97" xfId="0" applyFont="1" applyBorder="1" applyAlignment="1">
      <alignment horizontal="center"/>
    </xf>
    <xf numFmtId="0" fontId="127" fillId="0" borderId="98" xfId="0" applyFont="1" applyBorder="1" applyAlignment="1">
      <alignment horizontal="center"/>
    </xf>
    <xf numFmtId="0" fontId="127" fillId="0" borderId="96" xfId="0" applyFont="1" applyBorder="1" applyAlignment="1">
      <alignment horizontal="center"/>
    </xf>
    <xf numFmtId="37" fontId="127" fillId="9" borderId="1" xfId="0" applyNumberFormat="1" applyFont="1" applyFill="1" applyBorder="1"/>
    <xf numFmtId="173" fontId="120" fillId="3" borderId="1" xfId="0" applyNumberFormat="1" applyFont="1" applyFill="1" applyBorder="1"/>
    <xf numFmtId="37" fontId="127" fillId="9" borderId="18" xfId="0" applyNumberFormat="1" applyFont="1" applyFill="1" applyBorder="1"/>
    <xf numFmtId="3" fontId="127" fillId="9" borderId="16" xfId="0" applyNumberFormat="1" applyFont="1" applyFill="1" applyBorder="1"/>
    <xf numFmtId="3" fontId="127" fillId="9" borderId="18" xfId="0" applyNumberFormat="1" applyFont="1" applyFill="1" applyBorder="1"/>
    <xf numFmtId="0" fontId="150" fillId="0" borderId="0" xfId="0" applyFont="1"/>
    <xf numFmtId="173" fontId="120" fillId="0" borderId="99" xfId="0" applyNumberFormat="1" applyFont="1" applyBorder="1"/>
    <xf numFmtId="0" fontId="120" fillId="3" borderId="37" xfId="0" applyFont="1" applyFill="1" applyBorder="1"/>
    <xf numFmtId="0" fontId="120" fillId="3" borderId="38" xfId="0" applyFont="1" applyFill="1" applyBorder="1"/>
    <xf numFmtId="37" fontId="120" fillId="3" borderId="39" xfId="0" applyNumberFormat="1" applyFont="1" applyFill="1" applyBorder="1"/>
    <xf numFmtId="0" fontId="127" fillId="3" borderId="37" xfId="0" applyFont="1" applyFill="1" applyBorder="1"/>
    <xf numFmtId="0" fontId="127" fillId="3" borderId="38" xfId="0" applyFont="1" applyFill="1" applyBorder="1"/>
    <xf numFmtId="0" fontId="151" fillId="23" borderId="1" xfId="0" applyFont="1" applyFill="1" applyBorder="1"/>
    <xf numFmtId="0" fontId="130" fillId="0" borderId="0" xfId="0" applyFont="1" applyAlignment="1">
      <alignment horizontal="center" vertical="center"/>
    </xf>
    <xf numFmtId="0" fontId="127" fillId="0" borderId="100" xfId="0" applyFont="1" applyBorder="1" applyAlignment="1">
      <alignment horizontal="left"/>
    </xf>
    <xf numFmtId="0" fontId="120" fillId="0" borderId="101" xfId="0" applyFont="1" applyBorder="1" applyAlignment="1">
      <alignment horizontal="center" vertical="center"/>
    </xf>
    <xf numFmtId="0" fontId="127" fillId="0" borderId="86" xfId="0" applyFont="1" applyBorder="1" applyAlignment="1">
      <alignment horizontal="center"/>
    </xf>
    <xf numFmtId="0" fontId="127" fillId="0" borderId="84" xfId="0" applyFont="1" applyBorder="1" applyAlignment="1">
      <alignment horizontal="center"/>
    </xf>
    <xf numFmtId="0" fontId="127" fillId="0" borderId="105" xfId="0" applyFont="1" applyBorder="1" applyAlignment="1">
      <alignment horizontal="center"/>
    </xf>
    <xf numFmtId="0" fontId="128" fillId="0" borderId="14" xfId="0" applyFont="1" applyBorder="1"/>
    <xf numFmtId="37" fontId="128" fillId="0" borderId="86" xfId="0" applyNumberFormat="1" applyFont="1" applyBorder="1"/>
    <xf numFmtId="37" fontId="128" fillId="0" borderId="84" xfId="0" applyNumberFormat="1" applyFont="1" applyBorder="1"/>
    <xf numFmtId="37" fontId="128" fillId="0" borderId="14" xfId="0" applyNumberFormat="1" applyFont="1" applyBorder="1"/>
    <xf numFmtId="173" fontId="128" fillId="0" borderId="14" xfId="0" applyNumberFormat="1" applyFont="1" applyBorder="1"/>
    <xf numFmtId="37" fontId="128" fillId="0" borderId="105" xfId="0" applyNumberFormat="1" applyFont="1" applyBorder="1"/>
    <xf numFmtId="173" fontId="128" fillId="0" borderId="5" xfId="0" applyNumberFormat="1" applyFont="1" applyBorder="1"/>
    <xf numFmtId="0" fontId="130" fillId="3" borderId="22" xfId="0" applyFont="1" applyFill="1" applyBorder="1"/>
    <xf numFmtId="0" fontId="130" fillId="3" borderId="23" xfId="0" applyFont="1" applyFill="1" applyBorder="1"/>
    <xf numFmtId="37" fontId="130" fillId="3" borderId="106" xfId="0" applyNumberFormat="1" applyFont="1" applyFill="1" applyBorder="1"/>
    <xf numFmtId="37" fontId="130" fillId="3" borderId="107" xfId="0" applyNumberFormat="1" applyFont="1" applyFill="1" applyBorder="1"/>
    <xf numFmtId="37" fontId="130" fillId="3" borderId="23" xfId="0" applyNumberFormat="1" applyFont="1" applyFill="1" applyBorder="1"/>
    <xf numFmtId="173" fontId="130" fillId="3" borderId="23" xfId="0" applyNumberFormat="1" applyFont="1" applyFill="1" applyBorder="1"/>
    <xf numFmtId="37" fontId="130" fillId="3" borderId="108" xfId="0" applyNumberFormat="1" applyFont="1" applyFill="1" applyBorder="1"/>
    <xf numFmtId="173" fontId="130" fillId="3" borderId="24" xfId="0" applyNumberFormat="1" applyFont="1" applyFill="1" applyBorder="1"/>
    <xf numFmtId="0" fontId="130" fillId="0" borderId="8" xfId="0" applyFont="1" applyBorder="1"/>
    <xf numFmtId="0" fontId="128" fillId="0" borderId="0" xfId="0" applyFont="1"/>
    <xf numFmtId="37" fontId="128" fillId="0" borderId="73" xfId="0" applyNumberFormat="1" applyFont="1" applyBorder="1"/>
    <xf numFmtId="37" fontId="128" fillId="0" borderId="71" xfId="0" applyNumberFormat="1" applyFont="1" applyBorder="1"/>
    <xf numFmtId="37" fontId="128" fillId="0" borderId="0" xfId="0" applyNumberFormat="1" applyFont="1"/>
    <xf numFmtId="173" fontId="128" fillId="0" borderId="0" xfId="0" applyNumberFormat="1" applyFont="1"/>
    <xf numFmtId="37" fontId="128" fillId="0" borderId="56" xfId="0" applyNumberFormat="1" applyFont="1" applyBorder="1"/>
    <xf numFmtId="173" fontId="128" fillId="0" borderId="7" xfId="0" applyNumberFormat="1" applyFont="1" applyBorder="1"/>
    <xf numFmtId="0" fontId="128" fillId="0" borderId="0" xfId="0" applyFont="1" applyAlignment="1">
      <alignment horizontal="right"/>
    </xf>
    <xf numFmtId="172" fontId="128" fillId="0" borderId="0" xfId="0" applyNumberFormat="1" applyFont="1"/>
    <xf numFmtId="0" fontId="128" fillId="0" borderId="71" xfId="0" applyFont="1" applyBorder="1"/>
    <xf numFmtId="173" fontId="128" fillId="0" borderId="9" xfId="0" applyNumberFormat="1" applyFont="1" applyBorder="1"/>
    <xf numFmtId="0" fontId="128" fillId="0" borderId="14" xfId="0" applyFont="1" applyBorder="1" applyAlignment="1">
      <alignment horizontal="right"/>
    </xf>
    <xf numFmtId="172" fontId="128" fillId="0" borderId="14" xfId="0" applyNumberFormat="1" applyFont="1" applyBorder="1"/>
    <xf numFmtId="0" fontId="128" fillId="0" borderId="84" xfId="0" applyFont="1" applyBorder="1"/>
    <xf numFmtId="173" fontId="128" fillId="0" borderId="86" xfId="0" applyNumberFormat="1" applyFont="1" applyBorder="1"/>
    <xf numFmtId="0" fontId="130" fillId="3" borderId="28" xfId="0" applyFont="1" applyFill="1" applyBorder="1"/>
    <xf numFmtId="0" fontId="130" fillId="3" borderId="29" xfId="0" applyFont="1" applyFill="1" applyBorder="1"/>
    <xf numFmtId="173" fontId="130" fillId="3" borderId="29" xfId="0" applyNumberFormat="1" applyFont="1" applyFill="1" applyBorder="1"/>
    <xf numFmtId="37" fontId="130" fillId="3" borderId="68" xfId="0" applyNumberFormat="1" applyFont="1" applyFill="1" applyBorder="1"/>
    <xf numFmtId="173" fontId="130" fillId="3" borderId="31" xfId="0" applyNumberFormat="1" applyFont="1" applyFill="1" applyBorder="1"/>
    <xf numFmtId="0" fontId="130" fillId="3" borderId="31" xfId="0" applyFont="1" applyFill="1" applyBorder="1"/>
    <xf numFmtId="37" fontId="130" fillId="3" borderId="29" xfId="0" applyNumberFormat="1" applyFont="1" applyFill="1" applyBorder="1"/>
    <xf numFmtId="0" fontId="130" fillId="3" borderId="110" xfId="0" applyFont="1" applyFill="1" applyBorder="1"/>
    <xf numFmtId="173" fontId="128" fillId="0" borderId="73" xfId="0" applyNumberFormat="1" applyFont="1" applyBorder="1"/>
    <xf numFmtId="172" fontId="130" fillId="3" borderId="29" xfId="0" applyNumberFormat="1" applyFont="1" applyFill="1" applyBorder="1"/>
    <xf numFmtId="37" fontId="130" fillId="3" borderId="31" xfId="0" applyNumberFormat="1" applyFont="1" applyFill="1" applyBorder="1"/>
    <xf numFmtId="37" fontId="130" fillId="3" borderId="110" xfId="0" applyNumberFormat="1" applyFont="1" applyFill="1" applyBorder="1"/>
    <xf numFmtId="0" fontId="128" fillId="0" borderId="91" xfId="0" applyFont="1" applyBorder="1" applyAlignment="1">
      <alignment horizontal="right"/>
    </xf>
    <xf numFmtId="0" fontId="128" fillId="0" borderId="91" xfId="0" applyFont="1" applyBorder="1"/>
    <xf numFmtId="37" fontId="128" fillId="0" borderId="90" xfId="0" applyNumberFormat="1" applyFont="1" applyBorder="1"/>
    <xf numFmtId="0" fontId="128" fillId="0" borderId="89" xfId="0" applyFont="1" applyBorder="1"/>
    <xf numFmtId="172" fontId="128" fillId="0" borderId="91" xfId="0" applyNumberFormat="1" applyFont="1" applyBorder="1"/>
    <xf numFmtId="37" fontId="128" fillId="0" borderId="91" xfId="0" applyNumberFormat="1" applyFont="1" applyBorder="1"/>
    <xf numFmtId="173" fontId="128" fillId="0" borderId="91" xfId="0" applyNumberFormat="1" applyFont="1" applyBorder="1"/>
    <xf numFmtId="37" fontId="128" fillId="0" borderId="111" xfId="0" applyNumberFormat="1" applyFont="1" applyBorder="1"/>
    <xf numFmtId="9" fontId="118" fillId="0" borderId="0" xfId="0" applyNumberFormat="1" applyFont="1"/>
    <xf numFmtId="37" fontId="128" fillId="0" borderId="89" xfId="0" applyNumberFormat="1" applyFont="1" applyBorder="1"/>
    <xf numFmtId="0" fontId="128" fillId="3" borderId="29" xfId="0" applyFont="1" applyFill="1" applyBorder="1"/>
    <xf numFmtId="3" fontId="130" fillId="3" borderId="29" xfId="0" applyNumberFormat="1" applyFont="1" applyFill="1" applyBorder="1" applyAlignment="1">
      <alignment horizontal="center"/>
    </xf>
    <xf numFmtId="173" fontId="130" fillId="3" borderId="30" xfId="0" applyNumberFormat="1" applyFont="1" applyFill="1" applyBorder="1"/>
    <xf numFmtId="173" fontId="130" fillId="0" borderId="0" xfId="0" applyNumberFormat="1" applyFont="1"/>
    <xf numFmtId="0" fontId="130" fillId="0" borderId="0" xfId="0" applyFont="1"/>
    <xf numFmtId="173" fontId="128" fillId="0" borderId="90" xfId="0" applyNumberFormat="1" applyFont="1" applyBorder="1"/>
    <xf numFmtId="0" fontId="128" fillId="0" borderId="73" xfId="0" applyFont="1" applyBorder="1"/>
    <xf numFmtId="0" fontId="128" fillId="0" borderId="56" xfId="0" applyFont="1" applyBorder="1"/>
    <xf numFmtId="173" fontId="128" fillId="0" borderId="112" xfId="0" applyNumberFormat="1" applyFont="1" applyBorder="1"/>
    <xf numFmtId="173" fontId="130" fillId="0" borderId="91" xfId="0" applyNumberFormat="1" applyFont="1" applyBorder="1"/>
    <xf numFmtId="0" fontId="130" fillId="0" borderId="91" xfId="0" applyFont="1" applyBorder="1"/>
    <xf numFmtId="173" fontId="130" fillId="0" borderId="89" xfId="0" applyNumberFormat="1" applyFont="1" applyBorder="1"/>
    <xf numFmtId="37" fontId="130" fillId="0" borderId="89" xfId="0" applyNumberFormat="1" applyFont="1" applyBorder="1"/>
    <xf numFmtId="37" fontId="128" fillId="0" borderId="93" xfId="0" applyNumberFormat="1" applyFont="1" applyBorder="1"/>
    <xf numFmtId="37" fontId="130" fillId="0" borderId="91" xfId="0" applyNumberFormat="1" applyFont="1" applyBorder="1"/>
    <xf numFmtId="37" fontId="130" fillId="0" borderId="0" xfId="0" applyNumberFormat="1" applyFont="1"/>
    <xf numFmtId="1" fontId="130" fillId="0" borderId="0" xfId="0" applyNumberFormat="1" applyFont="1"/>
    <xf numFmtId="37" fontId="130" fillId="0" borderId="71" xfId="0" applyNumberFormat="1" applyFont="1" applyBorder="1"/>
    <xf numFmtId="173" fontId="130" fillId="0" borderId="71" xfId="0" applyNumberFormat="1" applyFont="1" applyBorder="1"/>
    <xf numFmtId="37" fontId="128" fillId="0" borderId="55" xfId="0" applyNumberFormat="1" applyFont="1" applyBorder="1"/>
    <xf numFmtId="43" fontId="130" fillId="0" borderId="71" xfId="0" applyNumberFormat="1" applyFont="1" applyBorder="1"/>
    <xf numFmtId="37" fontId="128" fillId="3" borderId="110" xfId="0" applyNumberFormat="1" applyFont="1" applyFill="1" applyBorder="1"/>
    <xf numFmtId="0" fontId="130" fillId="6" borderId="19" xfId="0" applyFont="1" applyFill="1" applyBorder="1"/>
    <xf numFmtId="0" fontId="130" fillId="6" borderId="15" xfId="0" applyFont="1" applyFill="1" applyBorder="1"/>
    <xf numFmtId="37" fontId="130" fillId="6" borderId="15" xfId="0" applyNumberFormat="1" applyFont="1" applyFill="1" applyBorder="1"/>
    <xf numFmtId="37" fontId="128" fillId="6" borderId="113" xfId="0" applyNumberFormat="1" applyFont="1" applyFill="1" applyBorder="1"/>
    <xf numFmtId="0" fontId="128" fillId="6" borderId="15" xfId="0" applyFont="1" applyFill="1" applyBorder="1"/>
    <xf numFmtId="37" fontId="128" fillId="6" borderId="15" xfId="0" applyNumberFormat="1" applyFont="1" applyFill="1" applyBorder="1"/>
    <xf numFmtId="37" fontId="128" fillId="6" borderId="114" xfId="0" applyNumberFormat="1" applyFont="1" applyFill="1" applyBorder="1"/>
    <xf numFmtId="37" fontId="128" fillId="6" borderId="1" xfId="0" applyNumberFormat="1" applyFont="1" applyFill="1" applyBorder="1"/>
    <xf numFmtId="173" fontId="128" fillId="6" borderId="1" xfId="0" applyNumberFormat="1" applyFont="1" applyFill="1" applyBorder="1"/>
    <xf numFmtId="37" fontId="128" fillId="6" borderId="115" xfId="0" applyNumberFormat="1" applyFont="1" applyFill="1" applyBorder="1"/>
    <xf numFmtId="173" fontId="128" fillId="0" borderId="98" xfId="0" applyNumberFormat="1" applyFont="1" applyBorder="1"/>
    <xf numFmtId="0" fontId="130" fillId="3" borderId="37" xfId="0" applyFont="1" applyFill="1" applyBorder="1"/>
    <xf numFmtId="0" fontId="130" fillId="3" borderId="38" xfId="0" applyFont="1" applyFill="1" applyBorder="1"/>
    <xf numFmtId="0" fontId="130" fillId="3" borderId="38" xfId="0" applyFont="1" applyFill="1" applyBorder="1" applyAlignment="1">
      <alignment horizontal="center"/>
    </xf>
    <xf numFmtId="173" fontId="130" fillId="3" borderId="38" xfId="0" applyNumberFormat="1" applyFont="1" applyFill="1" applyBorder="1"/>
    <xf numFmtId="37" fontId="130" fillId="3" borderId="116" xfId="0" applyNumberFormat="1" applyFont="1" applyFill="1" applyBorder="1"/>
    <xf numFmtId="37" fontId="130" fillId="3" borderId="38" xfId="0" applyNumberFormat="1" applyFont="1" applyFill="1" applyBorder="1"/>
    <xf numFmtId="37" fontId="130" fillId="3" borderId="117" xfId="0" applyNumberFormat="1" applyFont="1" applyFill="1" applyBorder="1"/>
    <xf numFmtId="173" fontId="130" fillId="3" borderId="118" xfId="0" applyNumberFormat="1" applyFont="1" applyFill="1" applyBorder="1"/>
    <xf numFmtId="0" fontId="130" fillId="3" borderId="117" xfId="0" applyFont="1" applyFill="1" applyBorder="1" applyAlignment="1">
      <alignment horizontal="center"/>
    </xf>
    <xf numFmtId="37" fontId="130" fillId="3" borderId="119" xfId="0" applyNumberFormat="1" applyFont="1" applyFill="1" applyBorder="1"/>
    <xf numFmtId="173" fontId="130" fillId="3" borderId="13" xfId="0" applyNumberFormat="1" applyFont="1" applyFill="1" applyBorder="1"/>
    <xf numFmtId="39" fontId="128" fillId="0" borderId="0" xfId="0" applyNumberFormat="1" applyFont="1"/>
    <xf numFmtId="0" fontId="121" fillId="0" borderId="0" xfId="0" applyFont="1" applyAlignment="1">
      <alignment horizontal="right" vertical="center"/>
    </xf>
    <xf numFmtId="37" fontId="130" fillId="3" borderId="120" xfId="0" applyNumberFormat="1" applyFont="1" applyFill="1" applyBorder="1"/>
    <xf numFmtId="37" fontId="130" fillId="3" borderId="121" xfId="0" applyNumberFormat="1" applyFont="1" applyFill="1" applyBorder="1"/>
    <xf numFmtId="37" fontId="130" fillId="3" borderId="122" xfId="0" applyNumberFormat="1" applyFont="1" applyFill="1" applyBorder="1"/>
    <xf numFmtId="173" fontId="130" fillId="3" borderId="123" xfId="0" applyNumberFormat="1" applyFont="1" applyFill="1" applyBorder="1"/>
    <xf numFmtId="0" fontId="126" fillId="0" borderId="8" xfId="0" applyFont="1" applyBorder="1"/>
    <xf numFmtId="37" fontId="126" fillId="0" borderId="73" xfId="0" applyNumberFormat="1" applyFont="1" applyBorder="1"/>
    <xf numFmtId="0" fontId="126" fillId="0" borderId="73" xfId="0" applyFont="1" applyBorder="1"/>
    <xf numFmtId="0" fontId="126" fillId="0" borderId="55" xfId="0" applyFont="1" applyBorder="1"/>
    <xf numFmtId="0" fontId="126" fillId="0" borderId="56" xfId="0" applyFont="1" applyBorder="1"/>
    <xf numFmtId="0" fontId="126" fillId="0" borderId="9" xfId="0" applyFont="1" applyBorder="1"/>
    <xf numFmtId="173" fontId="130" fillId="3" borderId="39" xfId="0" applyNumberFormat="1" applyFont="1" applyFill="1" applyBorder="1"/>
    <xf numFmtId="176" fontId="126" fillId="0" borderId="0" xfId="0" applyNumberFormat="1" applyFont="1" applyAlignment="1">
      <alignment horizontal="right"/>
    </xf>
    <xf numFmtId="43" fontId="126" fillId="0" borderId="0" xfId="0" applyNumberFormat="1" applyFont="1"/>
    <xf numFmtId="10" fontId="118" fillId="0" borderId="0" xfId="0" applyNumberFormat="1" applyFont="1"/>
    <xf numFmtId="0" fontId="152" fillId="0" borderId="0" xfId="0" applyFont="1"/>
    <xf numFmtId="10" fontId="152" fillId="0" borderId="0" xfId="0" applyNumberFormat="1" applyFont="1"/>
    <xf numFmtId="37" fontId="120" fillId="3" borderId="12" xfId="0" applyNumberFormat="1" applyFont="1" applyFill="1" applyBorder="1"/>
    <xf numFmtId="9" fontId="127" fillId="0" borderId="0" xfId="0" applyNumberFormat="1" applyFont="1"/>
    <xf numFmtId="178" fontId="127" fillId="0" borderId="0" xfId="0" applyNumberFormat="1" applyFont="1"/>
    <xf numFmtId="0" fontId="127" fillId="21" borderId="1" xfId="0" applyFont="1" applyFill="1" applyBorder="1"/>
    <xf numFmtId="39" fontId="127" fillId="0" borderId="14" xfId="0" applyNumberFormat="1" applyFont="1" applyBorder="1"/>
    <xf numFmtId="39" fontId="120" fillId="6" borderId="23" xfId="0" applyNumberFormat="1" applyFont="1" applyFill="1" applyBorder="1"/>
    <xf numFmtId="170" fontId="127" fillId="0" borderId="9" xfId="0" applyNumberFormat="1" applyFont="1" applyBorder="1"/>
    <xf numFmtId="39" fontId="120" fillId="0" borderId="0" xfId="0" applyNumberFormat="1" applyFont="1"/>
    <xf numFmtId="173" fontId="126" fillId="0" borderId="0" xfId="0" applyNumberFormat="1" applyFont="1"/>
    <xf numFmtId="3" fontId="126" fillId="0" borderId="0" xfId="0" applyNumberFormat="1" applyFont="1"/>
    <xf numFmtId="4" fontId="126" fillId="0" borderId="0" xfId="0" applyNumberFormat="1" applyFont="1"/>
    <xf numFmtId="9" fontId="126" fillId="0" borderId="0" xfId="0" applyNumberFormat="1" applyFont="1"/>
    <xf numFmtId="2" fontId="118" fillId="0" borderId="0" xfId="0" applyNumberFormat="1" applyFont="1"/>
    <xf numFmtId="0" fontId="130" fillId="10" borderId="52" xfId="0" applyFont="1" applyFill="1" applyBorder="1" applyAlignment="1">
      <alignment horizontal="center"/>
    </xf>
    <xf numFmtId="0" fontId="130" fillId="10" borderId="127" xfId="0" applyFont="1" applyFill="1" applyBorder="1" applyAlignment="1">
      <alignment horizontal="center"/>
    </xf>
    <xf numFmtId="3" fontId="118" fillId="0" borderId="0" xfId="0" applyNumberFormat="1" applyFont="1"/>
    <xf numFmtId="37" fontId="128" fillId="0" borderId="95" xfId="0" applyNumberFormat="1" applyFont="1" applyBorder="1"/>
    <xf numFmtId="37" fontId="130" fillId="3" borderId="128" xfId="0" applyNumberFormat="1" applyFont="1" applyFill="1" applyBorder="1"/>
    <xf numFmtId="37" fontId="128" fillId="0" borderId="129" xfId="0" applyNumberFormat="1" applyFont="1" applyBorder="1"/>
    <xf numFmtId="37" fontId="128" fillId="0" borderId="130" xfId="0" applyNumberFormat="1" applyFont="1" applyBorder="1"/>
    <xf numFmtId="37" fontId="130" fillId="3" borderId="131" xfId="0" applyNumberFormat="1" applyFont="1" applyFill="1" applyBorder="1"/>
    <xf numFmtId="37" fontId="130" fillId="3" borderId="132" xfId="0" applyNumberFormat="1" applyFont="1" applyFill="1" applyBorder="1"/>
    <xf numFmtId="4" fontId="118" fillId="0" borderId="0" xfId="0" applyNumberFormat="1" applyFont="1"/>
    <xf numFmtId="173" fontId="118" fillId="0" borderId="0" xfId="0" applyNumberFormat="1" applyFont="1"/>
    <xf numFmtId="37" fontId="128" fillId="0" borderId="133" xfId="0" applyNumberFormat="1" applyFont="1" applyBorder="1"/>
    <xf numFmtId="170" fontId="126" fillId="0" borderId="0" xfId="0" applyNumberFormat="1" applyFont="1"/>
    <xf numFmtId="0" fontId="128" fillId="0" borderId="129" xfId="0" applyFont="1" applyBorder="1"/>
    <xf numFmtId="0" fontId="128" fillId="0" borderId="55" xfId="0" applyFont="1" applyBorder="1"/>
    <xf numFmtId="37" fontId="128" fillId="6" borderId="134" xfId="0" applyNumberFormat="1" applyFont="1" applyFill="1" applyBorder="1"/>
    <xf numFmtId="39" fontId="128" fillId="0" borderId="56" xfId="0" applyNumberFormat="1" applyFont="1" applyBorder="1"/>
    <xf numFmtId="39" fontId="128" fillId="0" borderId="55" xfId="0" applyNumberFormat="1" applyFont="1" applyBorder="1"/>
    <xf numFmtId="0" fontId="121" fillId="0" borderId="56" xfId="0" applyFont="1" applyBorder="1"/>
    <xf numFmtId="0" fontId="121" fillId="0" borderId="55" xfId="0" applyFont="1" applyBorder="1"/>
    <xf numFmtId="37" fontId="130" fillId="3" borderId="135" xfId="0" applyNumberFormat="1" applyFont="1" applyFill="1" applyBorder="1"/>
    <xf numFmtId="0" fontId="126" fillId="0" borderId="129" xfId="0" applyFont="1" applyBorder="1"/>
    <xf numFmtId="37" fontId="130" fillId="3" borderId="136" xfId="0" applyNumberFormat="1" applyFont="1" applyFill="1" applyBorder="1"/>
    <xf numFmtId="37" fontId="153" fillId="0" borderId="0" xfId="0" applyNumberFormat="1" applyFont="1"/>
    <xf numFmtId="171" fontId="134" fillId="6" borderId="1" xfId="0" applyNumberFormat="1" applyFont="1" applyFill="1" applyBorder="1" applyAlignment="1">
      <alignment horizontal="right"/>
    </xf>
    <xf numFmtId="0" fontId="134" fillId="6" borderId="1" xfId="0" applyFont="1" applyFill="1" applyBorder="1"/>
    <xf numFmtId="9" fontId="126" fillId="6" borderId="1" xfId="0" applyNumberFormat="1" applyFont="1" applyFill="1" applyBorder="1"/>
    <xf numFmtId="0" fontId="133" fillId="6" borderId="1" xfId="0" applyFont="1" applyFill="1" applyBorder="1" applyAlignment="1">
      <alignment horizontal="center"/>
    </xf>
    <xf numFmtId="171" fontId="126" fillId="6" borderId="1" xfId="0" applyNumberFormat="1" applyFont="1" applyFill="1" applyBorder="1" applyAlignment="1">
      <alignment horizontal="center"/>
    </xf>
    <xf numFmtId="0" fontId="154" fillId="6" borderId="1" xfId="0" applyFont="1" applyFill="1" applyBorder="1" applyAlignment="1">
      <alignment horizontal="center"/>
    </xf>
    <xf numFmtId="0" fontId="155" fillId="0" borderId="0" xfId="0" applyFont="1" applyAlignment="1">
      <alignment horizontal="center" vertical="top"/>
    </xf>
    <xf numFmtId="0" fontId="157" fillId="24" borderId="137" xfId="0" applyFont="1" applyFill="1" applyBorder="1" applyAlignment="1">
      <alignment horizontal="center" vertical="center" wrapText="1"/>
    </xf>
    <xf numFmtId="0" fontId="117" fillId="8" borderId="1" xfId="0" applyFont="1" applyFill="1" applyBorder="1" applyAlignment="1">
      <alignment horizontal="center"/>
    </xf>
    <xf numFmtId="179" fontId="118" fillId="0" borderId="0" xfId="0" applyNumberFormat="1" applyFont="1" applyAlignment="1">
      <alignment horizontal="center"/>
    </xf>
    <xf numFmtId="0" fontId="116" fillId="7" borderId="1" xfId="0" applyFont="1" applyFill="1" applyBorder="1"/>
    <xf numFmtId="0" fontId="117" fillId="7" borderId="1" xfId="0" applyFont="1" applyFill="1" applyBorder="1"/>
    <xf numFmtId="0" fontId="159" fillId="0" borderId="0" xfId="0" applyFont="1"/>
    <xf numFmtId="0" fontId="160" fillId="26" borderId="138" xfId="0" applyFont="1" applyFill="1" applyBorder="1"/>
    <xf numFmtId="0" fontId="160" fillId="26" borderId="139" xfId="0" applyFont="1" applyFill="1" applyBorder="1"/>
    <xf numFmtId="0" fontId="160" fillId="26" borderId="140" xfId="0" applyFont="1" applyFill="1" applyBorder="1"/>
    <xf numFmtId="3" fontId="161" fillId="26" borderId="141" xfId="0" applyNumberFormat="1" applyFont="1" applyFill="1" applyBorder="1" applyAlignment="1">
      <alignment horizontal="center"/>
    </xf>
    <xf numFmtId="3" fontId="161" fillId="26" borderId="0" xfId="0" applyNumberFormat="1" applyFont="1" applyFill="1" applyAlignment="1">
      <alignment horizontal="center"/>
    </xf>
    <xf numFmtId="3" fontId="161" fillId="26" borderId="142" xfId="0" applyNumberFormat="1" applyFont="1" applyFill="1" applyBorder="1" applyAlignment="1">
      <alignment horizontal="center"/>
    </xf>
    <xf numFmtId="3" fontId="161" fillId="26" borderId="143" xfId="0" applyNumberFormat="1" applyFont="1" applyFill="1" applyBorder="1" applyAlignment="1">
      <alignment horizontal="center"/>
    </xf>
    <xf numFmtId="3" fontId="161" fillId="26" borderId="144" xfId="0" applyNumberFormat="1" applyFont="1" applyFill="1" applyBorder="1" applyAlignment="1">
      <alignment horizontal="center"/>
    </xf>
    <xf numFmtId="3" fontId="161" fillId="26" borderId="145" xfId="0" applyNumberFormat="1" applyFont="1" applyFill="1" applyBorder="1" applyAlignment="1">
      <alignment horizontal="right"/>
    </xf>
    <xf numFmtId="3" fontId="161" fillId="26" borderId="145" xfId="0" applyNumberFormat="1" applyFont="1" applyFill="1" applyBorder="1" applyAlignment="1" applyProtection="1">
      <alignment horizontal="right"/>
      <protection locked="0"/>
    </xf>
    <xf numFmtId="3" fontId="161" fillId="26" borderId="141" xfId="0" applyNumberFormat="1" applyFont="1" applyFill="1" applyBorder="1"/>
    <xf numFmtId="3" fontId="161" fillId="26" borderId="0" xfId="0" applyNumberFormat="1" applyFont="1" applyFill="1"/>
    <xf numFmtId="3" fontId="161" fillId="26" borderId="142" xfId="0" applyNumberFormat="1" applyFont="1" applyFill="1" applyBorder="1"/>
    <xf numFmtId="3" fontId="161" fillId="26" borderId="141" xfId="0" applyNumberFormat="1" applyFont="1" applyFill="1" applyBorder="1" applyProtection="1">
      <protection locked="0"/>
    </xf>
    <xf numFmtId="3" fontId="161" fillId="26" borderId="142" xfId="0" applyNumberFormat="1" applyFont="1" applyFill="1" applyBorder="1" applyProtection="1">
      <protection locked="0"/>
    </xf>
    <xf numFmtId="0" fontId="161" fillId="26" borderId="141" xfId="0" applyFont="1" applyFill="1" applyBorder="1"/>
    <xf numFmtId="0" fontId="161" fillId="26" borderId="142" xfId="0" applyFont="1" applyFill="1" applyBorder="1"/>
    <xf numFmtId="3" fontId="161" fillId="26" borderId="146" xfId="0" applyNumberFormat="1" applyFont="1" applyFill="1" applyBorder="1"/>
    <xf numFmtId="3" fontId="161" fillId="26" borderId="147" xfId="0" applyNumberFormat="1" applyFont="1" applyFill="1" applyBorder="1"/>
    <xf numFmtId="3" fontId="161" fillId="26" borderId="148" xfId="0" applyNumberFormat="1" applyFont="1" applyFill="1" applyBorder="1"/>
    <xf numFmtId="3" fontId="161" fillId="26" borderId="146" xfId="0" applyNumberFormat="1" applyFont="1" applyFill="1" applyBorder="1" applyProtection="1">
      <protection locked="0"/>
    </xf>
    <xf numFmtId="3" fontId="161" fillId="26" borderId="148" xfId="0" applyNumberFormat="1" applyFont="1" applyFill="1" applyBorder="1" applyProtection="1">
      <protection locked="0"/>
    </xf>
    <xf numFmtId="0" fontId="161" fillId="26" borderId="0" xfId="0" applyFont="1" applyFill="1"/>
    <xf numFmtId="37" fontId="161" fillId="26" borderId="142" xfId="0" applyNumberFormat="1" applyFont="1" applyFill="1" applyBorder="1"/>
    <xf numFmtId="37" fontId="160" fillId="27" borderId="149" xfId="0" applyNumberFormat="1" applyFont="1" applyFill="1" applyBorder="1"/>
    <xf numFmtId="172" fontId="160" fillId="27" borderId="150" xfId="0" applyNumberFormat="1" applyFont="1" applyFill="1" applyBorder="1"/>
    <xf numFmtId="37" fontId="160" fillId="27" borderId="151" xfId="0" applyNumberFormat="1" applyFont="1" applyFill="1" applyBorder="1"/>
    <xf numFmtId="0" fontId="160" fillId="27" borderId="152" xfId="0" applyFont="1" applyFill="1" applyBorder="1"/>
    <xf numFmtId="0" fontId="160" fillId="27" borderId="153" xfId="0" applyFont="1" applyFill="1" applyBorder="1"/>
    <xf numFmtId="0" fontId="160" fillId="27" borderId="154" xfId="0" applyFont="1" applyFill="1" applyBorder="1"/>
    <xf numFmtId="0" fontId="160" fillId="28" borderId="141" xfId="0" applyFont="1" applyFill="1" applyBorder="1"/>
    <xf numFmtId="0" fontId="160" fillId="28" borderId="0" xfId="0" applyFont="1" applyFill="1"/>
    <xf numFmtId="0" fontId="160" fillId="28" borderId="142" xfId="0" applyFont="1" applyFill="1" applyBorder="1"/>
    <xf numFmtId="0" fontId="161" fillId="26" borderId="0" xfId="0" applyFont="1" applyFill="1" applyAlignment="1">
      <alignment horizontal="center"/>
    </xf>
    <xf numFmtId="9" fontId="161" fillId="26" borderId="141" xfId="2" applyFont="1" applyFill="1" applyBorder="1"/>
    <xf numFmtId="37" fontId="161" fillId="26" borderId="0" xfId="0" applyNumberFormat="1" applyFont="1" applyFill="1"/>
    <xf numFmtId="37" fontId="161" fillId="26" borderId="142" xfId="0" applyNumberFormat="1" applyFont="1" applyFill="1" applyBorder="1" applyProtection="1">
      <protection locked="0"/>
    </xf>
    <xf numFmtId="9" fontId="161" fillId="26" borderId="143" xfId="2" applyFont="1" applyFill="1" applyBorder="1"/>
    <xf numFmtId="37" fontId="161" fillId="26" borderId="144" xfId="0" applyNumberFormat="1" applyFont="1" applyFill="1" applyBorder="1"/>
    <xf numFmtId="37" fontId="161" fillId="26" borderId="145" xfId="0" applyNumberFormat="1" applyFont="1" applyFill="1" applyBorder="1"/>
    <xf numFmtId="37" fontId="161" fillId="26" borderId="145" xfId="0" applyNumberFormat="1" applyFont="1" applyFill="1" applyBorder="1" applyProtection="1">
      <protection locked="0"/>
    </xf>
    <xf numFmtId="0" fontId="161" fillId="26" borderId="143" xfId="0" applyFont="1" applyFill="1" applyBorder="1"/>
    <xf numFmtId="0" fontId="161" fillId="26" borderId="144" xfId="0" applyFont="1" applyFill="1" applyBorder="1"/>
    <xf numFmtId="0" fontId="161" fillId="26" borderId="146" xfId="0" applyFont="1" applyFill="1" applyBorder="1"/>
    <xf numFmtId="0" fontId="161" fillId="26" borderId="147" xfId="0" applyFont="1" applyFill="1" applyBorder="1"/>
    <xf numFmtId="37" fontId="161" fillId="26" borderId="148" xfId="0" applyNumberFormat="1" applyFont="1" applyFill="1" applyBorder="1"/>
    <xf numFmtId="37" fontId="161" fillId="26" borderId="148" xfId="0" applyNumberFormat="1" applyFont="1" applyFill="1" applyBorder="1" applyProtection="1">
      <protection locked="0"/>
    </xf>
    <xf numFmtId="0" fontId="160" fillId="27" borderId="155" xfId="0" applyFont="1" applyFill="1" applyBorder="1" applyAlignment="1">
      <alignment horizontal="center"/>
    </xf>
    <xf numFmtId="37" fontId="160" fillId="27" borderId="156" xfId="0" applyNumberFormat="1" applyFont="1" applyFill="1" applyBorder="1"/>
    <xf numFmtId="0" fontId="161" fillId="28" borderId="143" xfId="0" applyFont="1" applyFill="1" applyBorder="1"/>
    <xf numFmtId="0" fontId="161" fillId="28" borderId="144" xfId="0" applyFont="1" applyFill="1" applyBorder="1"/>
    <xf numFmtId="37" fontId="160" fillId="28" borderId="142" xfId="0" applyNumberFormat="1" applyFont="1" applyFill="1" applyBorder="1"/>
    <xf numFmtId="0" fontId="162" fillId="26" borderId="0" xfId="0" applyFont="1" applyFill="1"/>
    <xf numFmtId="37" fontId="162" fillId="26" borderId="0" xfId="0" applyNumberFormat="1" applyFont="1" applyFill="1"/>
    <xf numFmtId="0" fontId="163" fillId="26" borderId="0" xfId="0" applyFont="1" applyFill="1"/>
    <xf numFmtId="0" fontId="164" fillId="26" borderId="0" xfId="0" applyFont="1" applyFill="1"/>
    <xf numFmtId="0" fontId="161" fillId="26" borderId="141" xfId="0" applyFont="1" applyFill="1" applyBorder="1" applyAlignment="1">
      <alignment horizontal="center"/>
    </xf>
    <xf numFmtId="0" fontId="161" fillId="26" borderId="142" xfId="0" applyFont="1" applyFill="1" applyBorder="1" applyAlignment="1">
      <alignment horizontal="center"/>
    </xf>
    <xf numFmtId="3" fontId="161" fillId="26" borderId="145" xfId="0" applyNumberFormat="1" applyFont="1" applyFill="1" applyBorder="1" applyAlignment="1" applyProtection="1">
      <alignment horizontal="center"/>
      <protection locked="0"/>
    </xf>
    <xf numFmtId="3" fontId="161" fillId="26" borderId="143" xfId="0" applyNumberFormat="1" applyFont="1" applyFill="1" applyBorder="1"/>
    <xf numFmtId="3" fontId="161" fillId="26" borderId="144" xfId="0" applyNumberFormat="1" applyFont="1" applyFill="1" applyBorder="1"/>
    <xf numFmtId="3" fontId="161" fillId="26" borderId="145" xfId="0" applyNumberFormat="1" applyFont="1" applyFill="1" applyBorder="1"/>
    <xf numFmtId="0" fontId="160" fillId="26" borderId="141" xfId="0" applyFont="1" applyFill="1" applyBorder="1"/>
    <xf numFmtId="0" fontId="160" fillId="26" borderId="0" xfId="0" applyFont="1" applyFill="1"/>
    <xf numFmtId="0" fontId="160" fillId="26" borderId="142" xfId="0" applyFont="1" applyFill="1" applyBorder="1"/>
    <xf numFmtId="0" fontId="161" fillId="26" borderId="141" xfId="0" applyFont="1" applyFill="1" applyBorder="1" applyAlignment="1">
      <alignment horizontal="right"/>
    </xf>
    <xf numFmtId="173" fontId="161" fillId="26" borderId="0" xfId="0" applyNumberFormat="1" applyFont="1" applyFill="1"/>
    <xf numFmtId="37" fontId="163" fillId="26" borderId="0" xfId="0" applyNumberFormat="1" applyFont="1" applyFill="1"/>
    <xf numFmtId="37" fontId="161" fillId="26" borderId="141" xfId="0" applyNumberFormat="1" applyFont="1" applyFill="1" applyBorder="1"/>
    <xf numFmtId="37" fontId="161" fillId="26" borderId="141" xfId="0" applyNumberFormat="1" applyFont="1" applyFill="1" applyBorder="1" applyProtection="1">
      <protection locked="0"/>
    </xf>
    <xf numFmtId="37" fontId="161" fillId="26" borderId="0" xfId="0" applyNumberFormat="1" applyFont="1" applyFill="1" applyProtection="1">
      <protection locked="0"/>
    </xf>
    <xf numFmtId="173" fontId="161" fillId="26" borderId="142" xfId="0" applyNumberFormat="1" applyFont="1" applyFill="1" applyBorder="1"/>
    <xf numFmtId="37" fontId="161" fillId="26" borderId="143" xfId="0" applyNumberFormat="1" applyFont="1" applyFill="1" applyBorder="1"/>
    <xf numFmtId="2" fontId="161" fillId="26" borderId="144" xfId="0" applyNumberFormat="1" applyFont="1" applyFill="1" applyBorder="1"/>
    <xf numFmtId="173" fontId="161" fillId="26" borderId="145" xfId="0" applyNumberFormat="1" applyFont="1" applyFill="1" applyBorder="1"/>
    <xf numFmtId="172" fontId="161" fillId="26" borderId="0" xfId="0" applyNumberFormat="1" applyFont="1" applyFill="1"/>
    <xf numFmtId="174" fontId="161" fillId="26" borderId="0" xfId="0" applyNumberFormat="1" applyFont="1" applyFill="1"/>
    <xf numFmtId="37" fontId="160" fillId="26" borderId="141" xfId="0" applyNumberFormat="1" applyFont="1" applyFill="1" applyBorder="1"/>
    <xf numFmtId="172" fontId="160" fillId="26" borderId="0" xfId="0" applyNumberFormat="1" applyFont="1" applyFill="1"/>
    <xf numFmtId="37" fontId="160" fillId="26" borderId="143" xfId="0" applyNumberFormat="1" applyFont="1" applyFill="1" applyBorder="1"/>
    <xf numFmtId="174" fontId="161" fillId="26" borderId="144" xfId="0" applyNumberFormat="1" applyFont="1" applyFill="1" applyBorder="1"/>
    <xf numFmtId="37" fontId="160" fillId="28" borderId="149" xfId="0" applyNumberFormat="1" applyFont="1" applyFill="1" applyBorder="1"/>
    <xf numFmtId="37" fontId="160" fillId="28" borderId="150" xfId="0" applyNumberFormat="1" applyFont="1" applyFill="1" applyBorder="1"/>
    <xf numFmtId="37" fontId="160" fillId="28" borderId="151" xfId="0" applyNumberFormat="1" applyFont="1" applyFill="1" applyBorder="1"/>
    <xf numFmtId="37" fontId="160" fillId="28" borderId="143" xfId="0" applyNumberFormat="1" applyFont="1" applyFill="1" applyBorder="1"/>
    <xf numFmtId="39" fontId="160" fillId="28" borderId="144" xfId="0" applyNumberFormat="1" applyFont="1" applyFill="1" applyBorder="1"/>
    <xf numFmtId="173" fontId="160" fillId="26" borderId="142" xfId="0" applyNumberFormat="1" applyFont="1" applyFill="1" applyBorder="1"/>
    <xf numFmtId="172" fontId="161" fillId="26" borderId="0" xfId="0" applyNumberFormat="1" applyFont="1" applyFill="1" applyProtection="1">
      <protection locked="0"/>
    </xf>
    <xf numFmtId="172" fontId="161" fillId="26" borderId="144" xfId="0" applyNumberFormat="1" applyFont="1" applyFill="1" applyBorder="1"/>
    <xf numFmtId="37" fontId="160" fillId="27" borderId="150" xfId="0" applyNumberFormat="1" applyFont="1" applyFill="1" applyBorder="1"/>
    <xf numFmtId="173" fontId="160" fillId="27" borderId="154" xfId="0" applyNumberFormat="1" applyFont="1" applyFill="1" applyBorder="1"/>
    <xf numFmtId="173" fontId="160" fillId="28" borderId="142" xfId="0" applyNumberFormat="1" applyFont="1" applyFill="1" applyBorder="1"/>
    <xf numFmtId="0" fontId="161" fillId="26" borderId="145" xfId="0" applyFont="1" applyFill="1" applyBorder="1"/>
    <xf numFmtId="173" fontId="161" fillId="26" borderId="0" xfId="2" applyNumberFormat="1" applyFont="1" applyFill="1"/>
    <xf numFmtId="173" fontId="161" fillId="26" borderId="147" xfId="0" applyNumberFormat="1" applyFont="1" applyFill="1" applyBorder="1"/>
    <xf numFmtId="37" fontId="161" fillId="26" borderId="146" xfId="0" applyNumberFormat="1" applyFont="1" applyFill="1" applyBorder="1" applyProtection="1">
      <protection locked="0"/>
    </xf>
    <xf numFmtId="173" fontId="160" fillId="27" borderId="150" xfId="0" applyNumberFormat="1" applyFont="1" applyFill="1" applyBorder="1"/>
    <xf numFmtId="37" fontId="160" fillId="28" borderId="141" xfId="0" applyNumberFormat="1" applyFont="1" applyFill="1" applyBorder="1"/>
    <xf numFmtId="172" fontId="160" fillId="28" borderId="0" xfId="0" applyNumberFormat="1" applyFont="1" applyFill="1"/>
    <xf numFmtId="37" fontId="160" fillId="26" borderId="0" xfId="0" applyNumberFormat="1" applyFont="1" applyFill="1"/>
    <xf numFmtId="0" fontId="161" fillId="27" borderId="157" xfId="0" applyFont="1" applyFill="1" applyBorder="1"/>
    <xf numFmtId="0" fontId="161" fillId="27" borderId="158" xfId="0" applyFont="1" applyFill="1" applyBorder="1"/>
    <xf numFmtId="37" fontId="160" fillId="27" borderId="159" xfId="0" applyNumberFormat="1" applyFont="1" applyFill="1" applyBorder="1"/>
    <xf numFmtId="0" fontId="163" fillId="26" borderId="0" xfId="0" applyFont="1" applyFill="1" applyAlignment="1">
      <alignment horizontal="center"/>
    </xf>
    <xf numFmtId="0" fontId="163" fillId="26" borderId="153" xfId="0" applyFont="1" applyFill="1" applyBorder="1" applyAlignment="1">
      <alignment horizontal="center"/>
    </xf>
    <xf numFmtId="37" fontId="163" fillId="26" borderId="153" xfId="0" applyNumberFormat="1" applyFont="1" applyFill="1" applyBorder="1" applyAlignment="1">
      <alignment horizontal="center"/>
    </xf>
    <xf numFmtId="0" fontId="161" fillId="26" borderId="160" xfId="0" applyFont="1" applyFill="1" applyBorder="1" applyAlignment="1">
      <alignment horizontal="center"/>
    </xf>
    <xf numFmtId="0" fontId="161" fillId="26" borderId="144" xfId="0" applyFont="1" applyFill="1" applyBorder="1" applyAlignment="1">
      <alignment horizontal="center"/>
    </xf>
    <xf numFmtId="0" fontId="161" fillId="26" borderId="161" xfId="0" applyFont="1" applyFill="1" applyBorder="1" applyAlignment="1">
      <alignment horizontal="center"/>
    </xf>
    <xf numFmtId="37" fontId="165" fillId="26" borderId="160" xfId="0" applyNumberFormat="1" applyFont="1" applyFill="1" applyBorder="1"/>
    <xf numFmtId="37" fontId="165" fillId="26" borderId="144" xfId="0" applyNumberFormat="1" applyFont="1" applyFill="1" applyBorder="1"/>
    <xf numFmtId="37" fontId="165" fillId="26" borderId="161" xfId="0" applyNumberFormat="1" applyFont="1" applyFill="1" applyBorder="1"/>
    <xf numFmtId="37" fontId="166" fillId="27" borderId="160" xfId="0" applyNumberFormat="1" applyFont="1" applyFill="1" applyBorder="1"/>
    <xf numFmtId="37" fontId="166" fillId="27" borderId="144" xfId="0" applyNumberFormat="1" applyFont="1" applyFill="1" applyBorder="1"/>
    <xf numFmtId="37" fontId="166" fillId="27" borderId="161" xfId="0" applyNumberFormat="1" applyFont="1" applyFill="1" applyBorder="1"/>
    <xf numFmtId="37" fontId="165" fillId="26" borderId="162" xfId="0" applyNumberFormat="1" applyFont="1" applyFill="1" applyBorder="1"/>
    <xf numFmtId="0" fontId="165" fillId="26" borderId="0" xfId="0" applyFont="1" applyFill="1"/>
    <xf numFmtId="37" fontId="165" fillId="26" borderId="163" xfId="0" applyNumberFormat="1" applyFont="1" applyFill="1" applyBorder="1"/>
    <xf numFmtId="173" fontId="165" fillId="26" borderId="162" xfId="2" applyNumberFormat="1" applyFont="1" applyFill="1" applyBorder="1"/>
    <xf numFmtId="172" fontId="165" fillId="26" borderId="0" xfId="0" applyNumberFormat="1" applyFont="1" applyFill="1"/>
    <xf numFmtId="0" fontId="165" fillId="26" borderId="162" xfId="0" applyFont="1" applyFill="1" applyBorder="1"/>
    <xf numFmtId="173" fontId="165" fillId="26" borderId="160" xfId="2" applyNumberFormat="1" applyFont="1" applyFill="1" applyBorder="1"/>
    <xf numFmtId="172" fontId="165" fillId="26" borderId="144" xfId="0" applyNumberFormat="1" applyFont="1" applyFill="1" applyBorder="1"/>
    <xf numFmtId="0" fontId="165" fillId="26" borderId="160" xfId="0" applyFont="1" applyFill="1" applyBorder="1"/>
    <xf numFmtId="37" fontId="165" fillId="26" borderId="163" xfId="0" applyNumberFormat="1" applyFont="1" applyFill="1" applyBorder="1" applyProtection="1">
      <protection locked="0"/>
    </xf>
    <xf numFmtId="173" fontId="165" fillId="26" borderId="144" xfId="2" applyNumberFormat="1" applyFont="1" applyFill="1" applyBorder="1"/>
    <xf numFmtId="173" fontId="165" fillId="26" borderId="0" xfId="2" applyNumberFormat="1" applyFont="1" applyFill="1"/>
    <xf numFmtId="0" fontId="165" fillId="26" borderId="164" xfId="0" applyFont="1" applyFill="1" applyBorder="1"/>
    <xf numFmtId="172" fontId="165" fillId="26" borderId="147" xfId="0" applyNumberFormat="1" applyFont="1" applyFill="1" applyBorder="1"/>
    <xf numFmtId="37" fontId="165" fillId="26" borderId="165" xfId="0" applyNumberFormat="1" applyFont="1" applyFill="1" applyBorder="1"/>
    <xf numFmtId="37" fontId="165" fillId="26" borderId="161" xfId="0" applyNumberFormat="1" applyFont="1" applyFill="1" applyBorder="1" applyProtection="1">
      <protection locked="0"/>
    </xf>
    <xf numFmtId="0" fontId="167" fillId="26" borderId="162" xfId="0" applyFont="1" applyFill="1" applyBorder="1"/>
    <xf numFmtId="0" fontId="167" fillId="26" borderId="0" xfId="0" applyFont="1" applyFill="1"/>
    <xf numFmtId="37" fontId="167" fillId="26" borderId="163" xfId="0" applyNumberFormat="1" applyFont="1" applyFill="1" applyBorder="1"/>
    <xf numFmtId="173" fontId="166" fillId="26" borderId="162" xfId="0" applyNumberFormat="1" applyFont="1" applyFill="1" applyBorder="1"/>
    <xf numFmtId="0" fontId="166" fillId="26" borderId="0" xfId="0" applyFont="1" applyFill="1"/>
    <xf numFmtId="173" fontId="166" fillId="26" borderId="160" xfId="0" applyNumberFormat="1" applyFont="1" applyFill="1" applyBorder="1"/>
    <xf numFmtId="0" fontId="166" fillId="27" borderId="166" xfId="0" applyFont="1" applyFill="1" applyBorder="1" applyAlignment="1">
      <alignment horizontal="center"/>
    </xf>
    <xf numFmtId="173" fontId="166" fillId="27" borderId="167" xfId="0" applyNumberFormat="1" applyFont="1" applyFill="1" applyBorder="1"/>
    <xf numFmtId="37" fontId="166" fillId="27" borderId="168" xfId="0" applyNumberFormat="1" applyFont="1" applyFill="1" applyBorder="1"/>
    <xf numFmtId="0" fontId="166" fillId="27" borderId="169" xfId="0" applyFont="1" applyFill="1" applyBorder="1" applyAlignment="1">
      <alignment horizontal="center"/>
    </xf>
    <xf numFmtId="173" fontId="166" fillId="27" borderId="158" xfId="0" applyNumberFormat="1" applyFont="1" applyFill="1" applyBorder="1"/>
    <xf numFmtId="37" fontId="166" fillId="27" borderId="170" xfId="0" applyNumberFormat="1" applyFont="1" applyFill="1" applyBorder="1"/>
    <xf numFmtId="39" fontId="165" fillId="26" borderId="0" xfId="0" applyNumberFormat="1" applyFont="1" applyFill="1"/>
    <xf numFmtId="0" fontId="166" fillId="27" borderId="171" xfId="0" applyFont="1" applyFill="1" applyBorder="1" applyAlignment="1">
      <alignment horizontal="center"/>
    </xf>
    <xf numFmtId="173" fontId="166" fillId="27" borderId="171" xfId="0" applyNumberFormat="1" applyFont="1" applyFill="1" applyBorder="1"/>
    <xf numFmtId="37" fontId="166" fillId="27" borderId="171" xfId="0" applyNumberFormat="1" applyFont="1" applyFill="1" applyBorder="1"/>
    <xf numFmtId="0" fontId="166" fillId="27" borderId="172" xfId="0" applyFont="1" applyFill="1" applyBorder="1" applyAlignment="1">
      <alignment horizontal="center"/>
    </xf>
    <xf numFmtId="37" fontId="166" fillId="27" borderId="173" xfId="0" applyNumberFormat="1" applyFont="1" applyFill="1" applyBorder="1"/>
    <xf numFmtId="0" fontId="169" fillId="26" borderId="0" xfId="0" applyFont="1" applyFill="1"/>
    <xf numFmtId="0" fontId="169" fillId="26" borderId="162" xfId="0" applyFont="1" applyFill="1" applyBorder="1"/>
    <xf numFmtId="0" fontId="169" fillId="26" borderId="163" xfId="0" applyFont="1" applyFill="1" applyBorder="1"/>
    <xf numFmtId="37" fontId="165" fillId="26" borderId="0" xfId="0" applyNumberFormat="1" applyFont="1" applyFill="1"/>
    <xf numFmtId="0" fontId="163" fillId="26" borderId="162" xfId="0" applyFont="1" applyFill="1" applyBorder="1"/>
    <xf numFmtId="0" fontId="161" fillId="26" borderId="162" xfId="0" applyFont="1" applyFill="1" applyBorder="1"/>
    <xf numFmtId="0" fontId="160" fillId="26" borderId="162" xfId="0" applyFont="1" applyFill="1" applyBorder="1"/>
    <xf numFmtId="0" fontId="166" fillId="27" borderId="174" xfId="0" applyFont="1" applyFill="1" applyBorder="1" applyAlignment="1">
      <alignment horizontal="center"/>
    </xf>
    <xf numFmtId="173" fontId="166" fillId="27" borderId="174" xfId="0" applyNumberFormat="1" applyFont="1" applyFill="1" applyBorder="1"/>
    <xf numFmtId="37" fontId="166" fillId="27" borderId="174" xfId="0" applyNumberFormat="1" applyFont="1" applyFill="1" applyBorder="1"/>
    <xf numFmtId="0" fontId="166" fillId="27" borderId="175" xfId="0" applyFont="1" applyFill="1" applyBorder="1" applyAlignment="1">
      <alignment horizontal="center"/>
    </xf>
    <xf numFmtId="37" fontId="166" fillId="27" borderId="176" xfId="0" applyNumberFormat="1" applyFont="1" applyFill="1" applyBorder="1"/>
    <xf numFmtId="0" fontId="148" fillId="29" borderId="1" xfId="0" applyFont="1" applyFill="1" applyBorder="1"/>
    <xf numFmtId="0" fontId="148" fillId="29" borderId="1" xfId="0" applyFont="1" applyFill="1" applyBorder="1" applyAlignment="1">
      <alignment horizontal="center" vertical="center"/>
    </xf>
    <xf numFmtId="0" fontId="148" fillId="29" borderId="1" xfId="0" applyFont="1" applyFill="1" applyBorder="1" applyAlignment="1">
      <alignment horizontal="right"/>
    </xf>
    <xf numFmtId="173" fontId="120" fillId="3" borderId="13" xfId="2" applyNumberFormat="1" applyFont="1" applyFill="1" applyBorder="1"/>
    <xf numFmtId="3" fontId="127" fillId="0" borderId="94" xfId="0" applyNumberFormat="1" applyFont="1" applyBorder="1"/>
    <xf numFmtId="3" fontId="127" fillId="0" borderId="21" xfId="0" applyNumberFormat="1" applyFont="1" applyBorder="1"/>
    <xf numFmtId="173" fontId="120" fillId="3" borderId="36" xfId="2" applyNumberFormat="1" applyFont="1" applyFill="1" applyBorder="1"/>
    <xf numFmtId="0" fontId="148" fillId="29" borderId="1" xfId="0" applyFont="1" applyFill="1" applyBorder="1" applyAlignment="1">
      <alignment vertical="center"/>
    </xf>
    <xf numFmtId="0" fontId="121" fillId="0" borderId="1" xfId="0" applyFont="1" applyBorder="1" applyAlignment="1">
      <alignment horizontal="right" vertical="center"/>
    </xf>
    <xf numFmtId="0" fontId="121" fillId="0" borderId="1" xfId="0" applyFont="1" applyBorder="1" applyAlignment="1">
      <alignment horizontal="center" vertical="center"/>
    </xf>
    <xf numFmtId="0" fontId="121" fillId="0" borderId="1" xfId="0" applyFont="1" applyBorder="1"/>
    <xf numFmtId="0" fontId="121" fillId="0" borderId="1" xfId="0" applyFont="1" applyBorder="1" applyAlignment="1">
      <alignment horizontal="right"/>
    </xf>
    <xf numFmtId="43" fontId="126" fillId="0" borderId="0" xfId="1" applyFont="1"/>
    <xf numFmtId="37" fontId="127" fillId="0" borderId="21" xfId="0" applyNumberFormat="1" applyFont="1" applyBorder="1"/>
    <xf numFmtId="37" fontId="128" fillId="0" borderId="1" xfId="0" applyNumberFormat="1" applyFont="1" applyBorder="1"/>
    <xf numFmtId="0" fontId="116" fillId="0" borderId="177" xfId="0" applyFont="1" applyBorder="1" applyAlignment="1">
      <alignment horizontal="center" vertical="center"/>
    </xf>
    <xf numFmtId="0" fontId="117" fillId="0" borderId="179" xfId="0" applyFont="1" applyBorder="1" applyAlignment="1">
      <alignment horizontal="center" vertical="center"/>
    </xf>
    <xf numFmtId="167" fontId="116" fillId="0" borderId="180" xfId="0" applyNumberFormat="1" applyFont="1" applyBorder="1" applyAlignment="1">
      <alignment horizontal="center" vertical="center"/>
    </xf>
    <xf numFmtId="167" fontId="117" fillId="0" borderId="180" xfId="0" applyNumberFormat="1" applyFont="1" applyBorder="1" applyAlignment="1">
      <alignment horizontal="center" vertical="center"/>
    </xf>
    <xf numFmtId="0" fontId="117" fillId="0" borderId="181" xfId="0" applyFont="1" applyBorder="1" applyAlignment="1">
      <alignment horizontal="center" vertical="center"/>
    </xf>
    <xf numFmtId="167" fontId="117" fillId="0" borderId="182" xfId="0" applyNumberFormat="1" applyFont="1" applyBorder="1" applyAlignment="1">
      <alignment horizontal="center" vertical="center"/>
    </xf>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21" fillId="0" borderId="14" xfId="0" applyFont="1" applyBorder="1" applyAlignment="1">
      <alignment horizontal="center"/>
    </xf>
    <xf numFmtId="0" fontId="124" fillId="0" borderId="14" xfId="0" applyFont="1" applyBorder="1"/>
    <xf numFmtId="167" fontId="116" fillId="0" borderId="1" xfId="0" applyNumberFormat="1" applyFont="1" applyBorder="1" applyAlignment="1">
      <alignment horizontal="center" vertical="center"/>
    </xf>
    <xf numFmtId="167" fontId="117" fillId="0" borderId="1" xfId="0" applyNumberFormat="1" applyFont="1" applyBorder="1" applyAlignment="1">
      <alignment horizontal="center" vertical="center"/>
    </xf>
    <xf numFmtId="0" fontId="144" fillId="0" borderId="183" xfId="0" applyFont="1" applyBorder="1" applyAlignment="1">
      <alignment horizontal="center" vertical="center"/>
    </xf>
    <xf numFmtId="0" fontId="141" fillId="0" borderId="178" xfId="0" applyFont="1" applyBorder="1" applyAlignment="1">
      <alignment horizontal="center" vertical="center"/>
    </xf>
    <xf numFmtId="167" fontId="117" fillId="0" borderId="184" xfId="0" applyNumberFormat="1" applyFont="1" applyBorder="1" applyAlignment="1">
      <alignment horizontal="center" vertical="center"/>
    </xf>
    <xf numFmtId="173" fontId="130" fillId="0" borderId="8" xfId="0" applyNumberFormat="1" applyFont="1" applyBorder="1" applyAlignment="1">
      <alignment vertical="center"/>
    </xf>
    <xf numFmtId="173" fontId="130" fillId="0" borderId="9" xfId="0" applyNumberFormat="1" applyFont="1" applyBorder="1" applyAlignment="1">
      <alignment vertical="center"/>
    </xf>
    <xf numFmtId="0" fontId="170" fillId="0" borderId="0" xfId="0" applyFont="1"/>
    <xf numFmtId="0" fontId="170" fillId="0" borderId="0" xfId="0" applyFont="1" applyAlignment="1">
      <alignment horizontal="center"/>
    </xf>
    <xf numFmtId="0" fontId="170" fillId="0" borderId="0" xfId="0" applyFont="1" applyAlignment="1">
      <alignment horizontal="right"/>
    </xf>
    <xf numFmtId="0" fontId="127" fillId="0" borderId="1" xfId="0" applyFont="1" applyBorder="1"/>
    <xf numFmtId="0" fontId="127" fillId="0" borderId="20" xfId="0" applyFont="1" applyBorder="1"/>
    <xf numFmtId="14" fontId="118" fillId="0" borderId="0" xfId="0" applyNumberFormat="1" applyFont="1" applyAlignment="1">
      <alignment horizontal="left"/>
    </xf>
    <xf numFmtId="0" fontId="117" fillId="0" borderId="177" xfId="0" applyFont="1" applyBorder="1"/>
    <xf numFmtId="0" fontId="143" fillId="0" borderId="183" xfId="0" applyFont="1" applyBorder="1"/>
    <xf numFmtId="0" fontId="117" fillId="0" borderId="178" xfId="0" applyFont="1" applyBorder="1"/>
    <xf numFmtId="0" fontId="116" fillId="0" borderId="179" xfId="0" applyFont="1" applyBorder="1" applyAlignment="1">
      <alignment horizontal="left"/>
    </xf>
    <xf numFmtId="167" fontId="116" fillId="0" borderId="1" xfId="0" applyNumberFormat="1" applyFont="1" applyBorder="1" applyAlignment="1">
      <alignment horizontal="center"/>
    </xf>
    <xf numFmtId="0" fontId="117" fillId="0" borderId="180" xfId="0" applyFont="1" applyBorder="1"/>
    <xf numFmtId="167" fontId="117" fillId="0" borderId="1" xfId="0" applyNumberFormat="1" applyFont="1" applyBorder="1" applyAlignment="1">
      <alignment horizontal="right"/>
    </xf>
    <xf numFmtId="0" fontId="117" fillId="0" borderId="179" xfId="0" applyFont="1" applyBorder="1"/>
    <xf numFmtId="0" fontId="117" fillId="0" borderId="1" xfId="0" applyFont="1" applyBorder="1"/>
    <xf numFmtId="0" fontId="116" fillId="0" borderId="181" xfId="0" applyFont="1" applyBorder="1" applyAlignment="1">
      <alignment horizontal="left"/>
    </xf>
    <xf numFmtId="167" fontId="117" fillId="0" borderId="184" xfId="0" applyNumberFormat="1" applyFont="1" applyBorder="1" applyAlignment="1">
      <alignment horizontal="right"/>
    </xf>
    <xf numFmtId="175" fontId="118" fillId="0" borderId="0" xfId="0" applyNumberFormat="1" applyFont="1"/>
    <xf numFmtId="3" fontId="0" fillId="0" borderId="0" xfId="0" applyNumberFormat="1"/>
    <xf numFmtId="10" fontId="126" fillId="0" borderId="0" xfId="0" applyNumberFormat="1" applyFont="1"/>
    <xf numFmtId="170" fontId="126" fillId="0" borderId="0" xfId="1" applyNumberFormat="1" applyFont="1"/>
    <xf numFmtId="180" fontId="118" fillId="0" borderId="0" xfId="3" applyNumberFormat="1" applyFont="1"/>
    <xf numFmtId="180" fontId="118" fillId="10" borderId="1" xfId="3" applyNumberFormat="1" applyFont="1" applyFill="1" applyBorder="1" applyAlignment="1">
      <alignment horizontal="center" vertical="center"/>
    </xf>
    <xf numFmtId="180" fontId="118" fillId="10" borderId="1" xfId="3" applyNumberFormat="1" applyFont="1" applyFill="1" applyBorder="1" applyAlignment="1">
      <alignment horizontal="center"/>
    </xf>
    <xf numFmtId="17" fontId="126" fillId="0" borderId="0" xfId="0" applyNumberFormat="1" applyFont="1" applyAlignment="1">
      <alignment horizontal="right"/>
    </xf>
    <xf numFmtId="10" fontId="0" fillId="0" borderId="0" xfId="0" applyNumberFormat="1"/>
    <xf numFmtId="10" fontId="117" fillId="0" borderId="180" xfId="0" applyNumberFormat="1" applyFont="1" applyBorder="1" applyAlignment="1">
      <alignment horizontal="center"/>
    </xf>
    <xf numFmtId="0" fontId="118" fillId="31" borderId="0" xfId="0" applyFont="1" applyFill="1" applyAlignment="1">
      <alignment horizontal="center"/>
    </xf>
    <xf numFmtId="0" fontId="118" fillId="32" borderId="0" xfId="0" applyFont="1" applyFill="1" applyAlignment="1">
      <alignment horizontal="center"/>
    </xf>
    <xf numFmtId="3" fontId="130" fillId="3" borderId="29" xfId="0" applyNumberFormat="1" applyFont="1" applyFill="1" applyBorder="1" applyAlignment="1">
      <alignment horizontal="right"/>
    </xf>
    <xf numFmtId="1" fontId="127" fillId="0" borderId="14" xfId="0" applyNumberFormat="1" applyFont="1" applyBorder="1"/>
    <xf numFmtId="1" fontId="127" fillId="0" borderId="91" xfId="0" applyNumberFormat="1" applyFont="1" applyBorder="1"/>
    <xf numFmtId="37" fontId="128" fillId="30" borderId="0" xfId="0" applyNumberFormat="1" applyFont="1" applyFill="1"/>
    <xf numFmtId="37" fontId="128" fillId="0" borderId="109" xfId="0" applyNumberFormat="1" applyFont="1" applyBorder="1"/>
    <xf numFmtId="170" fontId="127" fillId="0" borderId="0" xfId="1" applyNumberFormat="1" applyFont="1"/>
    <xf numFmtId="0" fontId="0" fillId="33" borderId="0" xfId="0" applyFill="1"/>
    <xf numFmtId="49" fontId="112" fillId="0" borderId="1" xfId="10" applyNumberFormat="1" applyAlignment="1">
      <alignment horizontal="left" vertical="center"/>
    </xf>
    <xf numFmtId="43" fontId="112" fillId="0" borderId="1" xfId="1" applyFont="1" applyBorder="1" applyAlignment="1">
      <alignment horizontal="left" vertical="center"/>
    </xf>
    <xf numFmtId="37" fontId="0" fillId="0" borderId="0" xfId="0" applyNumberFormat="1"/>
    <xf numFmtId="0" fontId="158" fillId="23" borderId="0" xfId="0" applyFont="1" applyFill="1" applyAlignment="1">
      <alignment horizontal="left" vertical="top"/>
    </xf>
    <xf numFmtId="3" fontId="120" fillId="0" borderId="0" xfId="0" applyNumberFormat="1" applyFont="1"/>
    <xf numFmtId="0" fontId="81" fillId="30" borderId="1" xfId="2755" applyFill="1"/>
    <xf numFmtId="181" fontId="81" fillId="30" borderId="1" xfId="2755" applyNumberFormat="1" applyFill="1" applyAlignment="1">
      <alignment horizontal="right" vertical="center"/>
    </xf>
    <xf numFmtId="182" fontId="81" fillId="30" borderId="1" xfId="2755" applyNumberFormat="1" applyFill="1" applyAlignment="1">
      <alignment horizontal="right" vertical="center"/>
    </xf>
    <xf numFmtId="49" fontId="81" fillId="30" borderId="1" xfId="2755" applyNumberFormat="1" applyFill="1" applyAlignment="1">
      <alignment horizontal="left" vertical="center"/>
    </xf>
    <xf numFmtId="182" fontId="77" fillId="31" borderId="1" xfId="2811" applyNumberFormat="1" applyFill="1" applyAlignment="1">
      <alignment horizontal="right" vertical="center"/>
    </xf>
    <xf numFmtId="0" fontId="77" fillId="0" borderId="1" xfId="2811"/>
    <xf numFmtId="49" fontId="172" fillId="0" borderId="1" xfId="2811" applyNumberFormat="1" applyFont="1" applyAlignment="1">
      <alignment horizontal="left" vertical="center"/>
    </xf>
    <xf numFmtId="49" fontId="77" fillId="0" borderId="1" xfId="2811" applyNumberFormat="1" applyAlignment="1">
      <alignment horizontal="left" vertical="center"/>
    </xf>
    <xf numFmtId="181" fontId="172" fillId="0" borderId="1" xfId="2811" applyNumberFormat="1" applyFont="1" applyAlignment="1">
      <alignment horizontal="right" vertical="center"/>
    </xf>
    <xf numFmtId="181" fontId="77" fillId="0" borderId="1" xfId="2811" applyNumberFormat="1" applyAlignment="1">
      <alignment horizontal="right" vertical="center"/>
    </xf>
    <xf numFmtId="182" fontId="172" fillId="0" borderId="1" xfId="2811" applyNumberFormat="1" applyFont="1" applyAlignment="1">
      <alignment horizontal="right" vertical="center"/>
    </xf>
    <xf numFmtId="182" fontId="77" fillId="0" borderId="1" xfId="2811" applyNumberFormat="1" applyAlignment="1">
      <alignment horizontal="right" vertical="center"/>
    </xf>
    <xf numFmtId="49" fontId="141" fillId="0" borderId="1" xfId="4224" applyNumberFormat="1" applyFont="1" applyAlignment="1">
      <alignment horizontal="center" vertical="center"/>
    </xf>
    <xf numFmtId="182" fontId="77" fillId="31" borderId="1" xfId="5565" applyNumberFormat="1" applyFill="1" applyAlignment="1">
      <alignment horizontal="right" vertical="center"/>
    </xf>
    <xf numFmtId="0" fontId="77" fillId="0" borderId="1" xfId="5565"/>
    <xf numFmtId="49" fontId="172" fillId="0" borderId="1" xfId="5565" applyNumberFormat="1" applyFont="1" applyAlignment="1">
      <alignment horizontal="left" vertical="center"/>
    </xf>
    <xf numFmtId="49" fontId="77" fillId="0" borderId="1" xfId="5565" applyNumberFormat="1" applyAlignment="1">
      <alignment horizontal="left" vertical="center"/>
    </xf>
    <xf numFmtId="181" fontId="172" fillId="0" borderId="1" xfId="5565" applyNumberFormat="1" applyFont="1" applyAlignment="1">
      <alignment horizontal="right" vertical="center"/>
    </xf>
    <xf numFmtId="181" fontId="77" fillId="0" borderId="1" xfId="5565" applyNumberFormat="1" applyAlignment="1">
      <alignment horizontal="right" vertical="center"/>
    </xf>
    <xf numFmtId="182" fontId="172" fillId="0" borderId="1" xfId="5565" applyNumberFormat="1" applyFont="1" applyAlignment="1">
      <alignment horizontal="right" vertical="center"/>
    </xf>
    <xf numFmtId="182" fontId="77" fillId="0" borderId="1" xfId="5565" applyNumberFormat="1" applyAlignment="1">
      <alignment horizontal="right" vertical="center"/>
    </xf>
    <xf numFmtId="49" fontId="141" fillId="0" borderId="1" xfId="5551" applyNumberFormat="1" applyFont="1" applyAlignment="1">
      <alignment horizontal="center" vertical="center"/>
    </xf>
    <xf numFmtId="165" fontId="127" fillId="0" borderId="8" xfId="0" applyNumberFormat="1" applyFont="1" applyBorder="1"/>
    <xf numFmtId="165" fontId="126" fillId="0" borderId="0" xfId="0" applyNumberFormat="1" applyFont="1"/>
    <xf numFmtId="43" fontId="131" fillId="0" borderId="0" xfId="1" applyFont="1"/>
    <xf numFmtId="10" fontId="131" fillId="0" borderId="0" xfId="2" applyNumberFormat="1" applyFont="1"/>
    <xf numFmtId="3" fontId="127" fillId="0" borderId="1" xfId="0" applyNumberFormat="1" applyFont="1" applyBorder="1"/>
    <xf numFmtId="3" fontId="127" fillId="0" borderId="20" xfId="0" applyNumberFormat="1" applyFont="1" applyBorder="1"/>
    <xf numFmtId="3" fontId="127" fillId="0" borderId="23" xfId="0" applyNumberFormat="1" applyFont="1" applyBorder="1"/>
    <xf numFmtId="173" fontId="127" fillId="0" borderId="0" xfId="2" applyNumberFormat="1" applyFont="1"/>
    <xf numFmtId="173" fontId="128" fillId="0" borderId="14" xfId="2" applyNumberFormat="1" applyFont="1" applyBorder="1"/>
    <xf numFmtId="173" fontId="128" fillId="0" borderId="0" xfId="2" applyNumberFormat="1" applyFont="1"/>
    <xf numFmtId="10" fontId="117" fillId="0" borderId="182" xfId="0" applyNumberFormat="1" applyFont="1" applyBorder="1" applyAlignment="1">
      <alignment horizontal="center"/>
    </xf>
    <xf numFmtId="0" fontId="62" fillId="0" borderId="0" xfId="0" applyFont="1"/>
    <xf numFmtId="9" fontId="127" fillId="0" borderId="0" xfId="2" applyFont="1" applyAlignment="1">
      <alignment horizontal="right"/>
    </xf>
    <xf numFmtId="9" fontId="127" fillId="0" borderId="0" xfId="2" applyFont="1"/>
    <xf numFmtId="9" fontId="127" fillId="0" borderId="8" xfId="2" applyFont="1" applyFill="1" applyBorder="1"/>
    <xf numFmtId="173" fontId="127" fillId="0" borderId="0" xfId="2" applyNumberFormat="1" applyFont="1" applyFill="1"/>
    <xf numFmtId="9" fontId="129" fillId="0" borderId="0" xfId="2" applyFont="1"/>
    <xf numFmtId="0" fontId="55" fillId="0" borderId="0" xfId="0" applyFont="1"/>
    <xf numFmtId="0" fontId="130" fillId="3" borderId="124" xfId="0" applyFont="1" applyFill="1" applyBorder="1"/>
    <xf numFmtId="0" fontId="130" fillId="3" borderId="125" xfId="0" applyFont="1" applyFill="1" applyBorder="1"/>
    <xf numFmtId="0" fontId="130" fillId="3" borderId="125" xfId="0" applyFont="1" applyFill="1" applyBorder="1" applyAlignment="1">
      <alignment horizontal="center"/>
    </xf>
    <xf numFmtId="173" fontId="130" fillId="3" borderId="125" xfId="0" applyNumberFormat="1" applyFont="1" applyFill="1" applyBorder="1"/>
    <xf numFmtId="37" fontId="130" fillId="3" borderId="125" xfId="0" applyNumberFormat="1" applyFont="1" applyFill="1" applyBorder="1"/>
    <xf numFmtId="173" fontId="130" fillId="3" borderId="126" xfId="0" applyNumberFormat="1" applyFont="1" applyFill="1" applyBorder="1"/>
    <xf numFmtId="9" fontId="130" fillId="3" borderId="107" xfId="2" applyFont="1" applyFill="1" applyBorder="1"/>
    <xf numFmtId="3" fontId="120" fillId="3" borderId="27" xfId="0" applyNumberFormat="1" applyFont="1" applyFill="1" applyBorder="1"/>
    <xf numFmtId="9" fontId="127" fillId="0" borderId="14" xfId="2" applyFont="1" applyBorder="1" applyAlignment="1">
      <alignment horizontal="right"/>
    </xf>
    <xf numFmtId="0" fontId="33" fillId="0" borderId="0" xfId="0" applyFont="1"/>
    <xf numFmtId="3" fontId="43" fillId="0" borderId="0" xfId="0" applyNumberFormat="1" applyFont="1"/>
    <xf numFmtId="173" fontId="127" fillId="0" borderId="1" xfId="0" applyNumberFormat="1" applyFont="1" applyBorder="1"/>
    <xf numFmtId="0" fontId="161" fillId="26" borderId="186" xfId="0" applyFont="1" applyFill="1" applyBorder="1"/>
    <xf numFmtId="0" fontId="160" fillId="26" borderId="186" xfId="0" applyFont="1" applyFill="1" applyBorder="1"/>
    <xf numFmtId="3" fontId="160" fillId="26" borderId="186" xfId="0" applyNumberFormat="1" applyFont="1" applyFill="1" applyBorder="1"/>
    <xf numFmtId="3" fontId="160" fillId="26" borderId="187" xfId="0" applyNumberFormat="1" applyFont="1" applyFill="1" applyBorder="1"/>
    <xf numFmtId="3" fontId="160" fillId="26" borderId="188" xfId="0" applyNumberFormat="1" applyFont="1" applyFill="1" applyBorder="1"/>
    <xf numFmtId="0" fontId="160" fillId="26" borderId="146" xfId="0" applyFont="1" applyFill="1" applyBorder="1"/>
    <xf numFmtId="3" fontId="161" fillId="26" borderId="186" xfId="0" applyNumberFormat="1" applyFont="1" applyFill="1" applyBorder="1"/>
    <xf numFmtId="3" fontId="161" fillId="26" borderId="187" xfId="0" applyNumberFormat="1" applyFont="1" applyFill="1" applyBorder="1"/>
    <xf numFmtId="3" fontId="161" fillId="26" borderId="188" xfId="0" applyNumberFormat="1" applyFont="1" applyFill="1" applyBorder="1"/>
    <xf numFmtId="0" fontId="160" fillId="26" borderId="143" xfId="0" applyFont="1" applyFill="1" applyBorder="1"/>
    <xf numFmtId="0" fontId="160" fillId="27" borderId="149" xfId="0" applyFont="1" applyFill="1" applyBorder="1"/>
    <xf numFmtId="0" fontId="160" fillId="26" borderId="141" xfId="0" applyFont="1" applyFill="1" applyBorder="1" applyAlignment="1">
      <alignment horizontal="left"/>
    </xf>
    <xf numFmtId="0" fontId="160" fillId="27" borderId="189" xfId="0" applyFont="1" applyFill="1" applyBorder="1"/>
    <xf numFmtId="0" fontId="160" fillId="27" borderId="189" xfId="0" applyFont="1" applyFill="1" applyBorder="1" applyAlignment="1">
      <alignment horizontal="center"/>
    </xf>
    <xf numFmtId="173" fontId="160" fillId="27" borderId="190" xfId="0" applyNumberFormat="1" applyFont="1" applyFill="1" applyBorder="1"/>
    <xf numFmtId="37" fontId="160" fillId="27" borderId="191" xfId="0" applyNumberFormat="1" applyFont="1" applyFill="1" applyBorder="1"/>
    <xf numFmtId="0" fontId="165" fillId="26" borderId="141" xfId="0" applyFont="1" applyFill="1" applyBorder="1"/>
    <xf numFmtId="0" fontId="165" fillId="26" borderId="143" xfId="0" applyFont="1" applyFill="1" applyBorder="1"/>
    <xf numFmtId="0" fontId="161" fillId="26" borderId="187" xfId="0" applyFont="1" applyFill="1" applyBorder="1"/>
    <xf numFmtId="37" fontId="161" fillId="26" borderId="188" xfId="0" applyNumberFormat="1" applyFont="1" applyFill="1" applyBorder="1"/>
    <xf numFmtId="37" fontId="161" fillId="26" borderId="188" xfId="0" applyNumberFormat="1" applyFont="1" applyFill="1" applyBorder="1" applyProtection="1">
      <protection locked="0"/>
    </xf>
    <xf numFmtId="0" fontId="165" fillId="28" borderId="141" xfId="0" applyFont="1" applyFill="1" applyBorder="1"/>
    <xf numFmtId="0" fontId="160" fillId="27" borderId="192" xfId="0" applyFont="1" applyFill="1" applyBorder="1"/>
    <xf numFmtId="37" fontId="160" fillId="27" borderId="193" xfId="0" applyNumberFormat="1" applyFont="1" applyFill="1" applyBorder="1"/>
    <xf numFmtId="0" fontId="160" fillId="27" borderId="185" xfId="0" applyFont="1" applyFill="1" applyBorder="1"/>
    <xf numFmtId="173" fontId="160" fillId="27" borderId="194" xfId="0" applyNumberFormat="1" applyFont="1" applyFill="1" applyBorder="1"/>
    <xf numFmtId="0" fontId="160" fillId="27" borderId="195" xfId="0" applyFont="1" applyFill="1" applyBorder="1"/>
    <xf numFmtId="0" fontId="161" fillId="27" borderId="195" xfId="0" applyFont="1" applyFill="1" applyBorder="1"/>
    <xf numFmtId="10" fontId="161" fillId="27" borderId="196" xfId="2" applyNumberFormat="1" applyFont="1" applyFill="1" applyBorder="1"/>
    <xf numFmtId="37" fontId="160" fillId="27" borderId="197" xfId="0" applyNumberFormat="1" applyFont="1" applyFill="1" applyBorder="1"/>
    <xf numFmtId="0" fontId="161" fillId="27" borderId="196" xfId="0" applyFont="1" applyFill="1" applyBorder="1"/>
    <xf numFmtId="0" fontId="174" fillId="26" borderId="0" xfId="0" applyFont="1" applyFill="1"/>
    <xf numFmtId="171" fontId="163" fillId="26" borderId="0" xfId="0" applyNumberFormat="1" applyFont="1" applyFill="1" applyAlignment="1">
      <alignment horizontal="left"/>
    </xf>
    <xf numFmtId="173" fontId="161" fillId="26" borderId="141" xfId="2" applyNumberFormat="1" applyFont="1" applyFill="1" applyBorder="1"/>
    <xf numFmtId="0" fontId="160" fillId="27" borderId="192" xfId="0" applyFont="1" applyFill="1" applyBorder="1" applyAlignment="1">
      <alignment horizontal="center"/>
    </xf>
    <xf numFmtId="173" fontId="160" fillId="27" borderId="198" xfId="0" applyNumberFormat="1" applyFont="1" applyFill="1" applyBorder="1"/>
    <xf numFmtId="10" fontId="160" fillId="27" borderId="196" xfId="2" applyNumberFormat="1" applyFont="1" applyFill="1" applyBorder="1"/>
    <xf numFmtId="0" fontId="160" fillId="27" borderId="196" xfId="0" applyFont="1" applyFill="1" applyBorder="1"/>
    <xf numFmtId="37" fontId="161" fillId="26" borderId="186" xfId="0" applyNumberFormat="1" applyFont="1" applyFill="1" applyBorder="1"/>
    <xf numFmtId="37" fontId="161" fillId="26" borderId="187" xfId="0" applyNumberFormat="1" applyFont="1" applyFill="1" applyBorder="1"/>
    <xf numFmtId="37" fontId="161" fillId="26" borderId="186" xfId="0" applyNumberFormat="1" applyFont="1" applyFill="1" applyBorder="1" applyProtection="1">
      <protection locked="0"/>
    </xf>
    <xf numFmtId="37" fontId="161" fillId="26" borderId="187" xfId="0" applyNumberFormat="1" applyFont="1" applyFill="1" applyBorder="1" applyProtection="1">
      <protection locked="0"/>
    </xf>
    <xf numFmtId="0" fontId="160" fillId="28" borderId="149" xfId="0" applyFont="1" applyFill="1" applyBorder="1"/>
    <xf numFmtId="0" fontId="160" fillId="28" borderId="143" xfId="0" applyFont="1" applyFill="1" applyBorder="1"/>
    <xf numFmtId="0" fontId="160" fillId="28" borderId="186" xfId="0" applyFont="1" applyFill="1" applyBorder="1"/>
    <xf numFmtId="37" fontId="161" fillId="26" borderId="199" xfId="0" applyNumberFormat="1" applyFont="1" applyFill="1" applyBorder="1"/>
    <xf numFmtId="0" fontId="161" fillId="28" borderId="141" xfId="0" applyFont="1" applyFill="1" applyBorder="1"/>
    <xf numFmtId="170" fontId="161" fillId="26" borderId="0" xfId="1" applyNumberFormat="1" applyFont="1" applyFill="1"/>
    <xf numFmtId="170" fontId="161" fillId="26" borderId="0" xfId="1" applyNumberFormat="1" applyFont="1" applyFill="1" applyProtection="1">
      <protection locked="0"/>
    </xf>
    <xf numFmtId="0" fontId="161" fillId="28" borderId="200" xfId="0" applyFont="1" applyFill="1" applyBorder="1"/>
    <xf numFmtId="170" fontId="161" fillId="26" borderId="187" xfId="1" applyNumberFormat="1" applyFont="1" applyFill="1" applyBorder="1"/>
    <xf numFmtId="37" fontId="160" fillId="28" borderId="186" xfId="0" applyNumberFormat="1" applyFont="1" applyFill="1" applyBorder="1"/>
    <xf numFmtId="172" fontId="160" fillId="28" borderId="187" xfId="0" applyNumberFormat="1" applyFont="1" applyFill="1" applyBorder="1"/>
    <xf numFmtId="37" fontId="160" fillId="28" borderId="188" xfId="0" applyNumberFormat="1" applyFont="1" applyFill="1" applyBorder="1"/>
    <xf numFmtId="173" fontId="160" fillId="27" borderId="196" xfId="2" applyNumberFormat="1" applyFont="1" applyFill="1" applyBorder="1"/>
    <xf numFmtId="0" fontId="165" fillId="26" borderId="186" xfId="0" applyFont="1" applyFill="1" applyBorder="1"/>
    <xf numFmtId="0" fontId="160" fillId="27" borderId="201" xfId="0" applyFont="1" applyFill="1" applyBorder="1"/>
    <xf numFmtId="37" fontId="160" fillId="26" borderId="186" xfId="0" applyNumberFormat="1" applyFont="1" applyFill="1" applyBorder="1"/>
    <xf numFmtId="173" fontId="160" fillId="26" borderId="187" xfId="0" applyNumberFormat="1" applyFont="1" applyFill="1" applyBorder="1"/>
    <xf numFmtId="37" fontId="160" fillId="26" borderId="188" xfId="0" applyNumberFormat="1" applyFont="1" applyFill="1" applyBorder="1"/>
    <xf numFmtId="0" fontId="160" fillId="27" borderId="202" xfId="0" applyFont="1" applyFill="1" applyBorder="1"/>
    <xf numFmtId="37" fontId="160" fillId="27" borderId="202" xfId="0" applyNumberFormat="1" applyFont="1" applyFill="1" applyBorder="1"/>
    <xf numFmtId="172" fontId="160" fillId="27" borderId="203" xfId="0" applyNumberFormat="1" applyFont="1" applyFill="1" applyBorder="1"/>
    <xf numFmtId="37" fontId="160" fillId="27" borderId="204" xfId="0" applyNumberFormat="1" applyFont="1" applyFill="1" applyBorder="1"/>
    <xf numFmtId="43" fontId="160" fillId="27" borderId="196" xfId="1" applyFont="1" applyFill="1" applyBorder="1"/>
    <xf numFmtId="0" fontId="165" fillId="26" borderId="200" xfId="0" applyFont="1" applyFill="1" applyBorder="1"/>
    <xf numFmtId="0" fontId="160" fillId="27" borderId="157" xfId="0" applyFont="1" applyFill="1" applyBorder="1"/>
    <xf numFmtId="0" fontId="166" fillId="26" borderId="0" xfId="0" applyFont="1" applyFill="1" applyAlignment="1">
      <alignment horizontal="center" vertical="center"/>
    </xf>
    <xf numFmtId="0" fontId="160" fillId="26" borderId="205" xfId="0" applyFont="1" applyFill="1" applyBorder="1" applyAlignment="1">
      <alignment horizontal="center"/>
    </xf>
    <xf numFmtId="0" fontId="161" fillId="26" borderId="160" xfId="0" applyFont="1" applyFill="1" applyBorder="1"/>
    <xf numFmtId="0" fontId="166" fillId="27" borderId="160" xfId="0" applyFont="1" applyFill="1" applyBorder="1"/>
    <xf numFmtId="0" fontId="166" fillId="26" borderId="162" xfId="0" applyFont="1" applyFill="1" applyBorder="1"/>
    <xf numFmtId="0" fontId="166" fillId="27" borderId="206" xfId="0" applyFont="1" applyFill="1" applyBorder="1"/>
    <xf numFmtId="173" fontId="166" fillId="27" borderId="206" xfId="0" applyNumberFormat="1" applyFont="1" applyFill="1" applyBorder="1"/>
    <xf numFmtId="170" fontId="166" fillId="27" borderId="190" xfId="1" applyNumberFormat="1" applyFont="1" applyFill="1" applyBorder="1"/>
    <xf numFmtId="37" fontId="166" fillId="27" borderId="207" xfId="0" applyNumberFormat="1" applyFont="1" applyFill="1" applyBorder="1"/>
    <xf numFmtId="0" fontId="166" fillId="27" borderId="190" xfId="0" applyFont="1" applyFill="1" applyBorder="1"/>
    <xf numFmtId="0" fontId="165" fillId="28" borderId="162" xfId="0" applyFont="1" applyFill="1" applyBorder="1"/>
    <xf numFmtId="172" fontId="166" fillId="27" borderId="190" xfId="0" applyNumberFormat="1" applyFont="1" applyFill="1" applyBorder="1"/>
    <xf numFmtId="0" fontId="165" fillId="26" borderId="208" xfId="0" applyFont="1" applyFill="1" applyBorder="1"/>
    <xf numFmtId="172" fontId="165" fillId="26" borderId="187" xfId="0" applyNumberFormat="1" applyFont="1" applyFill="1" applyBorder="1"/>
    <xf numFmtId="37" fontId="165" fillId="26" borderId="209" xfId="0" applyNumberFormat="1" applyFont="1" applyFill="1" applyBorder="1"/>
    <xf numFmtId="0" fontId="165" fillId="26" borderId="163" xfId="0" applyFont="1" applyFill="1" applyBorder="1"/>
    <xf numFmtId="173" fontId="166" fillId="26" borderId="208" xfId="0" applyNumberFormat="1" applyFont="1" applyFill="1" applyBorder="1"/>
    <xf numFmtId="0" fontId="166" fillId="26" borderId="187" xfId="0" applyFont="1" applyFill="1" applyBorder="1"/>
    <xf numFmtId="37" fontId="165" fillId="28" borderId="209" xfId="0" applyNumberFormat="1" applyFont="1" applyFill="1" applyBorder="1"/>
    <xf numFmtId="0" fontId="165" fillId="27" borderId="190" xfId="0" applyFont="1" applyFill="1" applyBorder="1"/>
    <xf numFmtId="0" fontId="166" fillId="28" borderId="208" xfId="0" applyFont="1" applyFill="1" applyBorder="1"/>
    <xf numFmtId="0" fontId="165" fillId="28" borderId="187" xfId="0" applyFont="1" applyFill="1" applyBorder="1"/>
    <xf numFmtId="0" fontId="166" fillId="27" borderId="166" xfId="0" applyFont="1" applyFill="1" applyBorder="1"/>
    <xf numFmtId="0" fontId="166" fillId="27" borderId="210" xfId="0" applyFont="1" applyFill="1" applyBorder="1"/>
    <xf numFmtId="0" fontId="169" fillId="26" borderId="211" xfId="0" applyFont="1" applyFill="1" applyBorder="1"/>
    <xf numFmtId="0" fontId="165" fillId="26" borderId="211" xfId="0" applyFont="1" applyFill="1" applyBorder="1"/>
    <xf numFmtId="0" fontId="161" fillId="26" borderId="211" xfId="0" applyFont="1" applyFill="1" applyBorder="1"/>
    <xf numFmtId="0" fontId="161" fillId="26" borderId="212" xfId="0" applyFont="1" applyFill="1" applyBorder="1"/>
    <xf numFmtId="0" fontId="166" fillId="27" borderId="213" xfId="0" applyFont="1" applyFill="1" applyBorder="1"/>
    <xf numFmtId="37" fontId="160" fillId="26" borderId="151" xfId="0" applyNumberFormat="1" applyFont="1" applyFill="1" applyBorder="1"/>
    <xf numFmtId="0" fontId="160" fillId="26" borderId="154" xfId="0" applyFont="1" applyFill="1" applyBorder="1"/>
    <xf numFmtId="37" fontId="161" fillId="34" borderId="142" xfId="0" applyNumberFormat="1" applyFont="1" applyFill="1" applyBorder="1" applyProtection="1">
      <protection locked="0"/>
    </xf>
    <xf numFmtId="37" fontId="161" fillId="34" borderId="145" xfId="0" applyNumberFormat="1" applyFont="1" applyFill="1" applyBorder="1" applyProtection="1">
      <protection locked="0"/>
    </xf>
    <xf numFmtId="37" fontId="160" fillId="26" borderId="191" xfId="0" applyNumberFormat="1" applyFont="1" applyFill="1" applyBorder="1"/>
    <xf numFmtId="37" fontId="161" fillId="34" borderId="188" xfId="0" applyNumberFormat="1" applyFont="1" applyFill="1" applyBorder="1" applyProtection="1">
      <protection locked="0"/>
    </xf>
    <xf numFmtId="37" fontId="161" fillId="34" borderId="148" xfId="0" applyNumberFormat="1" applyFont="1" applyFill="1" applyBorder="1" applyProtection="1">
      <protection locked="0"/>
    </xf>
    <xf numFmtId="37" fontId="160" fillId="26" borderId="193" xfId="0" applyNumberFormat="1" applyFont="1" applyFill="1" applyBorder="1"/>
    <xf numFmtId="37" fontId="160" fillId="26" borderId="156" xfId="0" applyNumberFormat="1" applyFont="1" applyFill="1" applyBorder="1"/>
    <xf numFmtId="37" fontId="160" fillId="26" borderId="142" xfId="0" applyNumberFormat="1" applyFont="1" applyFill="1" applyBorder="1"/>
    <xf numFmtId="37" fontId="160" fillId="26" borderId="197" xfId="0" applyNumberFormat="1" applyFont="1" applyFill="1" applyBorder="1"/>
    <xf numFmtId="3" fontId="160" fillId="26" borderId="141" xfId="0" applyNumberFormat="1" applyFont="1" applyFill="1" applyBorder="1"/>
    <xf numFmtId="3" fontId="160" fillId="26" borderId="0" xfId="0" applyNumberFormat="1" applyFont="1" applyFill="1"/>
    <xf numFmtId="3" fontId="160" fillId="26" borderId="142" xfId="0" applyNumberFormat="1" applyFont="1" applyFill="1" applyBorder="1"/>
    <xf numFmtId="9" fontId="161" fillId="26" borderId="141" xfId="0" applyNumberFormat="1" applyFont="1" applyFill="1" applyBorder="1"/>
    <xf numFmtId="9" fontId="161" fillId="26" borderId="146" xfId="0" applyNumberFormat="1" applyFont="1" applyFill="1" applyBorder="1"/>
    <xf numFmtId="0" fontId="161" fillId="26" borderId="155" xfId="0" applyFont="1" applyFill="1" applyBorder="1" applyAlignment="1">
      <alignment horizontal="right"/>
    </xf>
    <xf numFmtId="37" fontId="161" fillId="33" borderId="0" xfId="0" applyNumberFormat="1" applyFont="1" applyFill="1" applyProtection="1">
      <protection locked="0"/>
    </xf>
    <xf numFmtId="37" fontId="161" fillId="33" borderId="142" xfId="0" applyNumberFormat="1" applyFont="1" applyFill="1" applyBorder="1" applyProtection="1">
      <protection locked="0"/>
    </xf>
    <xf numFmtId="172" fontId="161" fillId="26" borderId="187" xfId="0" applyNumberFormat="1" applyFont="1" applyFill="1" applyBorder="1" applyProtection="1">
      <protection locked="0"/>
    </xf>
    <xf numFmtId="37" fontId="161" fillId="0" borderId="186" xfId="0" applyNumberFormat="1" applyFont="1" applyBorder="1" applyProtection="1">
      <protection locked="0"/>
    </xf>
    <xf numFmtId="173" fontId="160" fillId="26" borderId="154" xfId="0" applyNumberFormat="1" applyFont="1" applyFill="1" applyBorder="1"/>
    <xf numFmtId="37" fontId="160" fillId="26" borderId="204" xfId="0" applyNumberFormat="1" applyFont="1" applyFill="1" applyBorder="1"/>
    <xf numFmtId="0" fontId="177" fillId="26" borderId="0" xfId="0" applyFont="1" applyFill="1"/>
    <xf numFmtId="37" fontId="161" fillId="33" borderId="188" xfId="0" applyNumberFormat="1" applyFont="1" applyFill="1" applyBorder="1" applyProtection="1">
      <protection locked="0"/>
    </xf>
    <xf numFmtId="37" fontId="161" fillId="34" borderId="145" xfId="0" applyNumberFormat="1" applyFont="1" applyFill="1" applyBorder="1"/>
    <xf numFmtId="37" fontId="160" fillId="26" borderId="159" xfId="0" applyNumberFormat="1" applyFont="1" applyFill="1" applyBorder="1"/>
    <xf numFmtId="37" fontId="166" fillId="26" borderId="161" xfId="0" applyNumberFormat="1" applyFont="1" applyFill="1" applyBorder="1"/>
    <xf numFmtId="37" fontId="166" fillId="26" borderId="207" xfId="0" applyNumberFormat="1" applyFont="1" applyFill="1" applyBorder="1"/>
    <xf numFmtId="37" fontId="165" fillId="34" borderId="163" xfId="0" applyNumberFormat="1" applyFont="1" applyFill="1" applyBorder="1" applyProtection="1">
      <protection locked="0"/>
    </xf>
    <xf numFmtId="37" fontId="165" fillId="33" borderId="163" xfId="0" applyNumberFormat="1" applyFont="1" applyFill="1" applyBorder="1"/>
    <xf numFmtId="37" fontId="165" fillId="33" borderId="163" xfId="0" applyNumberFormat="1" applyFont="1" applyFill="1" applyBorder="1" applyProtection="1">
      <protection locked="0"/>
    </xf>
    <xf numFmtId="37" fontId="165" fillId="33" borderId="161" xfId="0" applyNumberFormat="1" applyFont="1" applyFill="1" applyBorder="1" applyProtection="1">
      <protection locked="0"/>
    </xf>
    <xf numFmtId="37" fontId="165" fillId="35" borderId="209" xfId="0" applyNumberFormat="1" applyFont="1" applyFill="1" applyBorder="1"/>
    <xf numFmtId="0" fontId="168" fillId="28" borderId="208" xfId="0" applyFont="1" applyFill="1" applyBorder="1"/>
    <xf numFmtId="0" fontId="167" fillId="28" borderId="187" xfId="0" applyFont="1" applyFill="1" applyBorder="1"/>
    <xf numFmtId="37" fontId="167" fillId="28" borderId="209" xfId="0" applyNumberFormat="1" applyFont="1" applyFill="1" applyBorder="1"/>
    <xf numFmtId="37" fontId="167" fillId="26" borderId="209" xfId="0" applyNumberFormat="1" applyFont="1" applyFill="1" applyBorder="1"/>
    <xf numFmtId="37" fontId="166" fillId="26" borderId="170" xfId="0" applyNumberFormat="1" applyFont="1" applyFill="1" applyBorder="1"/>
    <xf numFmtId="37" fontId="166" fillId="26" borderId="173" xfId="0" applyNumberFormat="1" applyFont="1" applyFill="1" applyBorder="1"/>
    <xf numFmtId="37" fontId="166" fillId="26" borderId="176" xfId="0" applyNumberFormat="1" applyFont="1" applyFill="1" applyBorder="1"/>
    <xf numFmtId="0" fontId="13" fillId="0" borderId="0" xfId="0" applyFont="1"/>
    <xf numFmtId="0" fontId="5" fillId="0" borderId="0" xfId="0" applyFont="1"/>
    <xf numFmtId="37" fontId="118" fillId="0" borderId="0" xfId="0" applyNumberFormat="1" applyFont="1"/>
    <xf numFmtId="43" fontId="0" fillId="0" borderId="0" xfId="1" applyFont="1"/>
    <xf numFmtId="0" fontId="157" fillId="25" borderId="0" xfId="0" applyFont="1" applyFill="1" applyAlignment="1">
      <alignment horizontal="left" vertical="top"/>
    </xf>
    <xf numFmtId="0" fontId="158" fillId="23" borderId="0" xfId="0" applyFont="1" applyFill="1" applyAlignment="1">
      <alignment horizontal="center" vertical="top"/>
    </xf>
    <xf numFmtId="43" fontId="155" fillId="0" borderId="0" xfId="1" applyFont="1" applyAlignment="1">
      <alignment horizontal="center" vertical="top"/>
    </xf>
    <xf numFmtId="43" fontId="156" fillId="0" borderId="0" xfId="1" applyFont="1" applyAlignment="1">
      <alignment horizontal="center" vertical="top"/>
    </xf>
    <xf numFmtId="0" fontId="120" fillId="0" borderId="20" xfId="0" applyFont="1" applyBorder="1"/>
    <xf numFmtId="43" fontId="0" fillId="0" borderId="0" xfId="0" applyNumberFormat="1"/>
    <xf numFmtId="43" fontId="0" fillId="0" borderId="0" xfId="1" applyFont="1" applyFill="1"/>
    <xf numFmtId="37" fontId="130" fillId="36" borderId="68" xfId="0" applyNumberFormat="1" applyFont="1" applyFill="1" applyBorder="1"/>
    <xf numFmtId="0" fontId="127" fillId="0" borderId="214" xfId="0" applyFont="1" applyBorder="1"/>
    <xf numFmtId="0" fontId="127" fillId="0" borderId="215" xfId="0" applyFont="1" applyBorder="1"/>
    <xf numFmtId="0" fontId="127" fillId="0" borderId="216" xfId="0" applyFont="1" applyBorder="1"/>
    <xf numFmtId="0" fontId="120" fillId="0" borderId="215" xfId="0" applyFont="1" applyBorder="1"/>
    <xf numFmtId="0" fontId="160" fillId="26" borderId="138" xfId="0" applyFont="1" applyFill="1" applyBorder="1" applyAlignment="1">
      <alignment horizontal="center"/>
    </xf>
    <xf numFmtId="0" fontId="160" fillId="26" borderId="139" xfId="0" applyFont="1" applyFill="1" applyBorder="1" applyAlignment="1">
      <alignment horizontal="center"/>
    </xf>
    <xf numFmtId="0" fontId="160" fillId="26" borderId="140" xfId="0" applyFont="1" applyFill="1" applyBorder="1" applyAlignment="1">
      <alignment horizontal="center"/>
    </xf>
    <xf numFmtId="0" fontId="116" fillId="8" borderId="44" xfId="0" applyFont="1" applyFill="1" applyBorder="1" applyAlignment="1">
      <alignment horizontal="center" vertical="center" wrapText="1"/>
    </xf>
    <xf numFmtId="0" fontId="124" fillId="0" borderId="49" xfId="0" applyFont="1" applyBorder="1"/>
    <xf numFmtId="0" fontId="140" fillId="9" borderId="50" xfId="0" applyFont="1" applyFill="1" applyBorder="1" applyAlignment="1">
      <alignment horizontal="center" vertical="center" wrapText="1"/>
    </xf>
    <xf numFmtId="0" fontId="124" fillId="0" borderId="51" xfId="0" applyFont="1" applyBorder="1"/>
    <xf numFmtId="0" fontId="118" fillId="13" borderId="88" xfId="0" applyFont="1" applyFill="1" applyBorder="1" applyAlignment="1">
      <alignment horizontal="left" vertical="top" wrapText="1"/>
    </xf>
    <xf numFmtId="0" fontId="124" fillId="0" borderId="69" xfId="0" applyFont="1" applyBorder="1"/>
    <xf numFmtId="0" fontId="124" fillId="0" borderId="82" xfId="0" applyFont="1" applyBorder="1"/>
    <xf numFmtId="0" fontId="140" fillId="0" borderId="14" xfId="0" applyFont="1" applyBorder="1" applyAlignment="1">
      <alignment horizontal="center"/>
    </xf>
    <xf numFmtId="0" fontId="124" fillId="0" borderId="14" xfId="0" applyFont="1" applyBorder="1"/>
    <xf numFmtId="0" fontId="120" fillId="0" borderId="103" xfId="0" applyFont="1" applyBorder="1" applyAlignment="1">
      <alignment horizontal="center" vertical="center"/>
    </xf>
    <xf numFmtId="0" fontId="124" fillId="0" borderId="101" xfId="0" applyFont="1" applyBorder="1"/>
    <xf numFmtId="0" fontId="124" fillId="0" borderId="104" xfId="0" applyFont="1" applyBorder="1"/>
    <xf numFmtId="0" fontId="120" fillId="0" borderId="17" xfId="0" applyFont="1" applyBorder="1" applyAlignment="1">
      <alignment horizontal="center"/>
    </xf>
    <xf numFmtId="0" fontId="124" fillId="0" borderId="17" xfId="0" applyFont="1" applyBorder="1"/>
    <xf numFmtId="0" fontId="124" fillId="0" borderId="4" xfId="0" applyFont="1" applyBorder="1"/>
    <xf numFmtId="0" fontId="120" fillId="0" borderId="3" xfId="0" applyFont="1" applyBorder="1" applyAlignment="1">
      <alignment horizontal="center"/>
    </xf>
    <xf numFmtId="0" fontId="120" fillId="0" borderId="16" xfId="0" applyFont="1" applyBorder="1" applyAlignment="1">
      <alignment horizontal="center"/>
    </xf>
    <xf numFmtId="0" fontId="124" fillId="0" borderId="18" xfId="0" applyFont="1" applyBorder="1"/>
    <xf numFmtId="0" fontId="120" fillId="0" borderId="101" xfId="0" applyFont="1" applyBorder="1" applyAlignment="1">
      <alignment horizontal="center" vertical="center"/>
    </xf>
    <xf numFmtId="0" fontId="124" fillId="0" borderId="102"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26">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tabSelected="1" workbookViewId="0">
      <selection activeCell="D17" sqref="D1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2713</v>
      </c>
    </row>
    <row r="2" spans="1:14">
      <c r="A2" s="1"/>
      <c r="G2" s="3"/>
      <c r="M2" s="4" t="s">
        <v>2</v>
      </c>
      <c r="N2" s="4" t="s">
        <v>3</v>
      </c>
    </row>
    <row r="3" spans="1:14">
      <c r="A3" s="1" t="s">
        <v>4</v>
      </c>
      <c r="B3" s="2" t="s">
        <v>11</v>
      </c>
      <c r="C3" s="4">
        <f>+VLOOKUP(B3,$K$3:$L$14,2,0)</f>
        <v>5</v>
      </c>
      <c r="G3" s="3"/>
      <c r="K3" s="5" t="s">
        <v>6</v>
      </c>
      <c r="L3" s="4">
        <v>1</v>
      </c>
      <c r="M3" s="4" t="str">
        <f t="shared" ref="M3:M14" si="0">+IF($K3=$B$3,"X","")</f>
        <v/>
      </c>
      <c r="N3" s="4" t="str">
        <f t="shared" ref="N3:N14" si="1">+IF(K3=B3,"X",IF(L3&lt;=$C$3,"X",""))</f>
        <v>X</v>
      </c>
    </row>
    <row r="4" spans="1:14">
      <c r="A4" s="1" t="s">
        <v>7</v>
      </c>
      <c r="B4" s="2">
        <v>2025</v>
      </c>
      <c r="K4" s="5" t="s">
        <v>8</v>
      </c>
      <c r="L4" s="4">
        <v>2</v>
      </c>
      <c r="M4" s="4" t="str">
        <f t="shared" si="0"/>
        <v/>
      </c>
      <c r="N4" s="4" t="str">
        <f t="shared" si="1"/>
        <v>X</v>
      </c>
    </row>
    <row r="5" spans="1:14" ht="15" customHeight="1">
      <c r="K5" s="5" t="s">
        <v>9</v>
      </c>
      <c r="L5" s="4">
        <v>3</v>
      </c>
      <c r="M5" s="4" t="str">
        <f t="shared" si="0"/>
        <v/>
      </c>
      <c r="N5" s="4" t="str">
        <f t="shared" si="1"/>
        <v>X</v>
      </c>
    </row>
    <row r="6" spans="1:14">
      <c r="A6" s="1"/>
      <c r="B6" s="6"/>
      <c r="K6" s="5" t="s">
        <v>10</v>
      </c>
      <c r="L6" s="4">
        <v>4</v>
      </c>
      <c r="M6" s="4" t="str">
        <f t="shared" si="0"/>
        <v/>
      </c>
      <c r="N6" s="4" t="str">
        <f t="shared" si="1"/>
        <v>X</v>
      </c>
    </row>
    <row r="7" spans="1:14">
      <c r="A7" s="3"/>
      <c r="B7" s="7"/>
      <c r="K7" s="5" t="s">
        <v>11</v>
      </c>
      <c r="L7" s="4">
        <v>5</v>
      </c>
      <c r="M7" s="4" t="str">
        <f t="shared" si="0"/>
        <v>X</v>
      </c>
      <c r="N7" s="4" t="str">
        <f t="shared" si="1"/>
        <v>X</v>
      </c>
    </row>
    <row r="8" spans="1:1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c r="A10" s="3" t="s">
        <v>2714</v>
      </c>
      <c r="I10" s="3"/>
      <c r="K10" s="5" t="s">
        <v>15</v>
      </c>
      <c r="L10" s="4">
        <v>8</v>
      </c>
      <c r="M10" s="4" t="str">
        <f t="shared" si="0"/>
        <v/>
      </c>
      <c r="N10" s="4" t="str">
        <f t="shared" si="1"/>
        <v/>
      </c>
    </row>
    <row r="11" spans="1:14">
      <c r="A11" s="3" t="s">
        <v>16</v>
      </c>
      <c r="I11" s="3"/>
      <c r="K11" s="5" t="s">
        <v>17</v>
      </c>
      <c r="L11" s="4">
        <v>9</v>
      </c>
      <c r="M11" s="4" t="str">
        <f t="shared" si="0"/>
        <v/>
      </c>
      <c r="N11" s="4" t="str">
        <f t="shared" si="1"/>
        <v/>
      </c>
    </row>
    <row r="12" spans="1:14">
      <c r="A12" s="3"/>
      <c r="I12" s="3"/>
      <c r="K12" s="5" t="s">
        <v>18</v>
      </c>
      <c r="L12" s="4">
        <v>10</v>
      </c>
      <c r="M12" s="4" t="str">
        <f t="shared" si="0"/>
        <v/>
      </c>
      <c r="N12" s="4" t="str">
        <f t="shared" si="1"/>
        <v/>
      </c>
    </row>
    <row r="13" spans="1:14">
      <c r="A13" s="3"/>
      <c r="I13" s="3"/>
      <c r="K13" s="5" t="s">
        <v>19</v>
      </c>
      <c r="L13" s="4">
        <v>11</v>
      </c>
      <c r="M13" s="4" t="str">
        <f t="shared" si="0"/>
        <v/>
      </c>
      <c r="N13" s="4" t="str">
        <f t="shared" si="1"/>
        <v/>
      </c>
    </row>
    <row r="14" spans="1:14">
      <c r="A14" s="3"/>
      <c r="I14" s="3"/>
      <c r="K14" s="5" t="s">
        <v>5</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31" workbookViewId="0">
      <selection activeCell="C61" sqref="C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20</v>
      </c>
      <c r="B1" s="3"/>
      <c r="C1" s="3"/>
      <c r="D1" s="3"/>
      <c r="E1" s="3"/>
      <c r="F1" s="3"/>
      <c r="G1" s="3"/>
      <c r="H1" s="3"/>
      <c r="I1" s="3"/>
      <c r="J1" s="3"/>
      <c r="K1" s="3"/>
      <c r="L1" s="3"/>
      <c r="M1" s="3"/>
      <c r="N1" s="3"/>
      <c r="O1" s="3"/>
      <c r="P1" s="3"/>
      <c r="Q1" s="3"/>
      <c r="R1" s="3"/>
      <c r="S1" s="3"/>
      <c r="T1" s="3"/>
      <c r="U1" s="3"/>
      <c r="V1" s="3"/>
      <c r="W1" s="3"/>
      <c r="X1" s="3"/>
      <c r="Y1" s="3"/>
    </row>
    <row r="2" spans="1:25" ht="35.25">
      <c r="A2" s="8" t="str">
        <f>+Parametres!B1</f>
        <v>Hyundai</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Mai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21</v>
      </c>
      <c r="B5" s="14">
        <f>SUMIFS(BV_Data_An_Cour!$AN:$AN,BV_Data_An_Cour!$AP:$AP,$A$1,BV_Data_An_Cour!$AQ:$AQ,$A5)</f>
        <v>1463720.18</v>
      </c>
      <c r="C5" s="15"/>
      <c r="D5" s="13" t="s">
        <v>22</v>
      </c>
      <c r="E5" s="16">
        <f>-SUMIFS(BV_Data_An_Cour!$AN:$AN,BV_Data_An_Cour!$AP:$AP,$A$1,BV_Data_An_Cour!$AQ:$AQ,$D5)</f>
        <v>0</v>
      </c>
      <c r="F5" s="3"/>
      <c r="G5" s="3"/>
      <c r="H5" s="3"/>
      <c r="I5" s="3"/>
      <c r="J5" s="3"/>
      <c r="K5" s="3"/>
      <c r="L5" s="3"/>
      <c r="M5" s="3"/>
      <c r="N5" s="3"/>
      <c r="O5" s="3"/>
      <c r="P5" s="3"/>
      <c r="Q5" s="3"/>
      <c r="R5" s="3"/>
      <c r="S5" s="3"/>
      <c r="T5" s="3"/>
      <c r="U5" s="3"/>
      <c r="V5" s="3"/>
      <c r="W5" s="3"/>
      <c r="X5" s="3"/>
      <c r="Y5" s="3"/>
    </row>
    <row r="6" spans="1:25">
      <c r="A6" s="17" t="s">
        <v>23</v>
      </c>
      <c r="B6" s="18">
        <f>SUM(B5)</f>
        <v>1463720.18</v>
      </c>
      <c r="C6" s="19"/>
      <c r="D6" s="20"/>
      <c r="E6" s="21"/>
      <c r="F6" s="3"/>
      <c r="G6" s="3"/>
      <c r="H6" s="3"/>
      <c r="I6" s="3"/>
      <c r="J6" s="3"/>
      <c r="K6" s="3"/>
      <c r="L6" s="3"/>
      <c r="M6" s="3"/>
      <c r="N6" s="3"/>
      <c r="O6" s="3"/>
      <c r="P6" s="3"/>
      <c r="Q6" s="3"/>
      <c r="R6" s="3"/>
      <c r="S6" s="3"/>
      <c r="T6" s="3"/>
      <c r="U6" s="3"/>
      <c r="V6" s="3"/>
      <c r="W6" s="3"/>
      <c r="X6" s="3"/>
      <c r="Y6" s="3"/>
    </row>
    <row r="7" spans="1:25">
      <c r="A7" s="22"/>
      <c r="B7" s="21"/>
      <c r="C7" s="15"/>
      <c r="D7" s="17" t="s">
        <v>24</v>
      </c>
      <c r="E7" s="18">
        <f>-SUMIFS(BV_Data_An_Cour!$AN:$AN,BV_Data_An_Cour!$AP:$AP,$A$1,BV_Data_An_Cour!$AQ:$AQ,$D7)</f>
        <v>0</v>
      </c>
      <c r="F7" s="3"/>
      <c r="G7" s="3"/>
      <c r="H7" s="3"/>
      <c r="I7" s="3"/>
      <c r="J7" s="3"/>
      <c r="K7" s="3"/>
      <c r="L7" s="3"/>
      <c r="M7" s="3"/>
      <c r="N7" s="3"/>
      <c r="O7" s="3"/>
      <c r="P7" s="3"/>
      <c r="Q7" s="3"/>
      <c r="R7" s="3"/>
      <c r="S7" s="3"/>
      <c r="T7" s="3"/>
      <c r="U7" s="3"/>
      <c r="V7" s="3"/>
      <c r="W7" s="3"/>
      <c r="X7" s="3"/>
      <c r="Y7" s="3"/>
    </row>
    <row r="8" spans="1:25">
      <c r="A8" s="20" t="s">
        <v>25</v>
      </c>
      <c r="B8" s="21">
        <f>SUMIFS(BV_Data_An_Cour!$AN:$AN,BV_Data_An_Cour!$AP:$AP,$A$1,BV_Data_An_Cour!$AQ:$AQ,$A8)</f>
        <v>0</v>
      </c>
      <c r="C8" s="15"/>
      <c r="D8" s="20"/>
      <c r="E8" s="21"/>
      <c r="F8" s="3"/>
      <c r="G8" s="3"/>
      <c r="H8" s="3"/>
      <c r="I8" s="3"/>
      <c r="J8" s="3"/>
      <c r="K8" s="3"/>
      <c r="L8" s="3"/>
      <c r="M8" s="3"/>
      <c r="N8" s="3"/>
      <c r="O8" s="3"/>
      <c r="P8" s="3"/>
      <c r="Q8" s="3"/>
      <c r="R8" s="3"/>
      <c r="S8" s="3"/>
      <c r="T8" s="3"/>
      <c r="U8" s="3"/>
      <c r="V8" s="3"/>
      <c r="W8" s="3"/>
      <c r="X8" s="3"/>
      <c r="Y8" s="3"/>
    </row>
    <row r="9" spans="1:25">
      <c r="A9" s="20" t="s">
        <v>26</v>
      </c>
      <c r="B9" s="21">
        <f>SUMIFS(BV_Data_An_Cour!$AN:$AN,BV_Data_An_Cour!$AP:$AP,$A$1,BV_Data_An_Cour!$AQ:$AQ,$A9)</f>
        <v>-35994.92</v>
      </c>
      <c r="C9" s="15"/>
      <c r="D9" s="20" t="s">
        <v>27</v>
      </c>
      <c r="E9" s="21">
        <f>-SUMIFS(BV_Data_An_Cour!$AN:$AN,BV_Data_An_Cour!$AP:$AP,$A$1,BV_Data_An_Cour!$AQ:$AQ,$D9)</f>
        <v>0</v>
      </c>
      <c r="F9" s="3"/>
      <c r="G9" s="3"/>
      <c r="H9" s="3"/>
      <c r="I9" s="3"/>
      <c r="J9" s="3"/>
      <c r="K9" s="3"/>
      <c r="L9" s="3"/>
      <c r="M9" s="3"/>
      <c r="N9" s="3"/>
      <c r="O9" s="3"/>
      <c r="P9" s="3"/>
      <c r="Q9" s="3"/>
      <c r="R9" s="3"/>
      <c r="S9" s="3"/>
      <c r="T9" s="3"/>
      <c r="U9" s="3"/>
      <c r="V9" s="3"/>
      <c r="W9" s="3"/>
      <c r="X9" s="3"/>
      <c r="Y9" s="3"/>
    </row>
    <row r="10" spans="1:25">
      <c r="A10" s="20" t="s">
        <v>28</v>
      </c>
      <c r="B10" s="21">
        <f>SUMIFS(BV_Data_An_Cour!$AN:$AN,BV_Data_An_Cour!$AP:$AP,$A$1,BV_Data_An_Cour!$AQ:$AQ,$A10)</f>
        <v>242328.8</v>
      </c>
      <c r="C10" s="15"/>
      <c r="D10" s="20" t="s">
        <v>29</v>
      </c>
      <c r="E10" s="21">
        <f>-SUMIFS(BV_Data_An_Cour!$AN:$AN,BV_Data_An_Cour!$AP:$AP,$A$1,BV_Data_An_Cour!$AQ:$AQ,$D10)</f>
        <v>663095.37</v>
      </c>
      <c r="F10" s="3"/>
      <c r="G10" s="3"/>
      <c r="H10" s="3"/>
      <c r="I10" s="3"/>
      <c r="J10" s="3"/>
      <c r="K10" s="3"/>
      <c r="L10" s="3"/>
      <c r="M10" s="3"/>
      <c r="N10" s="3"/>
      <c r="O10" s="3"/>
      <c r="P10" s="3"/>
      <c r="Q10" s="3"/>
      <c r="R10" s="3"/>
      <c r="S10" s="3"/>
      <c r="T10" s="3"/>
      <c r="U10" s="3"/>
      <c r="V10" s="3"/>
      <c r="W10" s="3"/>
      <c r="X10" s="3"/>
      <c r="Y10" s="3"/>
    </row>
    <row r="11" spans="1:25">
      <c r="A11" s="20" t="s">
        <v>30</v>
      </c>
      <c r="B11" s="21">
        <f>SUMIFS(BV_Data_An_Cour!$AN:$AN,BV_Data_An_Cour!$AP:$AP,$A$1,BV_Data_An_Cour!$AQ:$AQ,$A11)</f>
        <v>444634.56</v>
      </c>
      <c r="C11" s="15"/>
      <c r="D11" s="20" t="s">
        <v>31</v>
      </c>
      <c r="E11" s="21">
        <f>-SUMIFS(BV_Data_An_Cour!$AN:$AN,BV_Data_An_Cour!$AP:$AP,$A$1,BV_Data_An_Cour!$AQ:$AQ,$D11)</f>
        <v>126515.00000000003</v>
      </c>
      <c r="F11" s="3"/>
      <c r="G11" s="3"/>
      <c r="H11" s="3"/>
      <c r="I11" s="3"/>
      <c r="J11" s="3"/>
      <c r="K11" s="3"/>
      <c r="L11" s="3"/>
      <c r="M11" s="3"/>
      <c r="N11" s="3"/>
      <c r="O11" s="3"/>
      <c r="P11" s="3"/>
      <c r="Q11" s="3"/>
      <c r="R11" s="3"/>
      <c r="S11" s="3"/>
      <c r="T11" s="3"/>
      <c r="U11" s="3"/>
      <c r="V11" s="3"/>
      <c r="W11" s="3"/>
      <c r="X11" s="3"/>
      <c r="Y11" s="3"/>
    </row>
    <row r="12" spans="1:25">
      <c r="A12" s="20" t="s">
        <v>32</v>
      </c>
      <c r="B12" s="21">
        <f>SUMIFS(BV_Data_An_Cour!$AN:$AN,BV_Data_An_Cour!$AP:$AP,$A$1,BV_Data_An_Cour!$AQ:$AQ,$A12)</f>
        <v>0</v>
      </c>
      <c r="C12" s="15"/>
      <c r="D12" s="20" t="s">
        <v>33</v>
      </c>
      <c r="E12" s="21">
        <f>-SUMIFS(BV_Data_An_Cour!$AN:$AN,BV_Data_An_Cour!$AP:$AP,$A$1,BV_Data_An_Cour!$AQ:$AQ,$D12)</f>
        <v>-351428</v>
      </c>
      <c r="F12" s="3"/>
      <c r="G12" s="3"/>
      <c r="H12" s="3"/>
      <c r="I12" s="3"/>
      <c r="J12" s="3"/>
      <c r="K12" s="3"/>
      <c r="L12" s="3"/>
      <c r="M12" s="3"/>
      <c r="N12" s="3"/>
      <c r="O12" s="3"/>
      <c r="P12" s="3"/>
      <c r="Q12" s="3"/>
      <c r="R12" s="3"/>
      <c r="S12" s="3"/>
      <c r="T12" s="3"/>
      <c r="U12" s="3"/>
      <c r="V12" s="3"/>
      <c r="W12" s="3"/>
      <c r="X12" s="3"/>
      <c r="Y12" s="3"/>
    </row>
    <row r="13" spans="1:25">
      <c r="A13" s="20" t="s">
        <v>34</v>
      </c>
      <c r="B13" s="21">
        <f>SUMIFS(BV_Data_An_Cour!$AN:$AN,BV_Data_An_Cour!$AP:$AP,$A$1,BV_Data_An_Cour!$AQ:$AQ,$A13)</f>
        <v>0</v>
      </c>
      <c r="C13" s="15"/>
      <c r="D13" s="20" t="s">
        <v>35</v>
      </c>
      <c r="E13" s="21">
        <f>-SUMIFS(BV_Data_An_Cour!$AN:$AN,BV_Data_An_Cour!$AP:$AP,$A$1,BV_Data_An_Cour!$AQ:$AQ,$D13)</f>
        <v>15753.2</v>
      </c>
      <c r="F13" s="3"/>
      <c r="G13" s="3"/>
      <c r="H13" s="3"/>
      <c r="I13" s="3"/>
      <c r="J13" s="3"/>
      <c r="K13" s="3"/>
      <c r="L13" s="3"/>
      <c r="M13" s="3"/>
      <c r="N13" s="3"/>
      <c r="O13" s="3"/>
      <c r="P13" s="3"/>
      <c r="Q13" s="3"/>
      <c r="R13" s="3"/>
      <c r="S13" s="3"/>
      <c r="T13" s="3"/>
      <c r="U13" s="3"/>
      <c r="V13" s="3"/>
      <c r="W13" s="3"/>
      <c r="X13" s="3"/>
      <c r="Y13" s="3"/>
    </row>
    <row r="14" spans="1:25">
      <c r="A14" s="20" t="s">
        <v>36</v>
      </c>
      <c r="B14" s="21">
        <f>SUMIFS(BV_Data_An_Cour!$AN:$AN,BV_Data_An_Cour!$AP:$AP,$A$1,BV_Data_An_Cour!$AQ:$AQ,$A14)</f>
        <v>1899999.52</v>
      </c>
      <c r="C14" s="15"/>
      <c r="D14" s="20" t="s">
        <v>37</v>
      </c>
      <c r="E14" s="21">
        <f>-SUMIFS(BV_Data_An_Cour!$AN:$AN,BV_Data_An_Cour!$AP:$AP,$A$1,BV_Data_An_Cour!$AQ:$AQ,$D14)</f>
        <v>0</v>
      </c>
      <c r="F14" s="3"/>
      <c r="G14" s="3"/>
      <c r="H14" s="3"/>
      <c r="I14" s="3"/>
      <c r="J14" s="3"/>
      <c r="K14" s="3"/>
      <c r="L14" s="3"/>
      <c r="M14" s="3"/>
      <c r="N14" s="3"/>
      <c r="O14" s="3"/>
      <c r="P14" s="3"/>
      <c r="Q14" s="3"/>
      <c r="R14" s="3"/>
      <c r="S14" s="3"/>
      <c r="T14" s="3"/>
      <c r="U14" s="3"/>
      <c r="V14" s="3"/>
      <c r="W14" s="3"/>
      <c r="X14" s="3"/>
      <c r="Y14" s="3"/>
    </row>
    <row r="15" spans="1:25">
      <c r="A15" s="20" t="s">
        <v>38</v>
      </c>
      <c r="B15" s="21">
        <f>SUMIFS(BV_Data_An_Cour!$AN:$AN,BV_Data_An_Cour!$AP:$AP,$A$1,BV_Data_An_Cour!$AQ:$AQ,$A15)</f>
        <v>1711.67</v>
      </c>
      <c r="C15" s="15"/>
      <c r="D15" s="20" t="s">
        <v>39</v>
      </c>
      <c r="E15" s="21">
        <f>-SUMIFS(BV_Data_An_Cour!$AN:$AN,BV_Data_An_Cour!$AP:$AP,$A$1,BV_Data_An_Cour!$AQ:$AQ,$D15)</f>
        <v>36431.919999999998</v>
      </c>
      <c r="F15" s="3"/>
      <c r="G15" s="3"/>
      <c r="H15" s="3"/>
      <c r="I15" s="3"/>
      <c r="J15" s="3"/>
      <c r="K15" s="3"/>
      <c r="L15" s="3"/>
      <c r="M15" s="3"/>
      <c r="N15" s="3"/>
      <c r="O15" s="3"/>
      <c r="P15" s="3"/>
      <c r="Q15" s="3"/>
      <c r="R15" s="3"/>
      <c r="S15" s="3"/>
      <c r="T15" s="3"/>
      <c r="U15" s="3"/>
      <c r="V15" s="3"/>
      <c r="W15" s="3"/>
      <c r="X15" s="3"/>
      <c r="Y15" s="3"/>
    </row>
    <row r="16" spans="1:25">
      <c r="A16" s="17" t="s">
        <v>40</v>
      </c>
      <c r="B16" s="18">
        <f>+SUM(B8:B15)</f>
        <v>2552679.63</v>
      </c>
      <c r="C16" s="19"/>
      <c r="D16" s="17" t="s">
        <v>41</v>
      </c>
      <c r="E16" s="18">
        <f>+SUM(E10:E15)</f>
        <v>490367.49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42</v>
      </c>
      <c r="B18" s="21">
        <f>SUMIFS(BV_Data_An_Cour!$AN:$AN,BV_Data_An_Cour!$AP:$AP,$A$1,BV_Data_An_Cour!$AQ:$AQ,$A18)</f>
        <v>6501629.2599999998</v>
      </c>
      <c r="C18" s="15"/>
      <c r="D18" s="20" t="s">
        <v>43</v>
      </c>
      <c r="E18" s="21">
        <f>-SUMIFS(BV_Data_An_Cour!$AN:$AN,BV_Data_An_Cour!$AP:$AP,$A$1,BV_Data_An_Cour!$AQ:$AQ,$D18)</f>
        <v>7436861.6399999997</v>
      </c>
      <c r="F18" s="3"/>
      <c r="G18" s="3"/>
      <c r="H18" s="3"/>
      <c r="I18" s="3"/>
      <c r="J18" s="3"/>
      <c r="K18" s="3"/>
      <c r="L18" s="3"/>
      <c r="M18" s="3"/>
      <c r="N18" s="3"/>
      <c r="O18" s="3"/>
      <c r="P18" s="3"/>
      <c r="Q18" s="3"/>
      <c r="R18" s="3"/>
      <c r="S18" s="3"/>
      <c r="T18" s="3"/>
      <c r="U18" s="3"/>
      <c r="V18" s="3"/>
      <c r="W18" s="3"/>
      <c r="X18" s="3"/>
      <c r="Y18" s="3"/>
    </row>
    <row r="19" spans="1:25">
      <c r="A19" s="20" t="s">
        <v>44</v>
      </c>
      <c r="B19" s="21">
        <f>SUMIFS(BV_Data_An_Cour!$AN:$AN,BV_Data_An_Cour!$AP:$AP,$A$1,BV_Data_An_Cour!$AQ:$AQ,$A19)</f>
        <v>372737.88</v>
      </c>
      <c r="C19" s="15"/>
      <c r="D19" s="20" t="s">
        <v>45</v>
      </c>
      <c r="E19" s="21">
        <f>-SUMIFS(BV_Data_An_Cour!$AN:$AN,BV_Data_An_Cour!$AP:$AP,$A$1,BV_Data_An_Cour!$AQ:$AQ,$D19)</f>
        <v>0</v>
      </c>
      <c r="F19" s="3"/>
      <c r="G19" s="3"/>
      <c r="H19" s="3"/>
      <c r="I19" s="3"/>
      <c r="J19" s="3"/>
      <c r="K19" s="3"/>
      <c r="L19" s="3"/>
      <c r="M19" s="3"/>
      <c r="N19" s="3"/>
      <c r="O19" s="3"/>
      <c r="P19" s="3"/>
      <c r="Q19" s="3"/>
      <c r="R19" s="3"/>
      <c r="S19" s="3"/>
      <c r="T19" s="3"/>
      <c r="U19" s="3"/>
      <c r="V19" s="3"/>
      <c r="W19" s="3"/>
      <c r="X19" s="3"/>
      <c r="Y19" s="3"/>
    </row>
    <row r="20" spans="1:25">
      <c r="A20" s="20" t="s">
        <v>46</v>
      </c>
      <c r="B20" s="21">
        <f>SUMIFS(BV_Data_An_Cour!$AN:$AN,BV_Data_An_Cour!$AP:$AP,$A$1,BV_Data_An_Cour!$AQ:$AQ,$A20)</f>
        <v>211385.28</v>
      </c>
      <c r="C20" s="15"/>
      <c r="D20" s="17" t="s">
        <v>47</v>
      </c>
      <c r="E20" s="18">
        <f>+SUM(E18:E19)</f>
        <v>7436861.6399999997</v>
      </c>
      <c r="F20" s="3"/>
      <c r="G20" s="3"/>
      <c r="H20" s="3"/>
      <c r="I20" s="3"/>
      <c r="J20" s="3"/>
      <c r="K20" s="3"/>
      <c r="L20" s="3"/>
      <c r="M20" s="3"/>
      <c r="N20" s="3"/>
      <c r="O20" s="3"/>
      <c r="P20" s="3"/>
      <c r="Q20" s="3"/>
      <c r="R20" s="3"/>
      <c r="S20" s="3"/>
      <c r="T20" s="3"/>
      <c r="U20" s="3"/>
      <c r="V20" s="3"/>
      <c r="W20" s="3"/>
      <c r="X20" s="3"/>
      <c r="Y20" s="3"/>
    </row>
    <row r="21" spans="1:25" ht="15.75" customHeight="1">
      <c r="A21" s="17" t="s">
        <v>48</v>
      </c>
      <c r="B21" s="18">
        <f>SUM(B18:B20)</f>
        <v>7085752.4199999999</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49</v>
      </c>
      <c r="E22" s="21">
        <f>-SUMIFS(BV_Data_An_Cour!$AN:$AN,BV_Data_An_Cour!$AP:$AP,$A$1,BV_Data_An_Cour!$AQ:$AQ,$D22)</f>
        <v>53850.09</v>
      </c>
      <c r="F22" s="3"/>
      <c r="G22" s="3"/>
      <c r="H22" s="3"/>
      <c r="I22" s="3"/>
      <c r="J22" s="3"/>
      <c r="K22" s="3"/>
      <c r="L22" s="3"/>
      <c r="M22" s="3"/>
      <c r="N22" s="3"/>
      <c r="O22" s="3"/>
      <c r="P22" s="3"/>
      <c r="Q22" s="3"/>
      <c r="R22" s="3"/>
      <c r="S22" s="3"/>
      <c r="T22" s="3"/>
      <c r="U22" s="3"/>
      <c r="V22" s="3"/>
      <c r="W22" s="3"/>
      <c r="X22" s="3"/>
      <c r="Y22" s="3"/>
    </row>
    <row r="23" spans="1:25" ht="15.75" customHeight="1">
      <c r="A23" s="20" t="s">
        <v>50</v>
      </c>
      <c r="B23" s="21">
        <f>SUMIFS(BV_Data_An_Cour!$AN:$AN,BV_Data_An_Cour!$AP:$AP,$A$1,BV_Data_An_Cour!$AQ:$AQ,$A23)</f>
        <v>0</v>
      </c>
      <c r="C23" s="15"/>
      <c r="D23" s="20" t="s">
        <v>51</v>
      </c>
      <c r="E23" s="21">
        <f>-SUMIFS(BV_Data_An_Cour!$AN:$AN,BV_Data_An_Cour!$AP:$AP,$A$1,BV_Data_An_Cour!$AQ:$AQ,$D23)</f>
        <v>-9800.8900000000031</v>
      </c>
      <c r="F23" s="3"/>
      <c r="G23" s="3"/>
      <c r="H23" s="3"/>
      <c r="I23" s="3"/>
      <c r="J23" s="3"/>
      <c r="K23" s="3"/>
      <c r="L23" s="3"/>
      <c r="M23" s="3"/>
      <c r="N23" s="3"/>
      <c r="O23" s="3"/>
      <c r="P23" s="3"/>
      <c r="Q23" s="3"/>
      <c r="R23" s="3"/>
      <c r="S23" s="3"/>
      <c r="T23" s="3"/>
      <c r="U23" s="3"/>
      <c r="V23" s="3"/>
      <c r="W23" s="3"/>
      <c r="X23" s="3"/>
      <c r="Y23" s="3"/>
    </row>
    <row r="24" spans="1:25" ht="15.75" customHeight="1">
      <c r="A24" s="20" t="s">
        <v>52</v>
      </c>
      <c r="B24" s="21">
        <f>SUMIFS(BV_Data_An_Cour!$AN:$AN,BV_Data_An_Cour!$AP:$AP,$A$1,BV_Data_An_Cour!$AQ:$AQ,$A24)</f>
        <v>10344.06</v>
      </c>
      <c r="C24" s="15"/>
      <c r="D24" s="20" t="s">
        <v>53</v>
      </c>
      <c r="E24" s="21">
        <f>-SUMIFS(BV_Data_An_Cour!$AN:$AN,BV_Data_An_Cour!$AP:$AP,$A$1,BV_Data_An_Cour!$AQ:$AQ,$D24)</f>
        <v>348252.12</v>
      </c>
      <c r="F24" s="3"/>
      <c r="G24" s="3"/>
      <c r="H24" s="3"/>
      <c r="I24" s="3"/>
      <c r="J24" s="3"/>
      <c r="K24" s="3"/>
      <c r="L24" s="3"/>
      <c r="M24" s="3"/>
      <c r="N24" s="3"/>
      <c r="O24" s="3"/>
      <c r="P24" s="3"/>
      <c r="Q24" s="3"/>
      <c r="R24" s="3"/>
      <c r="S24" s="3"/>
      <c r="T24" s="3"/>
      <c r="U24" s="3"/>
      <c r="V24" s="3"/>
      <c r="W24" s="3"/>
      <c r="X24" s="3"/>
      <c r="Y24" s="3"/>
    </row>
    <row r="25" spans="1:25" ht="15.75" customHeight="1">
      <c r="A25" s="20" t="s">
        <v>54</v>
      </c>
      <c r="B25" s="21">
        <f>SUMIFS(BV_Data_An_Cour!$AN:$AN,BV_Data_An_Cour!$AP:$AP,$A$1,BV_Data_An_Cour!$AQ:$AQ,$A25)</f>
        <v>-6061.62</v>
      </c>
      <c r="C25" s="15"/>
      <c r="D25" s="20" t="s">
        <v>55</v>
      </c>
      <c r="E25" s="21">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20" t="s">
        <v>56</v>
      </c>
      <c r="B26" s="21">
        <f>SUMIFS(BV_Data_An_Cour!$AN:$AN,BV_Data_An_Cour!$AP:$AP,$A$1,BV_Data_An_Cour!$AQ:$AQ,$A26)</f>
        <v>462572.39</v>
      </c>
      <c r="C26" s="15"/>
      <c r="D26" s="20" t="s">
        <v>55</v>
      </c>
      <c r="E26" s="21">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20" t="s">
        <v>55</v>
      </c>
      <c r="B27" s="21">
        <f>SUMIFS(BV_Data_An_Cour!$AN:$AN,BV_Data_An_Cour!$AP:$AP,$A$1,BV_Data_An_Cour!$AQ:$AQ,$A27)</f>
        <v>0</v>
      </c>
      <c r="C27" s="15"/>
      <c r="D27" s="20" t="s">
        <v>55</v>
      </c>
      <c r="E27" s="21">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20" t="s">
        <v>55</v>
      </c>
      <c r="B28" s="21">
        <f>SUMIFS(BV_Data_An_Cour!$AN:$AN,BV_Data_An_Cour!$AP:$AP,$A$1,BV_Data_An_Cour!$AQ:$AQ,$A28)</f>
        <v>0</v>
      </c>
      <c r="C28" s="15"/>
      <c r="D28" s="17" t="s">
        <v>57</v>
      </c>
      <c r="E28" s="18">
        <f>SUM(E22:E24)</f>
        <v>392301.32</v>
      </c>
      <c r="F28" s="3"/>
      <c r="G28" s="3"/>
      <c r="H28" s="3"/>
      <c r="I28" s="3"/>
      <c r="J28" s="3"/>
      <c r="K28" s="3"/>
      <c r="L28" s="3"/>
      <c r="M28" s="3"/>
      <c r="N28" s="3"/>
      <c r="O28" s="3"/>
      <c r="P28" s="3"/>
      <c r="Q28" s="3"/>
      <c r="R28" s="3"/>
      <c r="S28" s="3"/>
      <c r="T28" s="3"/>
      <c r="U28" s="3"/>
      <c r="V28" s="3"/>
      <c r="W28" s="3"/>
      <c r="X28" s="3"/>
      <c r="Y28" s="3"/>
    </row>
    <row r="29" spans="1:25" ht="15.75" customHeight="1">
      <c r="A29" s="20" t="s">
        <v>55</v>
      </c>
      <c r="B29" s="21">
        <f>SUMIFS(BV_Data_An_Cour!$AN:$AN,BV_Data_An_Cour!$AP:$AP,$A$1,BV_Data_An_Cour!$AQ:$AQ,$A29)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58</v>
      </c>
      <c r="B30" s="18">
        <f>SUM(B23:B29)</f>
        <v>466854.83</v>
      </c>
      <c r="C30" s="19"/>
      <c r="D30" s="23" t="s">
        <v>59</v>
      </c>
      <c r="E30" s="24">
        <f>+E5+E7+E16+E20+E28</f>
        <v>8319530.4500000002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60</v>
      </c>
      <c r="B32" s="24">
        <f>+B6+B16+B21+B30</f>
        <v>11569007.060000001</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61</v>
      </c>
      <c r="E33" s="28">
        <f>-SUMIFS(BV_Data_An_Cour!$AN:$AN,BV_Data_An_Cour!$AP:$AP,$A$1,BV_Data_An_Cour!$AQ:$AQ,$D33)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62</v>
      </c>
      <c r="B35" s="21">
        <f>SUMIFS(BV_Data_An_Cour!$AN:$AN,BV_Data_An_Cour!$AP:$AP,$A$1,BV_Data_An_Cour!$AQ:$AQ,$A35)</f>
        <v>0</v>
      </c>
      <c r="C35" s="15"/>
      <c r="D35" s="20" t="s">
        <v>63</v>
      </c>
      <c r="E35" s="21">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20" t="s">
        <v>64</v>
      </c>
      <c r="B36" s="21">
        <f>SUMIFS(BV_Data_An_Cour!$AN:$AN,BV_Data_An_Cour!$AP:$AP,$A$1,BV_Data_An_Cour!$AQ:$AQ,$A36)</f>
        <v>0</v>
      </c>
      <c r="C36" s="15"/>
      <c r="D36" s="20" t="s">
        <v>65</v>
      </c>
      <c r="E36" s="21">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20" t="s">
        <v>66</v>
      </c>
      <c r="B37" s="21">
        <f>SUMIFS(BV_Data_An_Cour!$AN:$AN,BV_Data_An_Cour!$AP:$AP,$A$1,BV_Data_An_Cour!$AQ:$AQ,$A37)</f>
        <v>33626.37000000001</v>
      </c>
      <c r="C37" s="15"/>
      <c r="D37" s="20" t="s">
        <v>67</v>
      </c>
      <c r="E37" s="21">
        <f>-SUMIFS(BV_Data_An_Cour!$AN:$AN,BV_Data_An_Cour!$AP:$AP,$A$1,BV_Data_An_Cour!$AQ:$AQ,$D37)</f>
        <v>3427384.56</v>
      </c>
      <c r="F37" s="3"/>
      <c r="G37" s="3"/>
      <c r="H37" s="3"/>
      <c r="I37" s="3"/>
      <c r="J37" s="3"/>
      <c r="K37" s="3"/>
      <c r="L37" s="3"/>
      <c r="M37" s="3"/>
      <c r="N37" s="3"/>
      <c r="O37" s="3"/>
      <c r="P37" s="3"/>
      <c r="Q37" s="3"/>
      <c r="R37" s="3"/>
      <c r="S37" s="3"/>
      <c r="T37" s="3"/>
      <c r="U37" s="3"/>
      <c r="V37" s="3"/>
      <c r="W37" s="3"/>
      <c r="X37" s="3"/>
      <c r="Y37" s="3"/>
    </row>
    <row r="38" spans="1:25" ht="15.75" customHeight="1">
      <c r="A38" s="20" t="s">
        <v>68</v>
      </c>
      <c r="B38" s="21">
        <f>SUMIFS(BV_Data_An_Cour!$AN:$AN,BV_Data_An_Cour!$AP:$AP,$A$1,BV_Data_An_Cour!$AQ:$AQ,$A38)</f>
        <v>0</v>
      </c>
      <c r="C38" s="15"/>
      <c r="D38" s="20" t="s">
        <v>69</v>
      </c>
      <c r="E38" s="21">
        <f>-SUMIFS(BV_Data_An_Cour!$AN:$AN,BV_Data_An_Cour!$AP:$AP,$A$1,BV_Data_An_Cour!$AQ:$AQ,$D38)</f>
        <v>0</v>
      </c>
      <c r="F38" s="3"/>
      <c r="G38" s="29"/>
      <c r="H38" s="3"/>
      <c r="I38" s="3"/>
      <c r="J38" s="3"/>
      <c r="K38" s="3"/>
      <c r="L38" s="3"/>
      <c r="M38" s="3"/>
      <c r="N38" s="3"/>
      <c r="O38" s="3"/>
      <c r="P38" s="3"/>
      <c r="Q38" s="3"/>
      <c r="R38" s="3"/>
      <c r="S38" s="3"/>
      <c r="T38" s="3"/>
      <c r="U38" s="3"/>
      <c r="V38" s="3"/>
      <c r="W38" s="3"/>
      <c r="X38" s="3"/>
      <c r="Y38" s="3"/>
    </row>
    <row r="39" spans="1:25" ht="15.75" customHeight="1">
      <c r="A39" s="20" t="s">
        <v>70</v>
      </c>
      <c r="B39" s="21">
        <f>SUMIFS(BV_Data_An_Cour!$AN:$AN,BV_Data_An_Cour!$AP:$AP,$A$1,BV_Data_An_Cour!$AQ:$AQ,$A39)</f>
        <v>103495.16000000003</v>
      </c>
      <c r="C39" s="15"/>
      <c r="D39" s="20" t="s">
        <v>55</v>
      </c>
      <c r="E39" s="21">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20" t="s">
        <v>71</v>
      </c>
      <c r="B40" s="21">
        <f>SUMIFS(BV_Data_An_Cour!$AN:$AN,BV_Data_An_Cour!$AP:$AP,$A$1,BV_Data_An_Cour!$AQ:$AQ,$A40)</f>
        <v>39655.94</v>
      </c>
      <c r="C40" s="15"/>
      <c r="D40" s="20" t="s">
        <v>55</v>
      </c>
      <c r="E40" s="21">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20" t="s">
        <v>72</v>
      </c>
      <c r="B41" s="21">
        <f>SUMIFS(BV_Data_An_Cour!$AN:$AN,BV_Data_An_Cour!$AP:$AP,$A$1,BV_Data_An_Cour!$AQ:$AQ,$A41)</f>
        <v>12383.910000000003</v>
      </c>
      <c r="C41" s="15"/>
      <c r="D41" s="20" t="s">
        <v>55</v>
      </c>
      <c r="E41" s="21">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20" t="s">
        <v>73</v>
      </c>
      <c r="B42" s="21">
        <f>SUMIFS(BV_Data_An_Cour!$AN:$AN,BV_Data_An_Cour!$AP:$AP,$A$1,BV_Data_An_Cour!$AQ:$AQ,$A42)</f>
        <v>0</v>
      </c>
      <c r="C42" s="15"/>
      <c r="D42" s="23" t="s">
        <v>74</v>
      </c>
      <c r="E42" s="24">
        <f>+SUM(E33:E38)</f>
        <v>3427384.56</v>
      </c>
      <c r="F42" s="3"/>
      <c r="G42" s="3"/>
      <c r="H42" s="3"/>
      <c r="I42" s="3"/>
      <c r="J42" s="3"/>
      <c r="K42" s="3"/>
      <c r="L42" s="3"/>
      <c r="M42" s="3"/>
      <c r="N42" s="3"/>
      <c r="O42" s="3"/>
      <c r="P42" s="3"/>
      <c r="Q42" s="3"/>
      <c r="R42" s="3"/>
      <c r="S42" s="3"/>
      <c r="T42" s="3"/>
      <c r="U42" s="3"/>
      <c r="V42" s="3"/>
      <c r="W42" s="3"/>
      <c r="X42" s="3"/>
      <c r="Y42" s="3"/>
    </row>
    <row r="43" spans="1:25" ht="15.75" customHeight="1">
      <c r="A43" s="20" t="s">
        <v>75</v>
      </c>
      <c r="B43" s="21">
        <f>SUMIFS(BV_Data_An_Cour!$AN:$AN,BV_Data_An_Cour!$AP:$AP,$A$1,BV_Data_An_Cour!$AQ:$AQ,$A43)</f>
        <v>9712.1600000000035</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76</v>
      </c>
      <c r="B44" s="18">
        <f>SUM(B35:B43)</f>
        <v>198873.54000000004</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77</v>
      </c>
      <c r="E45" s="24">
        <f>+E42+E30</f>
        <v>11746915.01</v>
      </c>
      <c r="F45" s="3"/>
      <c r="G45" s="3"/>
      <c r="H45" s="3"/>
      <c r="I45" s="3"/>
      <c r="J45" s="3"/>
      <c r="K45" s="3"/>
      <c r="L45" s="3"/>
      <c r="M45" s="3"/>
      <c r="N45" s="3"/>
      <c r="O45" s="3"/>
      <c r="P45" s="3"/>
      <c r="Q45" s="3"/>
      <c r="R45" s="3"/>
      <c r="S45" s="3"/>
      <c r="T45" s="3"/>
      <c r="U45" s="3"/>
      <c r="V45" s="3"/>
      <c r="W45" s="3"/>
      <c r="X45" s="3"/>
      <c r="Y45" s="3"/>
    </row>
    <row r="46" spans="1:25" ht="15.75" customHeight="1">
      <c r="A46" s="17" t="s">
        <v>78</v>
      </c>
      <c r="B46" s="18">
        <f>SUMIFS(BV_Data_An_Cour!$AN:$AN,BV_Data_An_Cour!$AP:$AP,$A$1,BV_Data_An_Cour!$AQ:$AQ,$A46)</f>
        <v>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79</v>
      </c>
      <c r="B48" s="18">
        <f>SUMIFS(BV_Data_An_Cour!$AN:$AN,BV_Data_An_Cour!$AP:$AP,$A$1,BV_Data_An_Cour!$AQ:$AQ,$A48)</f>
        <v>4650000</v>
      </c>
      <c r="C48" s="19"/>
      <c r="D48" s="20" t="s">
        <v>80</v>
      </c>
      <c r="E48" s="21">
        <f>-SUMIFS(BV_Data_An_Cour!$AN:$AN,BV_Data_An_Cour!$AP:$AP,$A$1,BV_Data_An_Cour!$AQ:$AQ,$D48)</f>
        <v>367358</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81</v>
      </c>
      <c r="E49" s="21">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20" t="s">
        <v>55</v>
      </c>
      <c r="B50" s="21">
        <f>SUMIFS(BV_Data_An_Cour!$AN:$AN,BV_Data_An_Cour!$AP:$AP,$A$1,BV_Data_An_Cour!$AQ:$AQ,$A50)</f>
        <v>0</v>
      </c>
      <c r="C50" s="15"/>
      <c r="D50" s="20" t="s">
        <v>82</v>
      </c>
      <c r="E50" s="21">
        <f>-SUMIFS(BV_Data_An_Cour!$AN:$AN,BV_Data_An_Cour!$AP:$AP,$A$1,BV_Data_An_Cour!$AQ:$AQ,$D50)+Print_AAD!AF499</f>
        <v>4303607.5899999989</v>
      </c>
      <c r="F50" s="3"/>
      <c r="G50" s="3"/>
      <c r="H50" s="3"/>
      <c r="I50" s="3"/>
      <c r="J50" s="3"/>
      <c r="K50" s="3"/>
      <c r="L50" s="3"/>
      <c r="M50" s="3"/>
      <c r="N50" s="3"/>
      <c r="O50" s="3"/>
      <c r="P50" s="3"/>
      <c r="Q50" s="3"/>
      <c r="R50" s="3"/>
      <c r="S50" s="3"/>
      <c r="T50" s="3"/>
      <c r="U50" s="3"/>
      <c r="V50" s="3"/>
      <c r="W50" s="3"/>
      <c r="X50" s="3"/>
      <c r="Y50" s="3"/>
    </row>
    <row r="51" spans="1:25" ht="15.75" customHeight="1">
      <c r="A51" s="20" t="s">
        <v>55</v>
      </c>
      <c r="B51" s="21">
        <f>SUMIFS(BV_Data_An_Cour!$AN:$AN,BV_Data_An_Cour!$AP:$AP,$A$1,BV_Data_An_Cour!$AQ:$AQ,$A51)</f>
        <v>0</v>
      </c>
      <c r="C51" s="15"/>
      <c r="D51" s="20" t="s">
        <v>83</v>
      </c>
      <c r="E51" s="21">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20" t="s">
        <v>55</v>
      </c>
      <c r="B52" s="21">
        <f>SUMIFS(BV_Data_An_Cour!$AN:$AN,BV_Data_An_Cour!$AP:$AP,$A$1,BV_Data_An_Cour!$AQ:$AQ,$A52)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84</v>
      </c>
      <c r="B53" s="24">
        <f>+B44+B48+B46</f>
        <v>4848873.54</v>
      </c>
      <c r="C53" s="19"/>
      <c r="D53" s="23" t="s">
        <v>85</v>
      </c>
      <c r="E53" s="24">
        <f>SUM(E48:E51)</f>
        <v>4670965.5899999989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86</v>
      </c>
      <c r="B56" s="24">
        <f>+B32+B53</f>
        <v>16417880.600000001</v>
      </c>
      <c r="C56" s="19"/>
      <c r="D56" s="23" t="s">
        <v>87</v>
      </c>
      <c r="E56" s="24">
        <f>+E53+E45</f>
        <v>16417880.599999998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"Budget 2024 Mensuel Révisé"&amp;" "&amp;Parametres!$B$1</f>
        <v>Budget 2024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1108</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785" t="s">
        <v>2</v>
      </c>
      <c r="C6" s="1043" t="s">
        <v>1114</v>
      </c>
      <c r="D6" s="1044"/>
      <c r="E6" s="1045"/>
      <c r="F6" s="785" t="s">
        <v>6</v>
      </c>
      <c r="G6" s="786"/>
      <c r="H6" s="787"/>
      <c r="I6" s="785" t="s">
        <v>8</v>
      </c>
      <c r="J6" s="786"/>
      <c r="K6" s="787"/>
      <c r="L6" s="785" t="s">
        <v>9</v>
      </c>
      <c r="M6" s="786"/>
      <c r="N6" s="787"/>
      <c r="O6" s="785" t="s">
        <v>10</v>
      </c>
      <c r="P6" s="786"/>
      <c r="Q6" s="787"/>
      <c r="R6" s="785" t="s">
        <v>11</v>
      </c>
      <c r="S6" s="786"/>
      <c r="T6" s="787"/>
      <c r="U6" s="785" t="s">
        <v>12</v>
      </c>
      <c r="V6" s="786"/>
      <c r="W6" s="787"/>
      <c r="X6" s="785" t="s">
        <v>14</v>
      </c>
      <c r="Y6" s="786"/>
      <c r="Z6" s="787"/>
      <c r="AA6" s="785" t="s">
        <v>15</v>
      </c>
      <c r="AB6" s="786"/>
      <c r="AC6" s="787"/>
      <c r="AD6" s="785" t="s">
        <v>17</v>
      </c>
      <c r="AE6" s="786"/>
      <c r="AF6" s="787"/>
      <c r="AG6" s="785" t="s">
        <v>18</v>
      </c>
      <c r="AH6" s="786"/>
      <c r="AI6" s="787"/>
      <c r="AJ6" s="785" t="s">
        <v>19</v>
      </c>
      <c r="AK6" s="786"/>
      <c r="AL6" s="787"/>
      <c r="AM6" s="785" t="s">
        <v>5</v>
      </c>
      <c r="AN6" s="786"/>
      <c r="AO6" s="787"/>
      <c r="AP6" s="41"/>
      <c r="AQ6" s="41"/>
      <c r="AR6" s="41"/>
      <c r="AS6" s="41"/>
      <c r="AT6" s="41"/>
      <c r="AU6" s="41"/>
      <c r="AV6" s="41"/>
      <c r="AW6" s="41"/>
      <c r="AX6" s="41"/>
      <c r="AY6" s="41"/>
      <c r="AZ6" s="41"/>
      <c r="BA6" s="41"/>
      <c r="BB6" s="41"/>
      <c r="BC6" s="41"/>
      <c r="BD6" s="41"/>
      <c r="BE6" s="41"/>
      <c r="BF6" s="41"/>
      <c r="BG6" s="41"/>
      <c r="BH6" s="41"/>
      <c r="BI6" s="41"/>
    </row>
    <row r="7" spans="1:61" ht="20.25">
      <c r="A7" s="39"/>
      <c r="B7" s="890"/>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644" t="s">
        <v>92</v>
      </c>
      <c r="C8" s="609"/>
      <c r="D8" s="610"/>
      <c r="E8" s="611"/>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618" t="s">
        <v>93</v>
      </c>
      <c r="C9" s="613"/>
      <c r="D9" s="614"/>
      <c r="E9" s="615"/>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618" t="s">
        <v>94</v>
      </c>
      <c r="C10" s="613"/>
      <c r="D10" s="614"/>
      <c r="E10" s="615"/>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618" t="s">
        <v>95</v>
      </c>
      <c r="C11" s="613"/>
      <c r="D11" s="614"/>
      <c r="E11" s="615"/>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618" t="s">
        <v>96</v>
      </c>
      <c r="C12" s="613"/>
      <c r="D12" s="614"/>
      <c r="E12" s="615"/>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618"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618"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618"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891"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618"/>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895" t="s">
        <v>98</v>
      </c>
      <c r="C18" s="620"/>
      <c r="D18" s="621"/>
      <c r="E18" s="622"/>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618"/>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665" t="s">
        <v>99</v>
      </c>
      <c r="C20" s="613"/>
      <c r="D20" s="614"/>
      <c r="E20" s="615"/>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14"/>
      <c r="AI20" s="617"/>
      <c r="AJ20" s="616"/>
      <c r="AK20" s="614"/>
      <c r="AL20" s="617"/>
      <c r="AM20" s="616"/>
      <c r="AN20" s="614"/>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891"/>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899" t="s">
        <v>100</v>
      </c>
      <c r="C22" s="613"/>
      <c r="D22" s="614"/>
      <c r="E22" s="615"/>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891"/>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618" t="s">
        <v>101</v>
      </c>
      <c r="C24" s="613"/>
      <c r="D24" s="614"/>
      <c r="E24" s="615"/>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618" t="s">
        <v>102</v>
      </c>
      <c r="C25" s="613"/>
      <c r="D25" s="614"/>
      <c r="E25" s="615"/>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618" t="s">
        <v>103</v>
      </c>
      <c r="C26" s="613"/>
      <c r="D26" s="614"/>
      <c r="E26" s="615"/>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891"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618"/>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618"/>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900" t="s">
        <v>105</v>
      </c>
      <c r="C30" s="627"/>
      <c r="D30" s="628"/>
      <c r="E30" s="629"/>
      <c r="F30" s="627"/>
      <c r="G30" s="628"/>
      <c r="H30" s="629"/>
      <c r="I30" s="627"/>
      <c r="J30" s="628"/>
      <c r="K30" s="629"/>
      <c r="L30" s="627"/>
      <c r="M30" s="628"/>
      <c r="N30" s="629"/>
      <c r="O30" s="627"/>
      <c r="P30" s="628"/>
      <c r="Q30" s="629"/>
      <c r="R30" s="627"/>
      <c r="S30" s="628"/>
      <c r="T30" s="629"/>
      <c r="U30" s="627"/>
      <c r="V30" s="628"/>
      <c r="W30" s="629"/>
      <c r="X30" s="627"/>
      <c r="Y30" s="628"/>
      <c r="Z30" s="629"/>
      <c r="AA30" s="627"/>
      <c r="AB30" s="628"/>
      <c r="AC30" s="629"/>
      <c r="AD30" s="627"/>
      <c r="AE30" s="628"/>
      <c r="AF30" s="629"/>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630"/>
      <c r="C31" s="630"/>
      <c r="D31" s="631"/>
      <c r="E31" s="632"/>
      <c r="F31" s="630"/>
      <c r="G31" s="631"/>
      <c r="H31" s="632"/>
      <c r="I31" s="630"/>
      <c r="J31" s="631"/>
      <c r="K31" s="632"/>
      <c r="L31" s="630"/>
      <c r="M31" s="631"/>
      <c r="N31" s="632"/>
      <c r="O31" s="630"/>
      <c r="P31" s="631"/>
      <c r="Q31" s="632"/>
      <c r="R31" s="630"/>
      <c r="S31" s="631"/>
      <c r="T31" s="632"/>
      <c r="U31" s="630"/>
      <c r="V31" s="631"/>
      <c r="W31" s="632"/>
      <c r="X31" s="630"/>
      <c r="Y31" s="631"/>
      <c r="Z31" s="632"/>
      <c r="AA31" s="630"/>
      <c r="AB31" s="631"/>
      <c r="AC31" s="632"/>
      <c r="AD31" s="630"/>
      <c r="AE31" s="631"/>
      <c r="AF31" s="632"/>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633"/>
      <c r="C32" s="633"/>
      <c r="D32" s="634"/>
      <c r="E32" s="635"/>
      <c r="F32" s="633"/>
      <c r="G32" s="634"/>
      <c r="H32" s="635"/>
      <c r="I32" s="633"/>
      <c r="J32" s="634"/>
      <c r="K32" s="635"/>
      <c r="L32" s="633"/>
      <c r="M32" s="634"/>
      <c r="N32" s="635"/>
      <c r="O32" s="633"/>
      <c r="P32" s="634"/>
      <c r="Q32" s="635"/>
      <c r="R32" s="633"/>
      <c r="S32" s="634"/>
      <c r="T32" s="635"/>
      <c r="U32" s="633"/>
      <c r="V32" s="634"/>
      <c r="W32" s="635"/>
      <c r="X32" s="633"/>
      <c r="Y32" s="634"/>
      <c r="Z32" s="635"/>
      <c r="AA32" s="633"/>
      <c r="AB32" s="634"/>
      <c r="AC32" s="635"/>
      <c r="AD32" s="633"/>
      <c r="AE32" s="634"/>
      <c r="AF32" s="635"/>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901"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618" t="s">
        <v>107</v>
      </c>
      <c r="C34" s="637"/>
      <c r="D34" s="638"/>
      <c r="E34" s="626"/>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639"/>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644" t="s">
        <v>108</v>
      </c>
      <c r="C35" s="640"/>
      <c r="D35" s="641"/>
      <c r="E35" s="642"/>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643"/>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618" t="s">
        <v>109</v>
      </c>
      <c r="C36" s="618"/>
      <c r="D36" s="638"/>
      <c r="E36" s="626"/>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639"/>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618" t="s">
        <v>110</v>
      </c>
      <c r="C37" s="618"/>
      <c r="D37" s="638"/>
      <c r="E37" s="626"/>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639"/>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644" t="s">
        <v>111</v>
      </c>
      <c r="C38" s="644"/>
      <c r="D38" s="641"/>
      <c r="E38" s="642"/>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643"/>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618" t="s">
        <v>112</v>
      </c>
      <c r="C39" s="618"/>
      <c r="D39" s="638"/>
      <c r="E39" s="626"/>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639"/>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618" t="s">
        <v>113</v>
      </c>
      <c r="C40" s="618"/>
      <c r="D40" s="638"/>
      <c r="E40" s="626"/>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639"/>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618"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618"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618"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902" t="s">
        <v>114</v>
      </c>
      <c r="C44" s="903"/>
      <c r="D44" s="904"/>
      <c r="E44" s="905"/>
      <c r="F44" s="903"/>
      <c r="G44" s="904"/>
      <c r="H44" s="905"/>
      <c r="I44" s="903"/>
      <c r="J44" s="904"/>
      <c r="K44" s="905"/>
      <c r="L44" s="903"/>
      <c r="M44" s="904"/>
      <c r="N44" s="905"/>
      <c r="O44" s="903"/>
      <c r="P44" s="904"/>
      <c r="Q44" s="905"/>
      <c r="R44" s="903"/>
      <c r="S44" s="904"/>
      <c r="T44" s="905"/>
      <c r="U44" s="903"/>
      <c r="V44" s="904"/>
      <c r="W44" s="905"/>
      <c r="X44" s="903"/>
      <c r="Y44" s="904"/>
      <c r="Z44" s="905"/>
      <c r="AA44" s="903"/>
      <c r="AB44" s="904"/>
      <c r="AC44" s="905"/>
      <c r="AD44" s="903"/>
      <c r="AE44" s="904"/>
      <c r="AF44" s="905"/>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906" t="s">
        <v>116</v>
      </c>
      <c r="C45" s="618"/>
      <c r="D45" s="625"/>
      <c r="E45" s="626"/>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639"/>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907" t="s">
        <v>117</v>
      </c>
      <c r="C46" s="618"/>
      <c r="D46" s="625"/>
      <c r="E46" s="626"/>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639"/>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906" t="s">
        <v>118</v>
      </c>
      <c r="C47" s="890"/>
      <c r="D47" s="908"/>
      <c r="E47" s="909"/>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10"/>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906" t="s">
        <v>119</v>
      </c>
      <c r="C48" s="618"/>
      <c r="D48" s="625"/>
      <c r="E48" s="626"/>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639"/>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618" t="s">
        <v>55</v>
      </c>
      <c r="C49" s="618"/>
      <c r="D49" s="625"/>
      <c r="E49" s="626"/>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639"/>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618" t="s">
        <v>55</v>
      </c>
      <c r="C50" s="618"/>
      <c r="D50" s="625"/>
      <c r="E50" s="626"/>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639"/>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618" t="s">
        <v>55</v>
      </c>
      <c r="C51" s="618"/>
      <c r="D51" s="625"/>
      <c r="E51" s="626"/>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639"/>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907" t="s">
        <v>120</v>
      </c>
      <c r="C52" s="618"/>
      <c r="D52" s="625"/>
      <c r="E52" s="626"/>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639"/>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906" t="s">
        <v>121</v>
      </c>
      <c r="C53" s="890"/>
      <c r="D53" s="908"/>
      <c r="E53" s="909"/>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10"/>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911" t="s">
        <v>122</v>
      </c>
      <c r="C54" s="618"/>
      <c r="D54" s="625"/>
      <c r="E54" s="626"/>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639"/>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906" t="s">
        <v>123</v>
      </c>
      <c r="C55" s="618"/>
      <c r="D55" s="625"/>
      <c r="E55" s="626"/>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639"/>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618"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902" t="s">
        <v>124</v>
      </c>
      <c r="C57" s="903"/>
      <c r="D57" s="904"/>
      <c r="E57" s="905"/>
      <c r="F57" s="903"/>
      <c r="G57" s="904"/>
      <c r="H57" s="905"/>
      <c r="I57" s="903"/>
      <c r="J57" s="904"/>
      <c r="K57" s="905"/>
      <c r="L57" s="903"/>
      <c r="M57" s="904"/>
      <c r="N57" s="905"/>
      <c r="O57" s="903"/>
      <c r="P57" s="904"/>
      <c r="Q57" s="905"/>
      <c r="R57" s="903"/>
      <c r="S57" s="904"/>
      <c r="T57" s="905"/>
      <c r="U57" s="903"/>
      <c r="V57" s="904"/>
      <c r="W57" s="905"/>
      <c r="X57" s="903"/>
      <c r="Y57" s="904"/>
      <c r="Z57" s="905"/>
      <c r="AA57" s="903"/>
      <c r="AB57" s="904"/>
      <c r="AC57" s="905"/>
      <c r="AD57" s="903"/>
      <c r="AE57" s="904"/>
      <c r="AF57" s="905"/>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618" t="s">
        <v>125</v>
      </c>
      <c r="C58" s="618"/>
      <c r="D58" s="625"/>
      <c r="E58" s="626"/>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639"/>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618" t="s">
        <v>126</v>
      </c>
      <c r="C59" s="618"/>
      <c r="D59" s="625"/>
      <c r="E59" s="626"/>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639"/>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644" t="s">
        <v>127</v>
      </c>
      <c r="C60" s="646"/>
      <c r="D60" s="647"/>
      <c r="E60" s="648"/>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649"/>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618" t="s">
        <v>128</v>
      </c>
      <c r="C61" s="618"/>
      <c r="D61" s="625"/>
      <c r="E61" s="626"/>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639"/>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618" t="s">
        <v>129</v>
      </c>
      <c r="C62" s="618"/>
      <c r="D62" s="625"/>
      <c r="E62" s="626"/>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639"/>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644" t="s">
        <v>130</v>
      </c>
      <c r="C63" s="646"/>
      <c r="D63" s="647"/>
      <c r="E63" s="648"/>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649"/>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618" t="s">
        <v>131</v>
      </c>
      <c r="C64" s="618"/>
      <c r="D64" s="625"/>
      <c r="E64" s="626"/>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639"/>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618" t="s">
        <v>132</v>
      </c>
      <c r="C65" s="618"/>
      <c r="D65" s="625"/>
      <c r="E65" s="626"/>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639"/>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618" t="s">
        <v>133</v>
      </c>
      <c r="C66" s="618"/>
      <c r="D66" s="625"/>
      <c r="E66" s="626"/>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639"/>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618" t="s">
        <v>134</v>
      </c>
      <c r="C67" s="618"/>
      <c r="D67" s="625"/>
      <c r="E67" s="626"/>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639"/>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618" t="s">
        <v>135</v>
      </c>
      <c r="C68" s="618"/>
      <c r="D68" s="625"/>
      <c r="E68" s="626"/>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639"/>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618" t="s">
        <v>136</v>
      </c>
      <c r="C69" s="618"/>
      <c r="D69" s="625"/>
      <c r="E69" s="626"/>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639"/>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618" t="s">
        <v>137</v>
      </c>
      <c r="C70" s="618"/>
      <c r="D70" s="625"/>
      <c r="E70" s="626"/>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639"/>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618" t="s">
        <v>138</v>
      </c>
      <c r="C71" s="618"/>
      <c r="D71" s="625"/>
      <c r="E71" s="626"/>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639"/>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618"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618"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618"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902" t="s">
        <v>139</v>
      </c>
      <c r="C75" s="903"/>
      <c r="D75" s="904"/>
      <c r="E75" s="905"/>
      <c r="F75" s="903"/>
      <c r="G75" s="904"/>
      <c r="H75" s="905"/>
      <c r="I75" s="903"/>
      <c r="J75" s="904"/>
      <c r="K75" s="905"/>
      <c r="L75" s="903"/>
      <c r="M75" s="904"/>
      <c r="N75" s="905"/>
      <c r="O75" s="903"/>
      <c r="P75" s="904"/>
      <c r="Q75" s="905"/>
      <c r="R75" s="903"/>
      <c r="S75" s="904"/>
      <c r="T75" s="905"/>
      <c r="U75" s="903"/>
      <c r="V75" s="904"/>
      <c r="W75" s="905"/>
      <c r="X75" s="903"/>
      <c r="Y75" s="904"/>
      <c r="Z75" s="905"/>
      <c r="AA75" s="903"/>
      <c r="AB75" s="904"/>
      <c r="AC75" s="905"/>
      <c r="AD75" s="903"/>
      <c r="AE75" s="904"/>
      <c r="AF75" s="905"/>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644"/>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912" t="s">
        <v>140</v>
      </c>
      <c r="C77" s="903"/>
      <c r="D77" s="904"/>
      <c r="E77" s="913"/>
      <c r="F77" s="903"/>
      <c r="G77" s="904"/>
      <c r="H77" s="913"/>
      <c r="I77" s="903"/>
      <c r="J77" s="904"/>
      <c r="K77" s="913"/>
      <c r="L77" s="903"/>
      <c r="M77" s="904"/>
      <c r="N77" s="913"/>
      <c r="O77" s="903"/>
      <c r="P77" s="904"/>
      <c r="Q77" s="913"/>
      <c r="R77" s="903"/>
      <c r="S77" s="904"/>
      <c r="T77" s="913"/>
      <c r="U77" s="903"/>
      <c r="V77" s="904"/>
      <c r="W77" s="913"/>
      <c r="X77" s="903"/>
      <c r="Y77" s="904"/>
      <c r="Z77" s="913"/>
      <c r="AA77" s="903"/>
      <c r="AB77" s="904"/>
      <c r="AC77" s="913"/>
      <c r="AD77" s="903"/>
      <c r="AE77" s="904"/>
      <c r="AF77" s="91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618" t="s">
        <v>141</v>
      </c>
      <c r="C78" s="618"/>
      <c r="D78" s="625"/>
      <c r="E78" s="626"/>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618" t="s">
        <v>142</v>
      </c>
      <c r="C79" s="618"/>
      <c r="D79" s="625"/>
      <c r="E79" s="626"/>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618" t="s">
        <v>143</v>
      </c>
      <c r="C80" s="618"/>
      <c r="D80" s="625"/>
      <c r="E80" s="626"/>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618" t="s">
        <v>144</v>
      </c>
      <c r="C81" s="618"/>
      <c r="D81" s="625"/>
      <c r="E81" s="626"/>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618" t="s">
        <v>55</v>
      </c>
      <c r="C82" s="618"/>
      <c r="D82" s="625"/>
      <c r="E82" s="626"/>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618" t="s">
        <v>55</v>
      </c>
      <c r="C83" s="618"/>
      <c r="D83" s="625"/>
      <c r="E83" s="626"/>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618" t="s">
        <v>55</v>
      </c>
      <c r="C84" s="618"/>
      <c r="D84" s="625"/>
      <c r="E84" s="626"/>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618" t="s">
        <v>145</v>
      </c>
      <c r="C85" s="618"/>
      <c r="D85" s="625"/>
      <c r="E85" s="626"/>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914" t="s">
        <v>146</v>
      </c>
      <c r="C86" s="650"/>
      <c r="D86" s="915"/>
      <c r="E86" s="651"/>
      <c r="F86" s="650"/>
      <c r="G86" s="915"/>
      <c r="H86" s="651"/>
      <c r="I86" s="650"/>
      <c r="J86" s="915"/>
      <c r="K86" s="651"/>
      <c r="L86" s="650"/>
      <c r="M86" s="915"/>
      <c r="N86" s="651"/>
      <c r="O86" s="650"/>
      <c r="P86" s="915"/>
      <c r="Q86" s="651"/>
      <c r="R86" s="650"/>
      <c r="S86" s="915"/>
      <c r="T86" s="651"/>
      <c r="U86" s="650"/>
      <c r="V86" s="915"/>
      <c r="W86" s="651"/>
      <c r="X86" s="650"/>
      <c r="Y86" s="915"/>
      <c r="Z86" s="651"/>
      <c r="AA86" s="650"/>
      <c r="AB86" s="915"/>
      <c r="AC86" s="651"/>
      <c r="AD86" s="650"/>
      <c r="AE86" s="915"/>
      <c r="AF86" s="651"/>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633"/>
      <c r="C87" s="652"/>
      <c r="D87" s="653"/>
      <c r="E87" s="654"/>
      <c r="F87" s="652"/>
      <c r="G87" s="653"/>
      <c r="H87" s="654"/>
      <c r="I87" s="652"/>
      <c r="J87" s="653"/>
      <c r="K87" s="654"/>
      <c r="L87" s="652"/>
      <c r="M87" s="653"/>
      <c r="N87" s="654"/>
      <c r="O87" s="652"/>
      <c r="P87" s="653"/>
      <c r="Q87" s="654"/>
      <c r="R87" s="652"/>
      <c r="S87" s="653"/>
      <c r="T87" s="654"/>
      <c r="U87" s="652"/>
      <c r="V87" s="653"/>
      <c r="W87" s="654"/>
      <c r="X87" s="652"/>
      <c r="Y87" s="653"/>
      <c r="Z87" s="654"/>
      <c r="AA87" s="652"/>
      <c r="AB87" s="653"/>
      <c r="AC87" s="654"/>
      <c r="AD87" s="652"/>
      <c r="AE87" s="653"/>
      <c r="AF87" s="654"/>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916" t="s">
        <v>147</v>
      </c>
      <c r="C88" s="917"/>
      <c r="D88" s="918"/>
      <c r="E88" s="919"/>
      <c r="F88" s="917"/>
      <c r="G88" s="920"/>
      <c r="H88" s="919"/>
      <c r="I88" s="917"/>
      <c r="J88" s="920"/>
      <c r="K88" s="919"/>
      <c r="L88" s="917"/>
      <c r="M88" s="920"/>
      <c r="N88" s="919"/>
      <c r="O88" s="917"/>
      <c r="P88" s="920"/>
      <c r="Q88" s="919"/>
      <c r="R88" s="917"/>
      <c r="S88" s="920"/>
      <c r="T88" s="919"/>
      <c r="U88" s="917"/>
      <c r="V88" s="920"/>
      <c r="W88" s="919"/>
      <c r="X88" s="917"/>
      <c r="Y88" s="920"/>
      <c r="Z88" s="919"/>
      <c r="AA88" s="917"/>
      <c r="AB88" s="920"/>
      <c r="AC88" s="919"/>
      <c r="AD88" s="917"/>
      <c r="AE88" s="920"/>
      <c r="AF88" s="919"/>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655"/>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655"/>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57"/>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921" t="str">
        <f>B4</f>
        <v>Budget 2025</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92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785" t="s">
        <v>2</v>
      </c>
      <c r="C94" s="1043">
        <v>2021</v>
      </c>
      <c r="D94" s="1044"/>
      <c r="E94" s="104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618"/>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644" t="s">
        <v>92</v>
      </c>
      <c r="C96" s="609"/>
      <c r="D96" s="610"/>
      <c r="E96" s="61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618" t="s">
        <v>149</v>
      </c>
      <c r="C97" s="613"/>
      <c r="D97" s="614"/>
      <c r="E97" s="615"/>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618" t="s">
        <v>150</v>
      </c>
      <c r="C98" s="613"/>
      <c r="D98" s="614"/>
      <c r="E98" s="615"/>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618" t="s">
        <v>1094</v>
      </c>
      <c r="C99" s="613"/>
      <c r="D99" s="614"/>
      <c r="E99" s="615"/>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891"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618"/>
      <c r="C101" s="618"/>
      <c r="D101" s="625"/>
      <c r="E101" s="619"/>
      <c r="F101" s="618"/>
      <c r="G101" s="625"/>
      <c r="H101" s="619"/>
      <c r="I101" s="618"/>
      <c r="J101" s="625"/>
      <c r="K101" s="619"/>
      <c r="L101" s="618"/>
      <c r="M101" s="625"/>
      <c r="N101" s="619"/>
      <c r="O101" s="618"/>
      <c r="P101" s="625"/>
      <c r="Q101" s="619"/>
      <c r="R101" s="618"/>
      <c r="S101" s="625"/>
      <c r="T101" s="619"/>
      <c r="U101" s="618"/>
      <c r="V101" s="625"/>
      <c r="W101" s="619"/>
      <c r="X101" s="618"/>
      <c r="Y101" s="625"/>
      <c r="Z101" s="619"/>
      <c r="AA101" s="618"/>
      <c r="AB101" s="625"/>
      <c r="AC101" s="619"/>
      <c r="AD101" s="618"/>
      <c r="AE101" s="625"/>
      <c r="AF101" s="619"/>
      <c r="AG101" s="618"/>
      <c r="AH101" s="625"/>
      <c r="AI101" s="619"/>
      <c r="AJ101" s="618"/>
      <c r="AK101" s="625"/>
      <c r="AL101" s="619"/>
      <c r="AM101" s="618"/>
      <c r="AN101" s="625"/>
      <c r="AO101" s="61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618"/>
      <c r="C102" s="618"/>
      <c r="D102" s="625"/>
      <c r="E102" s="619"/>
      <c r="F102" s="618"/>
      <c r="G102" s="625"/>
      <c r="H102" s="619"/>
      <c r="I102" s="618"/>
      <c r="J102" s="625"/>
      <c r="K102" s="619"/>
      <c r="L102" s="618"/>
      <c r="M102" s="625"/>
      <c r="N102" s="619"/>
      <c r="O102" s="618"/>
      <c r="P102" s="625"/>
      <c r="Q102" s="619"/>
      <c r="R102" s="618"/>
      <c r="S102" s="625"/>
      <c r="T102" s="619"/>
      <c r="U102" s="618"/>
      <c r="V102" s="625"/>
      <c r="W102" s="619"/>
      <c r="X102" s="618"/>
      <c r="Y102" s="625"/>
      <c r="Z102" s="619"/>
      <c r="AA102" s="618"/>
      <c r="AB102" s="625"/>
      <c r="AC102" s="619"/>
      <c r="AD102" s="618"/>
      <c r="AE102" s="625"/>
      <c r="AF102" s="619"/>
      <c r="AG102" s="618"/>
      <c r="AH102" s="625"/>
      <c r="AI102" s="619"/>
      <c r="AJ102" s="618"/>
      <c r="AK102" s="625"/>
      <c r="AL102" s="619"/>
      <c r="AM102" s="618"/>
      <c r="AN102" s="625"/>
      <c r="AO102" s="619"/>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618" t="s">
        <v>152</v>
      </c>
      <c r="C103" s="613"/>
      <c r="D103" s="614"/>
      <c r="E103" s="615"/>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644"/>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618" t="s">
        <v>101</v>
      </c>
      <c r="C105" s="613"/>
      <c r="D105" s="614"/>
      <c r="E105" s="615"/>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618" t="s">
        <v>102</v>
      </c>
      <c r="C106" s="613"/>
      <c r="D106" s="614"/>
      <c r="E106" s="615"/>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618" t="s">
        <v>103</v>
      </c>
      <c r="C107" s="613"/>
      <c r="D107" s="663"/>
      <c r="E107" s="615"/>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891"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618"/>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618"/>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900"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629"/>
      <c r="X111" s="627"/>
      <c r="Y111" s="628"/>
      <c r="Z111" s="629"/>
      <c r="AA111" s="627"/>
      <c r="AB111" s="628"/>
      <c r="AC111" s="629"/>
      <c r="AD111" s="627"/>
      <c r="AE111" s="628"/>
      <c r="AF111" s="629"/>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630"/>
      <c r="C112" s="630"/>
      <c r="D112" s="631"/>
      <c r="E112" s="632"/>
      <c r="F112" s="630"/>
      <c r="G112" s="631"/>
      <c r="H112" s="632"/>
      <c r="I112" s="630"/>
      <c r="J112" s="631"/>
      <c r="K112" s="632"/>
      <c r="L112" s="630"/>
      <c r="M112" s="631"/>
      <c r="N112" s="632"/>
      <c r="O112" s="630"/>
      <c r="P112" s="631"/>
      <c r="Q112" s="632"/>
      <c r="R112" s="630"/>
      <c r="S112" s="631"/>
      <c r="T112" s="632"/>
      <c r="U112" s="630"/>
      <c r="V112" s="631"/>
      <c r="W112" s="632"/>
      <c r="X112" s="630"/>
      <c r="Y112" s="631"/>
      <c r="Z112" s="632"/>
      <c r="AA112" s="630"/>
      <c r="AB112" s="631"/>
      <c r="AC112" s="632"/>
      <c r="AD112" s="630"/>
      <c r="AE112" s="631"/>
      <c r="AF112" s="632"/>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665"/>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901" t="s">
        <v>106</v>
      </c>
      <c r="C114" s="618"/>
      <c r="D114" s="636"/>
      <c r="E114" s="619"/>
      <c r="F114" s="618"/>
      <c r="G114" s="636"/>
      <c r="H114" s="619"/>
      <c r="I114" s="618"/>
      <c r="J114" s="636"/>
      <c r="K114" s="619"/>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618" t="s">
        <v>107</v>
      </c>
      <c r="C115" s="923"/>
      <c r="D115" s="638"/>
      <c r="E115" s="626"/>
      <c r="F115" s="923"/>
      <c r="G115" s="638"/>
      <c r="H115" s="639"/>
      <c r="I115" s="923"/>
      <c r="J115" s="638"/>
      <c r="K115" s="639"/>
      <c r="L115" s="923"/>
      <c r="M115" s="638"/>
      <c r="N115" s="639"/>
      <c r="O115" s="923"/>
      <c r="P115" s="638"/>
      <c r="Q115" s="639"/>
      <c r="R115" s="923"/>
      <c r="S115" s="638"/>
      <c r="T115" s="639"/>
      <c r="U115" s="923"/>
      <c r="V115" s="638"/>
      <c r="W115" s="639"/>
      <c r="X115" s="923"/>
      <c r="Y115" s="638"/>
      <c r="Z115" s="639"/>
      <c r="AA115" s="923"/>
      <c r="AB115" s="638"/>
      <c r="AC115" s="639"/>
      <c r="AD115" s="923"/>
      <c r="AE115" s="638"/>
      <c r="AF115" s="639"/>
      <c r="AG115" s="923"/>
      <c r="AH115" s="638"/>
      <c r="AI115" s="639"/>
      <c r="AJ115" s="923"/>
      <c r="AK115" s="638"/>
      <c r="AL115" s="639"/>
      <c r="AM115" s="923"/>
      <c r="AN115" s="638"/>
      <c r="AO115" s="639"/>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644" t="s">
        <v>108</v>
      </c>
      <c r="C116" s="640"/>
      <c r="D116" s="641"/>
      <c r="E116" s="642"/>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640"/>
      <c r="AH116" s="641"/>
      <c r="AI116" s="643"/>
      <c r="AJ116" s="640"/>
      <c r="AK116" s="641"/>
      <c r="AL116" s="643"/>
      <c r="AM116" s="640"/>
      <c r="AN116" s="641"/>
      <c r="AO116" s="643"/>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618" t="s">
        <v>109</v>
      </c>
      <c r="C117" s="618"/>
      <c r="D117" s="638"/>
      <c r="E117" s="626"/>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639"/>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618" t="s">
        <v>110</v>
      </c>
      <c r="C118" s="618"/>
      <c r="D118" s="638"/>
      <c r="E118" s="626"/>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639"/>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644" t="s">
        <v>111</v>
      </c>
      <c r="C119" s="644"/>
      <c r="D119" s="641"/>
      <c r="E119" s="642"/>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643"/>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618" t="s">
        <v>112</v>
      </c>
      <c r="C120" s="618"/>
      <c r="D120" s="638"/>
      <c r="E120" s="626"/>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639"/>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618" t="s">
        <v>113</v>
      </c>
      <c r="C121" s="618"/>
      <c r="D121" s="638"/>
      <c r="E121" s="626"/>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639"/>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618"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618"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618"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902" t="s">
        <v>114</v>
      </c>
      <c r="C125" s="903"/>
      <c r="D125" s="904"/>
      <c r="E125" s="905"/>
      <c r="F125" s="903"/>
      <c r="G125" s="904"/>
      <c r="H125" s="905"/>
      <c r="I125" s="903"/>
      <c r="J125" s="904"/>
      <c r="K125" s="905"/>
      <c r="L125" s="903"/>
      <c r="M125" s="904"/>
      <c r="N125" s="905"/>
      <c r="O125" s="903"/>
      <c r="P125" s="904"/>
      <c r="Q125" s="905"/>
      <c r="R125" s="903"/>
      <c r="S125" s="904"/>
      <c r="T125" s="905"/>
      <c r="U125" s="903"/>
      <c r="V125" s="904"/>
      <c r="W125" s="905"/>
      <c r="X125" s="903"/>
      <c r="Y125" s="904"/>
      <c r="Z125" s="905"/>
      <c r="AA125" s="903"/>
      <c r="AB125" s="904"/>
      <c r="AC125" s="905"/>
      <c r="AD125" s="903"/>
      <c r="AE125" s="904"/>
      <c r="AF125" s="905"/>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906" t="s">
        <v>116</v>
      </c>
      <c r="C126" s="618"/>
      <c r="D126" s="625"/>
      <c r="E126" s="626"/>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639"/>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907" t="s">
        <v>117</v>
      </c>
      <c r="C127" s="618"/>
      <c r="D127" s="625"/>
      <c r="E127" s="626"/>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639"/>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906" t="s">
        <v>118</v>
      </c>
      <c r="C128" s="890"/>
      <c r="D128" s="908"/>
      <c r="E128" s="909"/>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10"/>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906" t="s">
        <v>119</v>
      </c>
      <c r="C129" s="618"/>
      <c r="D129" s="625"/>
      <c r="E129" s="626"/>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639"/>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618" t="s">
        <v>55</v>
      </c>
      <c r="C130" s="618"/>
      <c r="D130" s="625"/>
      <c r="E130" s="626"/>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639"/>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618" t="s">
        <v>55</v>
      </c>
      <c r="C131" s="618"/>
      <c r="D131" s="625"/>
      <c r="E131" s="626"/>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639"/>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618" t="s">
        <v>55</v>
      </c>
      <c r="C132" s="618"/>
      <c r="D132" s="625"/>
      <c r="E132" s="626"/>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639"/>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907" t="s">
        <v>120</v>
      </c>
      <c r="C133" s="618"/>
      <c r="D133" s="625"/>
      <c r="E133" s="626"/>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639"/>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906" t="s">
        <v>121</v>
      </c>
      <c r="C134" s="890"/>
      <c r="D134" s="908"/>
      <c r="E134" s="909"/>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10"/>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911" t="s">
        <v>122</v>
      </c>
      <c r="C135" s="618"/>
      <c r="D135" s="625"/>
      <c r="E135" s="626"/>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639"/>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906" t="s">
        <v>123</v>
      </c>
      <c r="C136" s="618"/>
      <c r="D136" s="625"/>
      <c r="E136" s="626"/>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639"/>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618" t="s">
        <v>55</v>
      </c>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902"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05"/>
      <c r="X138" s="903"/>
      <c r="Y138" s="904"/>
      <c r="Z138" s="905"/>
      <c r="AA138" s="903"/>
      <c r="AB138" s="904"/>
      <c r="AC138" s="905"/>
      <c r="AD138" s="903"/>
      <c r="AE138" s="904"/>
      <c r="AF138" s="905"/>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618" t="s">
        <v>125</v>
      </c>
      <c r="C139" s="618"/>
      <c r="D139" s="625"/>
      <c r="E139" s="626"/>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639"/>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618" t="s">
        <v>126</v>
      </c>
      <c r="C140" s="618"/>
      <c r="D140" s="625"/>
      <c r="E140" s="626"/>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639"/>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644" t="s">
        <v>127</v>
      </c>
      <c r="C141" s="646"/>
      <c r="D141" s="647"/>
      <c r="E141" s="648"/>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649"/>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618" t="s">
        <v>128</v>
      </c>
      <c r="C142" s="618"/>
      <c r="D142" s="625"/>
      <c r="E142" s="626"/>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639"/>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618" t="s">
        <v>129</v>
      </c>
      <c r="C143" s="618"/>
      <c r="D143" s="625"/>
      <c r="E143" s="626"/>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639"/>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644" t="s">
        <v>130</v>
      </c>
      <c r="C144" s="646"/>
      <c r="D144" s="647"/>
      <c r="E144" s="648"/>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649"/>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618" t="s">
        <v>131</v>
      </c>
      <c r="C145" s="618"/>
      <c r="D145" s="625"/>
      <c r="E145" s="626"/>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639"/>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618" t="s">
        <v>132</v>
      </c>
      <c r="C146" s="618"/>
      <c r="D146" s="625"/>
      <c r="E146" s="626"/>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639"/>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618" t="s">
        <v>133</v>
      </c>
      <c r="C147" s="618"/>
      <c r="D147" s="625"/>
      <c r="E147" s="626"/>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639"/>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618" t="s">
        <v>134</v>
      </c>
      <c r="C148" s="618"/>
      <c r="D148" s="625"/>
      <c r="E148" s="626"/>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639"/>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618" t="s">
        <v>135</v>
      </c>
      <c r="C149" s="618"/>
      <c r="D149" s="625"/>
      <c r="E149" s="626"/>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639"/>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618" t="s">
        <v>136</v>
      </c>
      <c r="C150" s="618"/>
      <c r="D150" s="625"/>
      <c r="E150" s="626"/>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639"/>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618" t="s">
        <v>137</v>
      </c>
      <c r="C151" s="618"/>
      <c r="D151" s="625"/>
      <c r="E151" s="626"/>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639"/>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618" t="s">
        <v>138</v>
      </c>
      <c r="C152" s="618"/>
      <c r="D152" s="625"/>
      <c r="E152" s="626"/>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639"/>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618"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618"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618"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902"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05"/>
      <c r="X156" s="903"/>
      <c r="Y156" s="904"/>
      <c r="Z156" s="905"/>
      <c r="AA156" s="903"/>
      <c r="AB156" s="904"/>
      <c r="AC156" s="905"/>
      <c r="AD156" s="903"/>
      <c r="AE156" s="904"/>
      <c r="AF156" s="905"/>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644"/>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912"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13"/>
      <c r="X158" s="903"/>
      <c r="Y158" s="904"/>
      <c r="Z158" s="913"/>
      <c r="AA158" s="903"/>
      <c r="AB158" s="904"/>
      <c r="AC158" s="913"/>
      <c r="AD158" s="903"/>
      <c r="AE158" s="904"/>
      <c r="AF158" s="91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618" t="s">
        <v>154</v>
      </c>
      <c r="C159" s="659"/>
      <c r="D159" s="669"/>
      <c r="E159" s="626"/>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618" t="s">
        <v>155</v>
      </c>
      <c r="C160" s="659"/>
      <c r="D160" s="669"/>
      <c r="E160" s="626"/>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618" t="s">
        <v>156</v>
      </c>
      <c r="C161" s="618"/>
      <c r="D161" s="625"/>
      <c r="E161" s="626"/>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618" t="s">
        <v>55</v>
      </c>
      <c r="C162" s="618"/>
      <c r="D162" s="625"/>
      <c r="E162" s="626"/>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618" t="s">
        <v>55</v>
      </c>
      <c r="C163" s="618"/>
      <c r="D163" s="625"/>
      <c r="E163" s="626"/>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618" t="s">
        <v>55</v>
      </c>
      <c r="C164" s="618"/>
      <c r="D164" s="625"/>
      <c r="E164" s="626"/>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644" t="s">
        <v>145</v>
      </c>
      <c r="C165" s="644"/>
      <c r="D165" s="645"/>
      <c r="E165" s="642"/>
      <c r="F165" s="644"/>
      <c r="G165" s="645"/>
      <c r="H165" s="643"/>
      <c r="I165" s="644"/>
      <c r="J165" s="645"/>
      <c r="K165" s="643"/>
      <c r="L165" s="644"/>
      <c r="M165" s="645"/>
      <c r="N165" s="643"/>
      <c r="O165" s="644"/>
      <c r="P165" s="645"/>
      <c r="Q165" s="643"/>
      <c r="R165" s="644"/>
      <c r="S165" s="645"/>
      <c r="T165" s="643"/>
      <c r="U165" s="644"/>
      <c r="V165" s="645"/>
      <c r="W165" s="643"/>
      <c r="X165" s="644"/>
      <c r="Y165" s="645"/>
      <c r="Z165" s="643"/>
      <c r="AA165" s="644"/>
      <c r="AB165" s="645"/>
      <c r="AC165" s="643"/>
      <c r="AD165" s="644"/>
      <c r="AE165" s="645"/>
      <c r="AF165" s="643"/>
      <c r="AG165" s="644"/>
      <c r="AH165" s="645"/>
      <c r="AI165" s="643"/>
      <c r="AJ165" s="644"/>
      <c r="AK165" s="645"/>
      <c r="AL165" s="643"/>
      <c r="AM165" s="644"/>
      <c r="AN165" s="645"/>
      <c r="AO165" s="643"/>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912"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13"/>
      <c r="X166" s="924"/>
      <c r="Y166" s="925"/>
      <c r="Z166" s="913"/>
      <c r="AA166" s="924"/>
      <c r="AB166" s="925"/>
      <c r="AC166" s="913"/>
      <c r="AD166" s="924"/>
      <c r="AE166" s="925"/>
      <c r="AF166" s="91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618"/>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916" t="s">
        <v>147</v>
      </c>
      <c r="C168" s="916"/>
      <c r="D168" s="926"/>
      <c r="E168" s="919"/>
      <c r="F168" s="916"/>
      <c r="G168" s="927"/>
      <c r="H168" s="919"/>
      <c r="I168" s="916"/>
      <c r="J168" s="927"/>
      <c r="K168" s="919"/>
      <c r="L168" s="916"/>
      <c r="M168" s="927"/>
      <c r="N168" s="919"/>
      <c r="O168" s="916"/>
      <c r="P168" s="927"/>
      <c r="Q168" s="919"/>
      <c r="R168" s="916"/>
      <c r="S168" s="927"/>
      <c r="T168" s="919"/>
      <c r="U168" s="916"/>
      <c r="V168" s="927"/>
      <c r="W168" s="919"/>
      <c r="X168" s="916"/>
      <c r="Y168" s="927"/>
      <c r="Z168" s="919"/>
      <c r="AA168" s="916"/>
      <c r="AB168" s="927"/>
      <c r="AC168" s="919"/>
      <c r="AD168" s="916"/>
      <c r="AE168" s="927"/>
      <c r="AF168" s="919"/>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57"/>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57"/>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921" t="str">
        <f>B4</f>
        <v>Budget 2025</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92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785" t="s">
        <v>2</v>
      </c>
      <c r="C173" s="1043"/>
      <c r="D173" s="1044"/>
      <c r="E173" s="1045"/>
      <c r="F173" s="603"/>
      <c r="G173" s="604"/>
      <c r="H173" s="605"/>
      <c r="I173" s="603"/>
      <c r="J173" s="604"/>
      <c r="K173" s="605"/>
      <c r="L173" s="603"/>
      <c r="M173" s="604"/>
      <c r="N173" s="605"/>
      <c r="O173" s="603"/>
      <c r="P173" s="604"/>
      <c r="Q173" s="605"/>
      <c r="R173" s="603"/>
      <c r="S173" s="604"/>
      <c r="T173" s="605"/>
      <c r="U173" s="603"/>
      <c r="V173" s="604"/>
      <c r="W173" s="605"/>
      <c r="X173" s="603"/>
      <c r="Y173" s="604"/>
      <c r="Z173" s="605"/>
      <c r="AA173" s="603"/>
      <c r="AB173" s="604"/>
      <c r="AC173" s="605"/>
      <c r="AD173" s="603"/>
      <c r="AE173" s="604"/>
      <c r="AF173" s="605"/>
      <c r="AG173" s="603"/>
      <c r="AH173" s="604"/>
      <c r="AI173" s="605"/>
      <c r="AJ173" s="603"/>
      <c r="AK173" s="604"/>
      <c r="AL173" s="605"/>
      <c r="AM173" s="603"/>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618"/>
      <c r="C174" s="659"/>
      <c r="D174" s="636"/>
      <c r="E174" s="660"/>
      <c r="F174" s="659"/>
      <c r="G174" s="636"/>
      <c r="H174" s="660"/>
      <c r="I174" s="659"/>
      <c r="J174" s="636"/>
      <c r="K174" s="660"/>
      <c r="L174" s="659"/>
      <c r="M174" s="636"/>
      <c r="N174" s="660"/>
      <c r="O174" s="659"/>
      <c r="P174" s="636"/>
      <c r="Q174" s="660"/>
      <c r="R174" s="659"/>
      <c r="S174" s="636"/>
      <c r="T174" s="660"/>
      <c r="U174" s="659"/>
      <c r="V174" s="636"/>
      <c r="W174" s="660"/>
      <c r="X174" s="659"/>
      <c r="Y174" s="636"/>
      <c r="Z174" s="660"/>
      <c r="AA174" s="659"/>
      <c r="AB174" s="636"/>
      <c r="AC174" s="660"/>
      <c r="AD174" s="659"/>
      <c r="AE174" s="636"/>
      <c r="AF174" s="660"/>
      <c r="AG174" s="659"/>
      <c r="AH174" s="636"/>
      <c r="AI174" s="660"/>
      <c r="AJ174" s="659"/>
      <c r="AK174" s="636"/>
      <c r="AL174" s="660"/>
      <c r="AM174" s="659"/>
      <c r="AN174" s="636"/>
      <c r="AO174" s="660"/>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618" t="s">
        <v>160</v>
      </c>
      <c r="C175" s="671"/>
      <c r="D175" s="638"/>
      <c r="E175" s="626"/>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618"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644"/>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890" t="s">
        <v>162</v>
      </c>
      <c r="C178" s="928"/>
      <c r="D178" s="929"/>
      <c r="E178" s="909"/>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618"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644"/>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618" t="s">
        <v>163</v>
      </c>
      <c r="C181" s="671"/>
      <c r="D181" s="638"/>
      <c r="E181" s="626"/>
      <c r="F181" s="672"/>
      <c r="G181" s="673"/>
      <c r="H181" s="639"/>
      <c r="I181" s="672"/>
      <c r="J181" s="673"/>
      <c r="K181" s="639"/>
      <c r="L181" s="672"/>
      <c r="M181" s="673"/>
      <c r="N181" s="639"/>
      <c r="O181" s="672"/>
      <c r="P181" s="673"/>
      <c r="Q181" s="639"/>
      <c r="R181" s="672"/>
      <c r="S181" s="673"/>
      <c r="T181" s="639"/>
      <c r="U181" s="672"/>
      <c r="V181" s="673"/>
      <c r="W181" s="639"/>
      <c r="X181" s="672"/>
      <c r="Y181" s="673"/>
      <c r="Z181" s="639"/>
      <c r="AA181" s="672"/>
      <c r="AB181" s="673"/>
      <c r="AC181" s="639"/>
      <c r="AD181" s="672"/>
      <c r="AE181" s="67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618"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618"/>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890" t="s">
        <v>164</v>
      </c>
      <c r="C184" s="928"/>
      <c r="D184" s="929"/>
      <c r="E184" s="909"/>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618"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644"/>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618" t="s">
        <v>165</v>
      </c>
      <c r="C187" s="671"/>
      <c r="D187" s="638"/>
      <c r="E187" s="626"/>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932"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686"/>
      <c r="X188" s="684"/>
      <c r="Y188" s="685"/>
      <c r="Z188" s="686"/>
      <c r="AA188" s="684"/>
      <c r="AB188" s="685"/>
      <c r="AC188" s="686"/>
      <c r="AD188" s="684"/>
      <c r="AE188" s="685"/>
      <c r="AF188" s="6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933"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934"/>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936" t="s">
        <v>168</v>
      </c>
      <c r="C191" s="671"/>
      <c r="D191" s="937"/>
      <c r="E191" s="626"/>
      <c r="F191" s="672"/>
      <c r="G191" s="937"/>
      <c r="H191" s="639"/>
      <c r="I191" s="672"/>
      <c r="J191" s="938"/>
      <c r="K191" s="639"/>
      <c r="L191" s="672"/>
      <c r="M191" s="938"/>
      <c r="N191" s="639"/>
      <c r="O191" s="672"/>
      <c r="P191" s="938"/>
      <c r="Q191" s="639"/>
      <c r="R191" s="672"/>
      <c r="S191" s="938"/>
      <c r="T191" s="639"/>
      <c r="U191" s="672"/>
      <c r="V191" s="938"/>
      <c r="W191" s="639"/>
      <c r="X191" s="672"/>
      <c r="Y191" s="938"/>
      <c r="Z191" s="639"/>
      <c r="AA191" s="672"/>
      <c r="AB191" s="938"/>
      <c r="AC191" s="639"/>
      <c r="AD191" s="672"/>
      <c r="AE191" s="938"/>
      <c r="AF191" s="639"/>
      <c r="AG191" s="672"/>
      <c r="AH191" s="938"/>
      <c r="AI191" s="639"/>
      <c r="AJ191" s="672"/>
      <c r="AK191" s="938"/>
      <c r="AL191" s="639"/>
      <c r="AM191" s="672"/>
      <c r="AN191" s="938"/>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936"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936"/>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939" t="s">
        <v>169</v>
      </c>
      <c r="C194" s="928"/>
      <c r="D194" s="940"/>
      <c r="E194" s="909"/>
      <c r="F194" s="928"/>
      <c r="G194" s="940"/>
      <c r="H194" s="909"/>
      <c r="I194" s="928"/>
      <c r="J194" s="940"/>
      <c r="K194" s="909"/>
      <c r="L194" s="928"/>
      <c r="M194" s="940"/>
      <c r="N194" s="909"/>
      <c r="O194" s="928"/>
      <c r="P194" s="940"/>
      <c r="Q194" s="909"/>
      <c r="R194" s="928"/>
      <c r="S194" s="940"/>
      <c r="T194" s="909"/>
      <c r="U194" s="928"/>
      <c r="V194" s="940"/>
      <c r="W194" s="909"/>
      <c r="X194" s="928"/>
      <c r="Y194" s="940"/>
      <c r="Z194" s="909"/>
      <c r="AA194" s="928"/>
      <c r="AB194" s="940"/>
      <c r="AC194" s="909"/>
      <c r="AD194" s="928"/>
      <c r="AE194" s="940"/>
      <c r="AF194" s="909"/>
      <c r="AG194" s="928"/>
      <c r="AH194" s="940"/>
      <c r="AI194" s="909"/>
      <c r="AJ194" s="928"/>
      <c r="AK194" s="940"/>
      <c r="AL194" s="909"/>
      <c r="AM194" s="928"/>
      <c r="AN194" s="940"/>
      <c r="AO194" s="909"/>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652"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934"/>
      <c r="C196" s="941"/>
      <c r="D196" s="942"/>
      <c r="E196" s="943"/>
      <c r="F196" s="941"/>
      <c r="G196" s="942"/>
      <c r="H196" s="943"/>
      <c r="I196" s="941"/>
      <c r="J196" s="942"/>
      <c r="K196" s="943"/>
      <c r="L196" s="941"/>
      <c r="M196" s="942"/>
      <c r="N196" s="943"/>
      <c r="O196" s="941"/>
      <c r="P196" s="942"/>
      <c r="Q196" s="943"/>
      <c r="R196" s="941"/>
      <c r="S196" s="942"/>
      <c r="T196" s="943"/>
      <c r="U196" s="941"/>
      <c r="V196" s="942"/>
      <c r="W196" s="943"/>
      <c r="X196" s="941"/>
      <c r="Y196" s="942"/>
      <c r="Z196" s="943"/>
      <c r="AA196" s="941"/>
      <c r="AB196" s="942"/>
      <c r="AC196" s="943"/>
      <c r="AD196" s="941"/>
      <c r="AE196" s="942"/>
      <c r="AF196" s="943"/>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900"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629"/>
      <c r="X197" s="627"/>
      <c r="Y197" s="692"/>
      <c r="Z197" s="629"/>
      <c r="AA197" s="627"/>
      <c r="AB197" s="692"/>
      <c r="AC197" s="629"/>
      <c r="AD197" s="627"/>
      <c r="AE197" s="692"/>
      <c r="AF197" s="629"/>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630"/>
      <c r="C198" s="630"/>
      <c r="D198" s="631"/>
      <c r="E198" s="693"/>
      <c r="F198" s="630"/>
      <c r="G198" s="631"/>
      <c r="H198" s="693"/>
      <c r="I198" s="630"/>
      <c r="J198" s="631"/>
      <c r="K198" s="693"/>
      <c r="L198" s="630"/>
      <c r="M198" s="631"/>
      <c r="N198" s="693"/>
      <c r="O198" s="630"/>
      <c r="P198" s="631"/>
      <c r="Q198" s="693"/>
      <c r="R198" s="630"/>
      <c r="S198" s="631"/>
      <c r="T198" s="693"/>
      <c r="U198" s="630"/>
      <c r="V198" s="631"/>
      <c r="W198" s="693"/>
      <c r="X198" s="630"/>
      <c r="Y198" s="631"/>
      <c r="Z198" s="693"/>
      <c r="AA198" s="630"/>
      <c r="AB198" s="631"/>
      <c r="AC198" s="693"/>
      <c r="AD198" s="630"/>
      <c r="AE198" s="631"/>
      <c r="AF198" s="693"/>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633"/>
      <c r="C199" s="633"/>
      <c r="D199" s="634"/>
      <c r="E199" s="694"/>
      <c r="F199" s="633"/>
      <c r="G199" s="634"/>
      <c r="H199" s="694"/>
      <c r="I199" s="633"/>
      <c r="J199" s="634"/>
      <c r="K199" s="694"/>
      <c r="L199" s="633"/>
      <c r="M199" s="634"/>
      <c r="N199" s="694"/>
      <c r="O199" s="633"/>
      <c r="P199" s="634"/>
      <c r="Q199" s="694"/>
      <c r="R199" s="633"/>
      <c r="S199" s="634"/>
      <c r="T199" s="694"/>
      <c r="U199" s="633"/>
      <c r="V199" s="634"/>
      <c r="W199" s="694"/>
      <c r="X199" s="633"/>
      <c r="Y199" s="634"/>
      <c r="Z199" s="694"/>
      <c r="AA199" s="633"/>
      <c r="AB199" s="634"/>
      <c r="AC199" s="694"/>
      <c r="AD199" s="633"/>
      <c r="AE199" s="634"/>
      <c r="AF199" s="694"/>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901"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906" t="s">
        <v>116</v>
      </c>
      <c r="C201" s="618"/>
      <c r="D201" s="625"/>
      <c r="E201" s="626"/>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639"/>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907" t="s">
        <v>117</v>
      </c>
      <c r="C202" s="618"/>
      <c r="D202" s="625"/>
      <c r="E202" s="626"/>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639"/>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906" t="s">
        <v>118</v>
      </c>
      <c r="C203" s="890"/>
      <c r="D203" s="908"/>
      <c r="E203" s="909"/>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10"/>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906" t="s">
        <v>119</v>
      </c>
      <c r="C204" s="618"/>
      <c r="D204" s="625"/>
      <c r="E204" s="626"/>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639"/>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618" t="s">
        <v>55</v>
      </c>
      <c r="C205" s="618"/>
      <c r="D205" s="625"/>
      <c r="E205" s="626"/>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639"/>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618" t="s">
        <v>55</v>
      </c>
      <c r="C206" s="618"/>
      <c r="D206" s="625"/>
      <c r="E206" s="626"/>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639"/>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618" t="s">
        <v>55</v>
      </c>
      <c r="C207" s="618"/>
      <c r="D207" s="625"/>
      <c r="E207" s="626"/>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639"/>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907" t="s">
        <v>120</v>
      </c>
      <c r="C208" s="618"/>
      <c r="D208" s="625"/>
      <c r="E208" s="626"/>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639"/>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906" t="s">
        <v>121</v>
      </c>
      <c r="C209" s="890"/>
      <c r="D209" s="908"/>
      <c r="E209" s="909"/>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10"/>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911" t="s">
        <v>122</v>
      </c>
      <c r="C210" s="618"/>
      <c r="D210" s="625"/>
      <c r="E210" s="626"/>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639"/>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906" t="s">
        <v>123</v>
      </c>
      <c r="C211" s="618"/>
      <c r="D211" s="625"/>
      <c r="E211" s="626"/>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639"/>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618"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902"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05"/>
      <c r="X213" s="903"/>
      <c r="Y213" s="904"/>
      <c r="Z213" s="905"/>
      <c r="AA213" s="903"/>
      <c r="AB213" s="904"/>
      <c r="AC213" s="905"/>
      <c r="AD213" s="903"/>
      <c r="AE213" s="904"/>
      <c r="AF213" s="905"/>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618" t="s">
        <v>125</v>
      </c>
      <c r="C214" s="618"/>
      <c r="D214" s="625"/>
      <c r="E214" s="626"/>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639"/>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618" t="s">
        <v>126</v>
      </c>
      <c r="C215" s="618"/>
      <c r="D215" s="625"/>
      <c r="E215" s="626"/>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639"/>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644" t="s">
        <v>127</v>
      </c>
      <c r="C216" s="644"/>
      <c r="D216" s="645"/>
      <c r="E216" s="642"/>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643"/>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618" t="s">
        <v>128</v>
      </c>
      <c r="C217" s="618"/>
      <c r="D217" s="625"/>
      <c r="E217" s="626"/>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639"/>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618" t="s">
        <v>129</v>
      </c>
      <c r="C218" s="618"/>
      <c r="D218" s="625"/>
      <c r="E218" s="626"/>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639"/>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644" t="s">
        <v>130</v>
      </c>
      <c r="C219" s="644"/>
      <c r="D219" s="645"/>
      <c r="E219" s="642"/>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643"/>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618" t="s">
        <v>483</v>
      </c>
      <c r="C220" s="618"/>
      <c r="D220" s="625"/>
      <c r="E220" s="626"/>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639"/>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618" t="s">
        <v>131</v>
      </c>
      <c r="C221" s="618"/>
      <c r="D221" s="625"/>
      <c r="E221" s="626"/>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639"/>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618" t="s">
        <v>132</v>
      </c>
      <c r="C222" s="618"/>
      <c r="D222" s="625"/>
      <c r="E222" s="626"/>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639"/>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618" t="s">
        <v>133</v>
      </c>
      <c r="C223" s="618"/>
      <c r="D223" s="625"/>
      <c r="E223" s="626"/>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639"/>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618" t="s">
        <v>134</v>
      </c>
      <c r="C224" s="618"/>
      <c r="D224" s="625"/>
      <c r="E224" s="626"/>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639"/>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618" t="s">
        <v>135</v>
      </c>
      <c r="C225" s="618"/>
      <c r="D225" s="625"/>
      <c r="E225" s="626"/>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639"/>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618" t="s">
        <v>136</v>
      </c>
      <c r="C226" s="618"/>
      <c r="D226" s="625"/>
      <c r="E226" s="626"/>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639"/>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618" t="s">
        <v>137</v>
      </c>
      <c r="C227" s="618"/>
      <c r="D227" s="625"/>
      <c r="E227" s="626"/>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639"/>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618" t="s">
        <v>138</v>
      </c>
      <c r="C228" s="618"/>
      <c r="D228" s="625"/>
      <c r="E228" s="626"/>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639"/>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618"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618"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618"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902"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05"/>
      <c r="X232" s="903"/>
      <c r="Y232" s="904"/>
      <c r="Z232" s="905"/>
      <c r="AA232" s="903"/>
      <c r="AB232" s="904"/>
      <c r="AC232" s="905"/>
      <c r="AD232" s="903"/>
      <c r="AE232" s="904"/>
      <c r="AF232" s="905"/>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644"/>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912"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13"/>
      <c r="X234" s="903"/>
      <c r="Y234" s="925"/>
      <c r="Z234" s="913"/>
      <c r="AA234" s="903"/>
      <c r="AB234" s="925"/>
      <c r="AC234" s="913"/>
      <c r="AD234" s="903"/>
      <c r="AE234" s="925"/>
      <c r="AF234" s="913"/>
      <c r="AG234" s="903"/>
      <c r="AH234" s="925"/>
      <c r="AI234" s="913"/>
      <c r="AJ234" s="903"/>
      <c r="AK234" s="925"/>
      <c r="AL234" s="913"/>
      <c r="AM234" s="903"/>
      <c r="AN234" s="925"/>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618"/>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916" t="s">
        <v>147</v>
      </c>
      <c r="C236" s="916"/>
      <c r="D236" s="944"/>
      <c r="E236" s="919"/>
      <c r="F236" s="916"/>
      <c r="G236" s="927"/>
      <c r="H236" s="919"/>
      <c r="I236" s="916"/>
      <c r="J236" s="927"/>
      <c r="K236" s="919"/>
      <c r="L236" s="916"/>
      <c r="M236" s="927"/>
      <c r="N236" s="919"/>
      <c r="O236" s="916"/>
      <c r="P236" s="927"/>
      <c r="Q236" s="919"/>
      <c r="R236" s="916"/>
      <c r="S236" s="927"/>
      <c r="T236" s="919"/>
      <c r="U236" s="916"/>
      <c r="V236" s="927"/>
      <c r="W236" s="919"/>
      <c r="X236" s="916"/>
      <c r="Y236" s="927"/>
      <c r="Z236" s="919"/>
      <c r="AA236" s="916"/>
      <c r="AB236" s="927"/>
      <c r="AC236" s="919"/>
      <c r="AD236" s="916"/>
      <c r="AE236" s="927"/>
      <c r="AF236" s="919"/>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625"/>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57"/>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921" t="str">
        <f>B4</f>
        <v>Budget 2025</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92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785" t="s">
        <v>2</v>
      </c>
      <c r="C241" s="1043"/>
      <c r="D241" s="1044"/>
      <c r="E241" s="1045"/>
      <c r="F241" s="603"/>
      <c r="G241" s="604"/>
      <c r="H241" s="605"/>
      <c r="I241" s="603"/>
      <c r="J241" s="604"/>
      <c r="K241" s="605"/>
      <c r="L241" s="603"/>
      <c r="M241" s="604"/>
      <c r="N241" s="605"/>
      <c r="O241" s="603"/>
      <c r="P241" s="604"/>
      <c r="Q241" s="605"/>
      <c r="R241" s="603"/>
      <c r="S241" s="604"/>
      <c r="T241" s="605"/>
      <c r="U241" s="603"/>
      <c r="V241" s="604"/>
      <c r="W241" s="605"/>
      <c r="X241" s="603"/>
      <c r="Y241" s="604"/>
      <c r="Z241" s="605"/>
      <c r="AA241" s="603"/>
      <c r="AB241" s="604"/>
      <c r="AC241" s="605"/>
      <c r="AD241" s="603"/>
      <c r="AE241" s="604"/>
      <c r="AF241" s="605"/>
      <c r="AG241" s="603"/>
      <c r="AH241" s="604"/>
      <c r="AI241" s="605"/>
      <c r="AJ241" s="603"/>
      <c r="AK241" s="604"/>
      <c r="AL241" s="605"/>
      <c r="AM241" s="603"/>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618"/>
      <c r="C242" s="659"/>
      <c r="D242" s="636"/>
      <c r="E242" s="660"/>
      <c r="F242" s="659"/>
      <c r="G242" s="636"/>
      <c r="H242" s="660"/>
      <c r="I242" s="659"/>
      <c r="J242" s="636"/>
      <c r="K242" s="660"/>
      <c r="L242" s="659"/>
      <c r="M242" s="636"/>
      <c r="N242" s="660"/>
      <c r="O242" s="659"/>
      <c r="P242" s="636"/>
      <c r="Q242" s="660"/>
      <c r="R242" s="659"/>
      <c r="S242" s="636"/>
      <c r="T242" s="660"/>
      <c r="U242" s="659"/>
      <c r="V242" s="636"/>
      <c r="W242" s="660"/>
      <c r="X242" s="659"/>
      <c r="Y242" s="636"/>
      <c r="Z242" s="660"/>
      <c r="AA242" s="659"/>
      <c r="AB242" s="636"/>
      <c r="AC242" s="660"/>
      <c r="AD242" s="659"/>
      <c r="AE242" s="636"/>
      <c r="AF242" s="660"/>
      <c r="AG242" s="659"/>
      <c r="AH242" s="636"/>
      <c r="AI242" s="660"/>
      <c r="AJ242" s="659"/>
      <c r="AK242" s="636"/>
      <c r="AL242" s="660"/>
      <c r="AM242" s="659"/>
      <c r="AN242" s="636"/>
      <c r="AO242" s="660"/>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618"/>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618" t="s">
        <v>173</v>
      </c>
      <c r="C244" s="671"/>
      <c r="D244" s="638"/>
      <c r="E244" s="626"/>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618"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618"/>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890" t="s">
        <v>174</v>
      </c>
      <c r="C247" s="928"/>
      <c r="D247" s="929"/>
      <c r="E247" s="909"/>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618"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644"/>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890" t="s">
        <v>175</v>
      </c>
      <c r="C250" s="928"/>
      <c r="D250" s="929"/>
      <c r="E250" s="909"/>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618"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618"/>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900"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629"/>
      <c r="X253" s="627"/>
      <c r="Y253" s="692"/>
      <c r="Z253" s="629"/>
      <c r="AA253" s="627"/>
      <c r="AB253" s="692"/>
      <c r="AC253" s="629"/>
      <c r="AD253" s="627"/>
      <c r="AE253" s="692"/>
      <c r="AF253" s="629"/>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630"/>
      <c r="C254" s="630"/>
      <c r="D254" s="631"/>
      <c r="E254" s="693"/>
      <c r="F254" s="630"/>
      <c r="G254" s="631"/>
      <c r="H254" s="693"/>
      <c r="I254" s="630"/>
      <c r="J254" s="631"/>
      <c r="K254" s="693"/>
      <c r="L254" s="630"/>
      <c r="M254" s="631"/>
      <c r="N254" s="693"/>
      <c r="O254" s="630"/>
      <c r="P254" s="631"/>
      <c r="Q254" s="693"/>
      <c r="R254" s="630"/>
      <c r="S254" s="631"/>
      <c r="T254" s="693"/>
      <c r="U254" s="630"/>
      <c r="V254" s="631"/>
      <c r="W254" s="693"/>
      <c r="X254" s="630"/>
      <c r="Y254" s="631"/>
      <c r="Z254" s="693"/>
      <c r="AA254" s="630"/>
      <c r="AB254" s="631"/>
      <c r="AC254" s="693"/>
      <c r="AD254" s="630"/>
      <c r="AE254" s="631"/>
      <c r="AF254" s="693"/>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618"/>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901"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906" t="s">
        <v>116</v>
      </c>
      <c r="C257" s="618"/>
      <c r="D257" s="625"/>
      <c r="E257" s="626"/>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639"/>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907" t="s">
        <v>117</v>
      </c>
      <c r="C258" s="618"/>
      <c r="D258" s="625"/>
      <c r="E258" s="626"/>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639"/>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906" t="s">
        <v>118</v>
      </c>
      <c r="C259" s="890"/>
      <c r="D259" s="908"/>
      <c r="E259" s="909"/>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10"/>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906" t="s">
        <v>119</v>
      </c>
      <c r="C260" s="618"/>
      <c r="D260" s="625"/>
      <c r="E260" s="626"/>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639"/>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618" t="s">
        <v>55</v>
      </c>
      <c r="C261" s="618"/>
      <c r="D261" s="625"/>
      <c r="E261" s="626"/>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639"/>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618" t="s">
        <v>55</v>
      </c>
      <c r="C262" s="618"/>
      <c r="D262" s="625"/>
      <c r="E262" s="626"/>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639"/>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618" t="s">
        <v>55</v>
      </c>
      <c r="C263" s="618"/>
      <c r="D263" s="625"/>
      <c r="E263" s="626"/>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639"/>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907" t="s">
        <v>120</v>
      </c>
      <c r="C264" s="618"/>
      <c r="D264" s="625"/>
      <c r="E264" s="626"/>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639"/>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906" t="s">
        <v>121</v>
      </c>
      <c r="C265" s="890"/>
      <c r="D265" s="908"/>
      <c r="E265" s="909"/>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10"/>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911" t="s">
        <v>122</v>
      </c>
      <c r="C266" s="618"/>
      <c r="D266" s="625"/>
      <c r="E266" s="626"/>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639"/>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906" t="s">
        <v>123</v>
      </c>
      <c r="C267" s="618"/>
      <c r="D267" s="625"/>
      <c r="E267" s="626"/>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639"/>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618"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902"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05"/>
      <c r="X269" s="903"/>
      <c r="Y269" s="904"/>
      <c r="Z269" s="905"/>
      <c r="AA269" s="903"/>
      <c r="AB269" s="904"/>
      <c r="AC269" s="905"/>
      <c r="AD269" s="903"/>
      <c r="AE269" s="904"/>
      <c r="AF269" s="905"/>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945" t="s">
        <v>125</v>
      </c>
      <c r="C270" s="618"/>
      <c r="D270" s="625"/>
      <c r="E270" s="626"/>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639"/>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906" t="s">
        <v>126</v>
      </c>
      <c r="C271" s="618"/>
      <c r="D271" s="625"/>
      <c r="E271" s="626"/>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639"/>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907" t="s">
        <v>127</v>
      </c>
      <c r="C272" s="644"/>
      <c r="D272" s="645"/>
      <c r="E272" s="642"/>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643"/>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906" t="s">
        <v>128</v>
      </c>
      <c r="C273" s="618"/>
      <c r="D273" s="625"/>
      <c r="E273" s="626"/>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639"/>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906" t="s">
        <v>129</v>
      </c>
      <c r="C274" s="618"/>
      <c r="D274" s="625"/>
      <c r="E274" s="626"/>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639"/>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907" t="s">
        <v>130</v>
      </c>
      <c r="C275" s="644"/>
      <c r="D275" s="645"/>
      <c r="E275" s="642"/>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643"/>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906" t="s">
        <v>483</v>
      </c>
      <c r="C276" s="618"/>
      <c r="D276" s="625"/>
      <c r="E276" s="626"/>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639"/>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906" t="s">
        <v>131</v>
      </c>
      <c r="C277" s="618"/>
      <c r="D277" s="625"/>
      <c r="E277" s="626"/>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639"/>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906" t="s">
        <v>132</v>
      </c>
      <c r="C278" s="618"/>
      <c r="D278" s="625"/>
      <c r="E278" s="626"/>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639"/>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906" t="s">
        <v>133</v>
      </c>
      <c r="C279" s="618"/>
      <c r="D279" s="625"/>
      <c r="E279" s="626"/>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639"/>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906" t="s">
        <v>134</v>
      </c>
      <c r="C280" s="618"/>
      <c r="D280" s="625"/>
      <c r="E280" s="626"/>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639"/>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906" t="s">
        <v>135</v>
      </c>
      <c r="C281" s="618"/>
      <c r="D281" s="625"/>
      <c r="E281" s="626"/>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639"/>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906" t="s">
        <v>136</v>
      </c>
      <c r="C282" s="618"/>
      <c r="D282" s="625"/>
      <c r="E282" s="626"/>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639"/>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906" t="s">
        <v>137</v>
      </c>
      <c r="C283" s="618"/>
      <c r="D283" s="625"/>
      <c r="E283" s="626"/>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639"/>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906" t="s">
        <v>138</v>
      </c>
      <c r="C284" s="618"/>
      <c r="D284" s="625"/>
      <c r="E284" s="626"/>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639"/>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906"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906"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906"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946"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651"/>
      <c r="X288" s="650"/>
      <c r="Y288" s="915"/>
      <c r="Z288" s="651"/>
      <c r="AA288" s="650"/>
      <c r="AB288" s="915"/>
      <c r="AC288" s="651"/>
      <c r="AD288" s="650"/>
      <c r="AE288" s="915"/>
      <c r="AF288" s="651"/>
      <c r="AG288" s="650"/>
      <c r="AH288" s="915"/>
      <c r="AI288" s="651"/>
      <c r="AJ288" s="650"/>
      <c r="AK288" s="915"/>
      <c r="AL288" s="651"/>
      <c r="AM288" s="650"/>
      <c r="AN288" s="915"/>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644"/>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912"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13"/>
      <c r="X290" s="903"/>
      <c r="Y290" s="925"/>
      <c r="Z290" s="913"/>
      <c r="AA290" s="903"/>
      <c r="AB290" s="925"/>
      <c r="AC290" s="913"/>
      <c r="AD290" s="903"/>
      <c r="AE290" s="925"/>
      <c r="AF290" s="913"/>
      <c r="AG290" s="903"/>
      <c r="AH290" s="925"/>
      <c r="AI290" s="913"/>
      <c r="AJ290" s="903"/>
      <c r="AK290" s="925"/>
      <c r="AL290" s="913"/>
      <c r="AM290" s="903"/>
      <c r="AN290" s="925"/>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618"/>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916"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19"/>
      <c r="X292" s="916"/>
      <c r="Y292" s="927"/>
      <c r="Z292" s="919"/>
      <c r="AA292" s="916"/>
      <c r="AB292" s="927"/>
      <c r="AC292" s="919"/>
      <c r="AD292" s="916"/>
      <c r="AE292" s="927"/>
      <c r="AF292" s="919"/>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625"/>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921" t="str">
        <f>B4</f>
        <v>Budget 2025</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92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785" t="s">
        <v>2</v>
      </c>
      <c r="C296" s="1043"/>
      <c r="D296" s="1044"/>
      <c r="E296" s="1045"/>
      <c r="F296" s="603"/>
      <c r="G296" s="604"/>
      <c r="H296" s="605"/>
      <c r="I296" s="603"/>
      <c r="J296" s="604"/>
      <c r="K296" s="605"/>
      <c r="L296" s="603"/>
      <c r="M296" s="604"/>
      <c r="N296" s="605"/>
      <c r="O296" s="603"/>
      <c r="P296" s="604"/>
      <c r="Q296" s="605"/>
      <c r="R296" s="603"/>
      <c r="S296" s="604"/>
      <c r="T296" s="605"/>
      <c r="U296" s="603"/>
      <c r="V296" s="604"/>
      <c r="W296" s="605"/>
      <c r="X296" s="603"/>
      <c r="Y296" s="604"/>
      <c r="Z296" s="605"/>
      <c r="AA296" s="603"/>
      <c r="AB296" s="604"/>
      <c r="AC296" s="605"/>
      <c r="AD296" s="603"/>
      <c r="AE296" s="604"/>
      <c r="AF296" s="605"/>
      <c r="AG296" s="603"/>
      <c r="AH296" s="604"/>
      <c r="AI296" s="605"/>
      <c r="AJ296" s="603"/>
      <c r="AK296" s="604"/>
      <c r="AL296" s="605"/>
      <c r="AM296" s="603"/>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618"/>
      <c r="C297" s="659"/>
      <c r="D297" s="636"/>
      <c r="E297" s="660"/>
      <c r="F297" s="659"/>
      <c r="G297" s="636"/>
      <c r="H297" s="660"/>
      <c r="I297" s="659"/>
      <c r="J297" s="636"/>
      <c r="K297" s="660"/>
      <c r="L297" s="659"/>
      <c r="M297" s="636"/>
      <c r="N297" s="660"/>
      <c r="O297" s="659"/>
      <c r="P297" s="636"/>
      <c r="Q297" s="660"/>
      <c r="R297" s="659"/>
      <c r="S297" s="636"/>
      <c r="T297" s="660"/>
      <c r="U297" s="659"/>
      <c r="V297" s="636"/>
      <c r="W297" s="660"/>
      <c r="X297" s="659"/>
      <c r="Y297" s="636"/>
      <c r="Z297" s="660"/>
      <c r="AA297" s="659"/>
      <c r="AB297" s="636"/>
      <c r="AC297" s="660"/>
      <c r="AD297" s="659"/>
      <c r="AE297" s="636"/>
      <c r="AF297" s="660"/>
      <c r="AG297" s="659"/>
      <c r="AH297" s="636"/>
      <c r="AI297" s="660"/>
      <c r="AJ297" s="659"/>
      <c r="AK297" s="636"/>
      <c r="AL297" s="660"/>
      <c r="AM297" s="659"/>
      <c r="AN297" s="636"/>
      <c r="AO297" s="660"/>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618" t="s">
        <v>178</v>
      </c>
      <c r="C298" s="671"/>
      <c r="D298" s="669"/>
      <c r="E298" s="626"/>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618" t="s">
        <v>179</v>
      </c>
      <c r="C299" s="671"/>
      <c r="D299" s="669"/>
      <c r="E299" s="626"/>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618" t="s">
        <v>180</v>
      </c>
      <c r="C300" s="671"/>
      <c r="D300" s="669"/>
      <c r="E300" s="626"/>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618" t="s">
        <v>181</v>
      </c>
      <c r="C301" s="671"/>
      <c r="D301" s="669"/>
      <c r="E301" s="626"/>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618" t="s">
        <v>182</v>
      </c>
      <c r="C302" s="671"/>
      <c r="D302" s="669"/>
      <c r="E302" s="626"/>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618" t="s">
        <v>183</v>
      </c>
      <c r="C303" s="671"/>
      <c r="D303" s="669"/>
      <c r="E303" s="626"/>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618" t="s">
        <v>55</v>
      </c>
      <c r="C304" s="671"/>
      <c r="D304" s="669"/>
      <c r="E304" s="626"/>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618" t="s">
        <v>184</v>
      </c>
      <c r="C305" s="671"/>
      <c r="D305" s="669"/>
      <c r="E305" s="626"/>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644" t="s">
        <v>185</v>
      </c>
      <c r="C306" s="671"/>
      <c r="D306" s="669"/>
      <c r="E306" s="626"/>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665"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618"/>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644"/>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618" t="s">
        <v>187</v>
      </c>
      <c r="C310" s="671"/>
      <c r="D310" s="669"/>
      <c r="E310" s="626"/>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644" t="s">
        <v>188</v>
      </c>
      <c r="C311" s="671"/>
      <c r="D311" s="669"/>
      <c r="E311" s="626"/>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665"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618"/>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v>
      </c>
      <c r="B314" s="618"/>
      <c r="C314" s="618"/>
      <c r="D314" s="625"/>
      <c r="E314" s="619"/>
      <c r="F314" s="618"/>
      <c r="G314" s="625"/>
      <c r="H314" s="619"/>
      <c r="I314" s="618"/>
      <c r="J314" s="625"/>
      <c r="K314" s="619"/>
      <c r="L314" s="618"/>
      <c r="M314" s="625"/>
      <c r="N314" s="619"/>
      <c r="O314" s="618"/>
      <c r="P314" s="625"/>
      <c r="Q314" s="619"/>
      <c r="R314" s="618"/>
      <c r="S314" s="625"/>
      <c r="T314" s="619"/>
      <c r="U314" s="618"/>
      <c r="V314" s="625"/>
      <c r="W314" s="619"/>
      <c r="X314" s="618"/>
      <c r="Y314" s="625"/>
      <c r="Z314" s="619"/>
      <c r="AA314" s="618"/>
      <c r="AB314" s="625"/>
      <c r="AC314" s="619"/>
      <c r="AD314" s="618"/>
      <c r="AE314" s="625"/>
      <c r="AF314" s="619"/>
      <c r="AG314" s="618"/>
      <c r="AH314" s="625"/>
      <c r="AI314" s="619"/>
      <c r="AJ314" s="618"/>
      <c r="AK314" s="625"/>
      <c r="AL314" s="619"/>
      <c r="AM314" s="618"/>
      <c r="AN314" s="625"/>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644"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618"/>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900"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629"/>
      <c r="X317" s="627"/>
      <c r="Y317" s="699"/>
      <c r="Z317" s="629"/>
      <c r="AA317" s="627"/>
      <c r="AB317" s="699"/>
      <c r="AC317" s="629"/>
      <c r="AD317" s="627"/>
      <c r="AE317" s="699"/>
      <c r="AF317" s="629"/>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950"/>
      <c r="C318" s="951"/>
      <c r="D318" s="952"/>
      <c r="E318" s="953"/>
      <c r="F318" s="951"/>
      <c r="G318" s="952"/>
      <c r="H318" s="953"/>
      <c r="I318" s="951"/>
      <c r="J318" s="952"/>
      <c r="K318" s="953"/>
      <c r="L318" s="951"/>
      <c r="M318" s="952"/>
      <c r="N318" s="953"/>
      <c r="O318" s="951"/>
      <c r="P318" s="952"/>
      <c r="Q318" s="953"/>
      <c r="R318" s="951"/>
      <c r="S318" s="952"/>
      <c r="T318" s="953"/>
      <c r="U318" s="951"/>
      <c r="V318" s="952"/>
      <c r="W318" s="953"/>
      <c r="X318" s="951"/>
      <c r="Y318" s="952"/>
      <c r="Z318" s="953"/>
      <c r="AA318" s="951"/>
      <c r="AB318" s="952"/>
      <c r="AC318" s="953"/>
      <c r="AD318" s="951"/>
      <c r="AE318" s="952"/>
      <c r="AF318" s="953"/>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633"/>
      <c r="C319" s="700"/>
      <c r="D319" s="701"/>
      <c r="E319" s="654"/>
      <c r="F319" s="700"/>
      <c r="G319" s="701"/>
      <c r="H319" s="654"/>
      <c r="I319" s="700"/>
      <c r="J319" s="701"/>
      <c r="K319" s="654"/>
      <c r="L319" s="700"/>
      <c r="M319" s="701"/>
      <c r="N319" s="654"/>
      <c r="O319" s="700"/>
      <c r="P319" s="701"/>
      <c r="Q319" s="654"/>
      <c r="R319" s="700"/>
      <c r="S319" s="701"/>
      <c r="T319" s="654"/>
      <c r="U319" s="700"/>
      <c r="V319" s="701"/>
      <c r="W319" s="654"/>
      <c r="X319" s="700"/>
      <c r="Y319" s="701"/>
      <c r="Z319" s="654"/>
      <c r="AA319" s="700"/>
      <c r="AB319" s="701"/>
      <c r="AC319" s="654"/>
      <c r="AD319" s="700"/>
      <c r="AE319" s="701"/>
      <c r="AF319" s="654"/>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901" t="s">
        <v>106</v>
      </c>
      <c r="C320" s="618"/>
      <c r="D320" s="625"/>
      <c r="E320" s="619"/>
      <c r="F320" s="618"/>
      <c r="G320" s="625"/>
      <c r="H320" s="619"/>
      <c r="I320" s="618"/>
      <c r="J320" s="625"/>
      <c r="K320" s="61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906" t="s">
        <v>116</v>
      </c>
      <c r="C321" s="618"/>
      <c r="D321" s="625"/>
      <c r="E321" s="626"/>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639"/>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907" t="s">
        <v>117</v>
      </c>
      <c r="C322" s="618"/>
      <c r="D322" s="625"/>
      <c r="E322" s="626"/>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639"/>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906" t="s">
        <v>118</v>
      </c>
      <c r="C323" s="890"/>
      <c r="D323" s="908"/>
      <c r="E323" s="909"/>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10"/>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906" t="s">
        <v>119</v>
      </c>
      <c r="C324" s="618"/>
      <c r="D324" s="625"/>
      <c r="E324" s="626"/>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639"/>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618" t="s">
        <v>55</v>
      </c>
      <c r="C325" s="618"/>
      <c r="D325" s="625"/>
      <c r="E325" s="626"/>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639"/>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618" t="s">
        <v>55</v>
      </c>
      <c r="C326" s="618"/>
      <c r="D326" s="625"/>
      <c r="E326" s="626"/>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639"/>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618" t="s">
        <v>55</v>
      </c>
      <c r="C327" s="618"/>
      <c r="D327" s="625"/>
      <c r="E327" s="626"/>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639"/>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907" t="s">
        <v>120</v>
      </c>
      <c r="C328" s="618"/>
      <c r="D328" s="625"/>
      <c r="E328" s="626"/>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639"/>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906" t="s">
        <v>121</v>
      </c>
      <c r="C329" s="890"/>
      <c r="D329" s="908"/>
      <c r="E329" s="909"/>
      <c r="F329" s="890"/>
      <c r="G329" s="908"/>
      <c r="H329" s="910"/>
      <c r="I329" s="890"/>
      <c r="J329" s="908"/>
      <c r="K329" s="910"/>
      <c r="L329" s="890"/>
      <c r="M329" s="908"/>
      <c r="N329" s="910"/>
      <c r="O329" s="890"/>
      <c r="P329" s="908"/>
      <c r="Q329" s="910"/>
      <c r="R329" s="890"/>
      <c r="S329" s="908"/>
      <c r="T329" s="9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10"/>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911" t="s">
        <v>122</v>
      </c>
      <c r="C330" s="618"/>
      <c r="D330" s="625"/>
      <c r="E330" s="626"/>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639"/>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906" t="s">
        <v>123</v>
      </c>
      <c r="C331" s="618"/>
      <c r="D331" s="625"/>
      <c r="E331" s="626"/>
      <c r="F331" s="618"/>
      <c r="G331" s="625"/>
      <c r="H331" s="639"/>
      <c r="I331" s="618"/>
      <c r="J331" s="625"/>
      <c r="K331" s="639"/>
      <c r="L331" s="618"/>
      <c r="M331" s="625"/>
      <c r="N331" s="639"/>
      <c r="O331" s="618"/>
      <c r="P331" s="625"/>
      <c r="Q331" s="639"/>
      <c r="R331" s="618"/>
      <c r="S331" s="625"/>
      <c r="T331" s="639"/>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639"/>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618"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642"/>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902"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05"/>
      <c r="X333" s="903"/>
      <c r="Y333" s="904"/>
      <c r="Z333" s="905"/>
      <c r="AA333" s="903"/>
      <c r="AB333" s="904"/>
      <c r="AC333" s="905"/>
      <c r="AD333" s="903"/>
      <c r="AE333" s="904"/>
      <c r="AF333" s="905"/>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945" t="s">
        <v>125</v>
      </c>
      <c r="C334" s="618"/>
      <c r="D334" s="625"/>
      <c r="E334" s="626"/>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639"/>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906" t="s">
        <v>126</v>
      </c>
      <c r="C335" s="618"/>
      <c r="D335" s="625"/>
      <c r="E335" s="626"/>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639"/>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907" t="s">
        <v>127</v>
      </c>
      <c r="C336" s="644"/>
      <c r="D336" s="645"/>
      <c r="E336" s="642"/>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643"/>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906" t="s">
        <v>128</v>
      </c>
      <c r="C337" s="618"/>
      <c r="D337" s="625"/>
      <c r="E337" s="626"/>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639"/>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906" t="s">
        <v>129</v>
      </c>
      <c r="C338" s="618"/>
      <c r="D338" s="625"/>
      <c r="E338" s="626"/>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639"/>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907" t="s">
        <v>130</v>
      </c>
      <c r="C339" s="644"/>
      <c r="D339" s="645"/>
      <c r="E339" s="642"/>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643"/>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906" t="s">
        <v>483</v>
      </c>
      <c r="C340" s="618"/>
      <c r="D340" s="625"/>
      <c r="E340" s="626"/>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639"/>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906" t="s">
        <v>131</v>
      </c>
      <c r="C341" s="618"/>
      <c r="D341" s="625"/>
      <c r="E341" s="626"/>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639"/>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906" t="s">
        <v>132</v>
      </c>
      <c r="C342" s="618"/>
      <c r="D342" s="625"/>
      <c r="E342" s="626"/>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639"/>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906" t="s">
        <v>133</v>
      </c>
      <c r="C343" s="618"/>
      <c r="D343" s="625"/>
      <c r="E343" s="626"/>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639"/>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906" t="s">
        <v>134</v>
      </c>
      <c r="C344" s="618"/>
      <c r="D344" s="625"/>
      <c r="E344" s="626"/>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639"/>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906" t="s">
        <v>135</v>
      </c>
      <c r="C345" s="618"/>
      <c r="D345" s="625"/>
      <c r="E345" s="626"/>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639"/>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906" t="s">
        <v>136</v>
      </c>
      <c r="C346" s="618"/>
      <c r="D346" s="625"/>
      <c r="E346" s="626"/>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639"/>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906" t="s">
        <v>137</v>
      </c>
      <c r="C347" s="618"/>
      <c r="D347" s="625"/>
      <c r="E347" s="626"/>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639"/>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906" t="s">
        <v>138</v>
      </c>
      <c r="C348" s="618"/>
      <c r="D348" s="625"/>
      <c r="E348" s="626"/>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639"/>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906"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906"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906"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902"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05"/>
      <c r="X352" s="903"/>
      <c r="Y352" s="904"/>
      <c r="Z352" s="905"/>
      <c r="AA352" s="903"/>
      <c r="AB352" s="904"/>
      <c r="AC352" s="905"/>
      <c r="AD352" s="903"/>
      <c r="AE352" s="904"/>
      <c r="AF352" s="905"/>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644"/>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912"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13"/>
      <c r="X354" s="903"/>
      <c r="Y354" s="925"/>
      <c r="Z354" s="913"/>
      <c r="AA354" s="903"/>
      <c r="AB354" s="925"/>
      <c r="AC354" s="913"/>
      <c r="AD354" s="903"/>
      <c r="AE354" s="925"/>
      <c r="AF354" s="91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618"/>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916" t="s">
        <v>147</v>
      </c>
      <c r="C356" s="916"/>
      <c r="D356" s="954"/>
      <c r="E356" s="919"/>
      <c r="F356" s="916"/>
      <c r="G356" s="927"/>
      <c r="H356" s="919"/>
      <c r="I356" s="916"/>
      <c r="J356" s="927"/>
      <c r="K356" s="919"/>
      <c r="L356" s="916"/>
      <c r="M356" s="927"/>
      <c r="N356" s="919"/>
      <c r="O356" s="916"/>
      <c r="P356" s="927"/>
      <c r="Q356" s="919"/>
      <c r="R356" s="916"/>
      <c r="S356" s="927"/>
      <c r="T356" s="919"/>
      <c r="U356" s="916"/>
      <c r="V356" s="927"/>
      <c r="W356" s="919"/>
      <c r="X356" s="916"/>
      <c r="Y356" s="927"/>
      <c r="Z356" s="919"/>
      <c r="AA356" s="916"/>
      <c r="AB356" s="927"/>
      <c r="AC356" s="919"/>
      <c r="AD356" s="916"/>
      <c r="AE356" s="927"/>
      <c r="AF356" s="919"/>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666"/>
      <c r="C357" s="666"/>
      <c r="D357" s="666"/>
      <c r="E357" s="702"/>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666"/>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921" t="str">
        <f>+B294</f>
        <v>Budget 2025</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92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785" t="s">
        <v>2</v>
      </c>
      <c r="C361" s="1043"/>
      <c r="D361" s="1044"/>
      <c r="E361" s="1045"/>
      <c r="F361" s="603"/>
      <c r="G361" s="604"/>
      <c r="H361" s="605"/>
      <c r="I361" s="603"/>
      <c r="J361" s="604"/>
      <c r="K361" s="605"/>
      <c r="L361" s="603"/>
      <c r="M361" s="604"/>
      <c r="N361" s="605"/>
      <c r="O361" s="603"/>
      <c r="P361" s="604"/>
      <c r="Q361" s="605"/>
      <c r="R361" s="603"/>
      <c r="S361" s="604"/>
      <c r="T361" s="605"/>
      <c r="U361" s="603"/>
      <c r="V361" s="604"/>
      <c r="W361" s="605"/>
      <c r="X361" s="603"/>
      <c r="Y361" s="604"/>
      <c r="Z361" s="605"/>
      <c r="AA361" s="603"/>
      <c r="AB361" s="604"/>
      <c r="AC361" s="605"/>
      <c r="AD361" s="603"/>
      <c r="AE361" s="604"/>
      <c r="AF361" s="605"/>
      <c r="AG361" s="603"/>
      <c r="AH361" s="604"/>
      <c r="AI361" s="605"/>
      <c r="AJ361" s="603"/>
      <c r="AK361" s="604"/>
      <c r="AL361" s="605"/>
      <c r="AM361" s="603"/>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618"/>
      <c r="C362" s="659"/>
      <c r="D362" s="636"/>
      <c r="E362" s="660"/>
      <c r="F362" s="659"/>
      <c r="G362" s="636"/>
      <c r="H362" s="660"/>
      <c r="I362" s="659"/>
      <c r="J362" s="636"/>
      <c r="K362" s="660"/>
      <c r="L362" s="659"/>
      <c r="M362" s="636"/>
      <c r="N362" s="660"/>
      <c r="O362" s="659"/>
      <c r="P362" s="636"/>
      <c r="Q362" s="660"/>
      <c r="R362" s="659"/>
      <c r="S362" s="636"/>
      <c r="T362" s="660"/>
      <c r="U362" s="659"/>
      <c r="V362" s="636"/>
      <c r="W362" s="660"/>
      <c r="X362" s="659"/>
      <c r="Y362" s="636"/>
      <c r="Z362" s="660"/>
      <c r="AA362" s="659"/>
      <c r="AB362" s="636"/>
      <c r="AC362" s="660"/>
      <c r="AD362" s="659"/>
      <c r="AE362" s="636"/>
      <c r="AF362" s="660"/>
      <c r="AG362" s="659"/>
      <c r="AH362" s="636"/>
      <c r="AI362" s="660"/>
      <c r="AJ362" s="659"/>
      <c r="AK362" s="636"/>
      <c r="AL362" s="660"/>
      <c r="AM362" s="659"/>
      <c r="AN362" s="636"/>
      <c r="AO362" s="660"/>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900" t="s">
        <v>192</v>
      </c>
      <c r="C363" s="627"/>
      <c r="D363" s="699"/>
      <c r="E363" s="629"/>
      <c r="F363" s="627"/>
      <c r="G363" s="699"/>
      <c r="H363" s="629"/>
      <c r="I363" s="627"/>
      <c r="J363" s="699"/>
      <c r="K363" s="629"/>
      <c r="L363" s="627"/>
      <c r="M363" s="699"/>
      <c r="N363" s="629"/>
      <c r="O363" s="627"/>
      <c r="P363" s="699"/>
      <c r="Q363" s="629"/>
      <c r="R363" s="627"/>
      <c r="S363" s="699"/>
      <c r="T363" s="629"/>
      <c r="U363" s="627"/>
      <c r="V363" s="699"/>
      <c r="W363" s="629"/>
      <c r="X363" s="627"/>
      <c r="Y363" s="699"/>
      <c r="Z363" s="629"/>
      <c r="AA363" s="627"/>
      <c r="AB363" s="699"/>
      <c r="AC363" s="629"/>
      <c r="AD363" s="627"/>
      <c r="AE363" s="699"/>
      <c r="AF363" s="629"/>
      <c r="AG363" s="627"/>
      <c r="AH363" s="699"/>
      <c r="AI363" s="629"/>
      <c r="AJ363" s="627"/>
      <c r="AK363" s="699"/>
      <c r="AL363" s="629"/>
      <c r="AM363" s="627"/>
      <c r="AN363" s="699"/>
      <c r="AO363" s="629"/>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950"/>
      <c r="C364" s="951"/>
      <c r="D364" s="952"/>
      <c r="E364" s="953"/>
      <c r="F364" s="951"/>
      <c r="G364" s="952"/>
      <c r="H364" s="953"/>
      <c r="I364" s="951"/>
      <c r="J364" s="952"/>
      <c r="K364" s="953"/>
      <c r="L364" s="951"/>
      <c r="M364" s="952"/>
      <c r="N364" s="953"/>
      <c r="O364" s="951"/>
      <c r="P364" s="952"/>
      <c r="Q364" s="953"/>
      <c r="R364" s="951"/>
      <c r="S364" s="952"/>
      <c r="T364" s="953"/>
      <c r="U364" s="951"/>
      <c r="V364" s="952"/>
      <c r="W364" s="953"/>
      <c r="X364" s="951"/>
      <c r="Y364" s="952"/>
      <c r="Z364" s="953"/>
      <c r="AA364" s="951"/>
      <c r="AB364" s="952"/>
      <c r="AC364" s="953"/>
      <c r="AD364" s="951"/>
      <c r="AE364" s="952"/>
      <c r="AF364" s="953"/>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633" t="s">
        <v>193</v>
      </c>
      <c r="C365" s="700"/>
      <c r="D365" s="701"/>
      <c r="E365" s="654"/>
      <c r="F365" s="700"/>
      <c r="G365" s="701"/>
      <c r="H365" s="654"/>
      <c r="I365" s="700"/>
      <c r="J365" s="701"/>
      <c r="K365" s="654"/>
      <c r="L365" s="700"/>
      <c r="M365" s="701"/>
      <c r="N365" s="654"/>
      <c r="O365" s="700"/>
      <c r="P365" s="701"/>
      <c r="Q365" s="654"/>
      <c r="R365" s="700"/>
      <c r="S365" s="701"/>
      <c r="T365" s="654"/>
      <c r="U365" s="700"/>
      <c r="V365" s="701"/>
      <c r="W365" s="654"/>
      <c r="X365" s="700"/>
      <c r="Y365" s="701"/>
      <c r="Z365" s="654"/>
      <c r="AA365" s="700"/>
      <c r="AB365" s="701"/>
      <c r="AC365" s="654"/>
      <c r="AD365" s="700"/>
      <c r="AE365" s="701"/>
      <c r="AF365" s="654"/>
      <c r="AG365" s="700"/>
      <c r="AH365" s="701"/>
      <c r="AI365" s="654"/>
      <c r="AJ365" s="700"/>
      <c r="AK365" s="701"/>
      <c r="AL365" s="654"/>
      <c r="AM365" s="700"/>
      <c r="AN365" s="701"/>
      <c r="AO365" s="654"/>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901"/>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901"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906" t="s">
        <v>116</v>
      </c>
      <c r="C368" s="618"/>
      <c r="D368" s="625"/>
      <c r="E368" s="626"/>
      <c r="F368" s="618"/>
      <c r="G368" s="625"/>
      <c r="H368" s="639"/>
      <c r="I368" s="618"/>
      <c r="J368" s="625"/>
      <c r="K368" s="639"/>
      <c r="L368" s="618"/>
      <c r="M368" s="625"/>
      <c r="N368" s="639"/>
      <c r="O368" s="618"/>
      <c r="P368" s="625"/>
      <c r="Q368" s="639"/>
      <c r="R368" s="618"/>
      <c r="S368" s="625"/>
      <c r="T368" s="639"/>
      <c r="U368" s="618"/>
      <c r="V368" s="625"/>
      <c r="W368" s="639"/>
      <c r="X368" s="618"/>
      <c r="Y368" s="625"/>
      <c r="Z368" s="639"/>
      <c r="AA368" s="618"/>
      <c r="AB368" s="625"/>
      <c r="AC368" s="639"/>
      <c r="AD368" s="618"/>
      <c r="AE368" s="625"/>
      <c r="AF368" s="639"/>
      <c r="AG368" s="618"/>
      <c r="AH368" s="625"/>
      <c r="AI368" s="639"/>
      <c r="AJ368" s="618"/>
      <c r="AK368" s="625"/>
      <c r="AL368" s="639"/>
      <c r="AM368" s="618"/>
      <c r="AN368" s="625"/>
      <c r="AO368" s="639"/>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907" t="s">
        <v>117</v>
      </c>
      <c r="C369" s="618"/>
      <c r="D369" s="625"/>
      <c r="E369" s="626"/>
      <c r="F369" s="618"/>
      <c r="G369" s="625"/>
      <c r="H369" s="639"/>
      <c r="I369" s="618"/>
      <c r="J369" s="625"/>
      <c r="K369" s="639"/>
      <c r="L369" s="618"/>
      <c r="M369" s="625"/>
      <c r="N369" s="639"/>
      <c r="O369" s="618"/>
      <c r="P369" s="625"/>
      <c r="Q369" s="639"/>
      <c r="R369" s="618"/>
      <c r="S369" s="625"/>
      <c r="T369" s="639"/>
      <c r="U369" s="618"/>
      <c r="V369" s="625"/>
      <c r="W369" s="639"/>
      <c r="X369" s="618"/>
      <c r="Y369" s="625"/>
      <c r="Z369" s="639"/>
      <c r="AA369" s="618"/>
      <c r="AB369" s="625"/>
      <c r="AC369" s="639"/>
      <c r="AD369" s="618"/>
      <c r="AE369" s="625"/>
      <c r="AF369" s="639"/>
      <c r="AG369" s="618"/>
      <c r="AH369" s="625"/>
      <c r="AI369" s="639"/>
      <c r="AJ369" s="618"/>
      <c r="AK369" s="625"/>
      <c r="AL369" s="639"/>
      <c r="AM369" s="618"/>
      <c r="AN369" s="625"/>
      <c r="AO369" s="639"/>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906" t="s">
        <v>118</v>
      </c>
      <c r="C370" s="890"/>
      <c r="D370" s="908"/>
      <c r="E370" s="909"/>
      <c r="F370" s="890"/>
      <c r="G370" s="908"/>
      <c r="H370" s="910"/>
      <c r="I370" s="890"/>
      <c r="J370" s="908"/>
      <c r="K370" s="910"/>
      <c r="L370" s="890"/>
      <c r="M370" s="908"/>
      <c r="N370" s="910"/>
      <c r="O370" s="890"/>
      <c r="P370" s="908"/>
      <c r="Q370" s="910"/>
      <c r="R370" s="890"/>
      <c r="S370" s="908"/>
      <c r="T370" s="910"/>
      <c r="U370" s="890"/>
      <c r="V370" s="908"/>
      <c r="W370" s="910"/>
      <c r="X370" s="890"/>
      <c r="Y370" s="908"/>
      <c r="Z370" s="910"/>
      <c r="AA370" s="890"/>
      <c r="AB370" s="908"/>
      <c r="AC370" s="910"/>
      <c r="AD370" s="890"/>
      <c r="AE370" s="908"/>
      <c r="AF370" s="910"/>
      <c r="AG370" s="890"/>
      <c r="AH370" s="908"/>
      <c r="AI370" s="910"/>
      <c r="AJ370" s="890"/>
      <c r="AK370" s="908"/>
      <c r="AL370" s="910"/>
      <c r="AM370" s="890"/>
      <c r="AN370" s="908"/>
      <c r="AO370" s="910"/>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906" t="s">
        <v>119</v>
      </c>
      <c r="C371" s="618"/>
      <c r="D371" s="625"/>
      <c r="E371" s="626"/>
      <c r="F371" s="618"/>
      <c r="G371" s="625"/>
      <c r="H371" s="639"/>
      <c r="I371" s="618"/>
      <c r="J371" s="625"/>
      <c r="K371" s="639"/>
      <c r="L371" s="618"/>
      <c r="M371" s="625"/>
      <c r="N371" s="639"/>
      <c r="O371" s="618"/>
      <c r="P371" s="625"/>
      <c r="Q371" s="639"/>
      <c r="R371" s="618"/>
      <c r="S371" s="625"/>
      <c r="T371" s="639"/>
      <c r="U371" s="618"/>
      <c r="V371" s="625"/>
      <c r="W371" s="639"/>
      <c r="X371" s="618"/>
      <c r="Y371" s="625"/>
      <c r="Z371" s="639"/>
      <c r="AA371" s="618"/>
      <c r="AB371" s="625"/>
      <c r="AC371" s="639"/>
      <c r="AD371" s="618"/>
      <c r="AE371" s="625"/>
      <c r="AF371" s="639"/>
      <c r="AG371" s="618"/>
      <c r="AH371" s="625"/>
      <c r="AI371" s="639"/>
      <c r="AJ371" s="618"/>
      <c r="AK371" s="625"/>
      <c r="AL371" s="639"/>
      <c r="AM371" s="618"/>
      <c r="AN371" s="625"/>
      <c r="AO371" s="639"/>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618" t="s">
        <v>55</v>
      </c>
      <c r="C372" s="618"/>
      <c r="D372" s="625"/>
      <c r="E372" s="626"/>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639"/>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618" t="s">
        <v>55</v>
      </c>
      <c r="C373" s="618"/>
      <c r="D373" s="625"/>
      <c r="E373" s="626"/>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639"/>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618" t="s">
        <v>55</v>
      </c>
      <c r="C374" s="618"/>
      <c r="D374" s="625"/>
      <c r="E374" s="626"/>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639"/>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907" t="s">
        <v>120</v>
      </c>
      <c r="C375" s="618"/>
      <c r="D375" s="625"/>
      <c r="E375" s="626"/>
      <c r="F375" s="618"/>
      <c r="G375" s="625"/>
      <c r="H375" s="639"/>
      <c r="I375" s="618"/>
      <c r="J375" s="625"/>
      <c r="K375" s="639"/>
      <c r="L375" s="618"/>
      <c r="M375" s="625"/>
      <c r="N375" s="639"/>
      <c r="O375" s="618"/>
      <c r="P375" s="625"/>
      <c r="Q375" s="639"/>
      <c r="R375" s="618"/>
      <c r="S375" s="625"/>
      <c r="T375" s="639"/>
      <c r="U375" s="618"/>
      <c r="V375" s="625"/>
      <c r="W375" s="639"/>
      <c r="X375" s="618"/>
      <c r="Y375" s="625"/>
      <c r="Z375" s="639"/>
      <c r="AA375" s="618"/>
      <c r="AB375" s="625"/>
      <c r="AC375" s="639"/>
      <c r="AD375" s="618"/>
      <c r="AE375" s="625"/>
      <c r="AF375" s="639"/>
      <c r="AG375" s="618"/>
      <c r="AH375" s="625"/>
      <c r="AI375" s="639"/>
      <c r="AJ375" s="618"/>
      <c r="AK375" s="625"/>
      <c r="AL375" s="639"/>
      <c r="AM375" s="618"/>
      <c r="AN375" s="625"/>
      <c r="AO375" s="639"/>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906" t="s">
        <v>121</v>
      </c>
      <c r="C376" s="890"/>
      <c r="D376" s="908"/>
      <c r="E376" s="909"/>
      <c r="F376" s="890"/>
      <c r="G376" s="908"/>
      <c r="H376" s="910"/>
      <c r="I376" s="890"/>
      <c r="J376" s="908"/>
      <c r="K376" s="910"/>
      <c r="L376" s="890"/>
      <c r="M376" s="908"/>
      <c r="N376" s="910"/>
      <c r="O376" s="890"/>
      <c r="P376" s="908"/>
      <c r="Q376" s="910"/>
      <c r="R376" s="890"/>
      <c r="S376" s="908"/>
      <c r="T376" s="910"/>
      <c r="U376" s="890"/>
      <c r="V376" s="908"/>
      <c r="W376" s="910"/>
      <c r="X376" s="890"/>
      <c r="Y376" s="908"/>
      <c r="Z376" s="910"/>
      <c r="AA376" s="890"/>
      <c r="AB376" s="908"/>
      <c r="AC376" s="910"/>
      <c r="AD376" s="890"/>
      <c r="AE376" s="908"/>
      <c r="AF376" s="910"/>
      <c r="AG376" s="890"/>
      <c r="AH376" s="908"/>
      <c r="AI376" s="910"/>
      <c r="AJ376" s="890"/>
      <c r="AK376" s="908"/>
      <c r="AL376" s="910"/>
      <c r="AM376" s="890"/>
      <c r="AN376" s="908"/>
      <c r="AO376" s="910"/>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911" t="s">
        <v>122</v>
      </c>
      <c r="C377" s="618"/>
      <c r="D377" s="625"/>
      <c r="E377" s="626"/>
      <c r="F377" s="618"/>
      <c r="G377" s="625"/>
      <c r="H377" s="639"/>
      <c r="I377" s="618"/>
      <c r="J377" s="625"/>
      <c r="K377" s="639"/>
      <c r="L377" s="618"/>
      <c r="M377" s="625"/>
      <c r="N377" s="639"/>
      <c r="O377" s="618"/>
      <c r="P377" s="625"/>
      <c r="Q377" s="639"/>
      <c r="R377" s="618"/>
      <c r="S377" s="625"/>
      <c r="T377" s="639"/>
      <c r="U377" s="618"/>
      <c r="V377" s="625"/>
      <c r="W377" s="639"/>
      <c r="X377" s="618"/>
      <c r="Y377" s="625"/>
      <c r="Z377" s="639"/>
      <c r="AA377" s="618"/>
      <c r="AB377" s="625"/>
      <c r="AC377" s="639"/>
      <c r="AD377" s="618"/>
      <c r="AE377" s="625"/>
      <c r="AF377" s="639"/>
      <c r="AG377" s="618"/>
      <c r="AH377" s="625"/>
      <c r="AI377" s="639"/>
      <c r="AJ377" s="618"/>
      <c r="AK377" s="625"/>
      <c r="AL377" s="639"/>
      <c r="AM377" s="618"/>
      <c r="AN377" s="625"/>
      <c r="AO377" s="639"/>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906" t="s">
        <v>123</v>
      </c>
      <c r="C378" s="618"/>
      <c r="D378" s="625"/>
      <c r="E378" s="626"/>
      <c r="F378" s="618"/>
      <c r="G378" s="625"/>
      <c r="H378" s="639"/>
      <c r="I378" s="618"/>
      <c r="J378" s="625"/>
      <c r="K378" s="639"/>
      <c r="L378" s="618"/>
      <c r="M378" s="625"/>
      <c r="N378" s="639"/>
      <c r="O378" s="618"/>
      <c r="P378" s="625"/>
      <c r="Q378" s="639"/>
      <c r="R378" s="618"/>
      <c r="S378" s="625"/>
      <c r="T378" s="639"/>
      <c r="U378" s="618"/>
      <c r="V378" s="625"/>
      <c r="W378" s="639"/>
      <c r="X378" s="618"/>
      <c r="Y378" s="625"/>
      <c r="Z378" s="639"/>
      <c r="AA378" s="618"/>
      <c r="AB378" s="625"/>
      <c r="AC378" s="639"/>
      <c r="AD378" s="618"/>
      <c r="AE378" s="625"/>
      <c r="AF378" s="639"/>
      <c r="AG378" s="618"/>
      <c r="AH378" s="625"/>
      <c r="AI378" s="639"/>
      <c r="AJ378" s="618"/>
      <c r="AK378" s="625"/>
      <c r="AL378" s="639"/>
      <c r="AM378" s="618"/>
      <c r="AN378" s="625"/>
      <c r="AO378" s="639"/>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618"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902" t="s">
        <v>124</v>
      </c>
      <c r="C380" s="903"/>
      <c r="D380" s="904"/>
      <c r="E380" s="905"/>
      <c r="F380" s="903"/>
      <c r="G380" s="904"/>
      <c r="H380" s="905"/>
      <c r="I380" s="903"/>
      <c r="J380" s="904"/>
      <c r="K380" s="905"/>
      <c r="L380" s="903"/>
      <c r="M380" s="904"/>
      <c r="N380" s="905"/>
      <c r="O380" s="903"/>
      <c r="P380" s="904"/>
      <c r="Q380" s="905"/>
      <c r="R380" s="903"/>
      <c r="S380" s="904"/>
      <c r="T380" s="905"/>
      <c r="U380" s="903"/>
      <c r="V380" s="904"/>
      <c r="W380" s="905"/>
      <c r="X380" s="903"/>
      <c r="Y380" s="904"/>
      <c r="Z380" s="905"/>
      <c r="AA380" s="903"/>
      <c r="AB380" s="904"/>
      <c r="AC380" s="905"/>
      <c r="AD380" s="903"/>
      <c r="AE380" s="904"/>
      <c r="AF380" s="905"/>
      <c r="AG380" s="903"/>
      <c r="AH380" s="904"/>
      <c r="AI380" s="905"/>
      <c r="AJ380" s="903"/>
      <c r="AK380" s="904"/>
      <c r="AL380" s="905"/>
      <c r="AM380" s="903"/>
      <c r="AN380" s="904"/>
      <c r="AO380" s="905"/>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945" t="s">
        <v>125</v>
      </c>
      <c r="C381" s="618"/>
      <c r="D381" s="625"/>
      <c r="E381" s="626"/>
      <c r="F381" s="618"/>
      <c r="G381" s="625"/>
      <c r="H381" s="639"/>
      <c r="I381" s="618"/>
      <c r="J381" s="625"/>
      <c r="K381" s="639"/>
      <c r="L381" s="618"/>
      <c r="M381" s="625"/>
      <c r="N381" s="639"/>
      <c r="O381" s="618"/>
      <c r="P381" s="625"/>
      <c r="Q381" s="639"/>
      <c r="R381" s="618"/>
      <c r="S381" s="625"/>
      <c r="T381" s="639"/>
      <c r="U381" s="618"/>
      <c r="V381" s="625"/>
      <c r="W381" s="639"/>
      <c r="X381" s="618"/>
      <c r="Y381" s="625"/>
      <c r="Z381" s="639"/>
      <c r="AA381" s="618"/>
      <c r="AB381" s="625"/>
      <c r="AC381" s="639"/>
      <c r="AD381" s="618"/>
      <c r="AE381" s="625"/>
      <c r="AF381" s="639"/>
      <c r="AG381" s="618"/>
      <c r="AH381" s="625"/>
      <c r="AI381" s="639"/>
      <c r="AJ381" s="618"/>
      <c r="AK381" s="625"/>
      <c r="AL381" s="639"/>
      <c r="AM381" s="618"/>
      <c r="AN381" s="625"/>
      <c r="AO381" s="639"/>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906" t="s">
        <v>126</v>
      </c>
      <c r="C382" s="618"/>
      <c r="D382" s="625"/>
      <c r="E382" s="626"/>
      <c r="F382" s="618"/>
      <c r="G382" s="625"/>
      <c r="H382" s="639"/>
      <c r="I382" s="618"/>
      <c r="J382" s="625"/>
      <c r="K382" s="639"/>
      <c r="L382" s="618"/>
      <c r="M382" s="625"/>
      <c r="N382" s="639"/>
      <c r="O382" s="618"/>
      <c r="P382" s="625"/>
      <c r="Q382" s="639"/>
      <c r="R382" s="618"/>
      <c r="S382" s="625"/>
      <c r="T382" s="639"/>
      <c r="U382" s="618"/>
      <c r="V382" s="625"/>
      <c r="W382" s="639"/>
      <c r="X382" s="618"/>
      <c r="Y382" s="625"/>
      <c r="Z382" s="639"/>
      <c r="AA382" s="618"/>
      <c r="AB382" s="625"/>
      <c r="AC382" s="639"/>
      <c r="AD382" s="618"/>
      <c r="AE382" s="625"/>
      <c r="AF382" s="639"/>
      <c r="AG382" s="618"/>
      <c r="AH382" s="625"/>
      <c r="AI382" s="639"/>
      <c r="AJ382" s="618"/>
      <c r="AK382" s="625"/>
      <c r="AL382" s="639"/>
      <c r="AM382" s="618"/>
      <c r="AN382" s="625"/>
      <c r="AO382" s="639"/>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907" t="s">
        <v>127</v>
      </c>
      <c r="C383" s="644"/>
      <c r="D383" s="645"/>
      <c r="E383" s="642"/>
      <c r="F383" s="644"/>
      <c r="G383" s="645"/>
      <c r="H383" s="643"/>
      <c r="I383" s="644"/>
      <c r="J383" s="645"/>
      <c r="K383" s="643"/>
      <c r="L383" s="644"/>
      <c r="M383" s="645"/>
      <c r="N383" s="643"/>
      <c r="O383" s="644"/>
      <c r="P383" s="645"/>
      <c r="Q383" s="643"/>
      <c r="R383" s="644"/>
      <c r="S383" s="645"/>
      <c r="T383" s="643"/>
      <c r="U383" s="644"/>
      <c r="V383" s="645"/>
      <c r="W383" s="643"/>
      <c r="X383" s="644"/>
      <c r="Y383" s="645"/>
      <c r="Z383" s="643"/>
      <c r="AA383" s="644"/>
      <c r="AB383" s="645"/>
      <c r="AC383" s="643"/>
      <c r="AD383" s="644"/>
      <c r="AE383" s="645"/>
      <c r="AF383" s="643"/>
      <c r="AG383" s="644"/>
      <c r="AH383" s="645"/>
      <c r="AI383" s="643"/>
      <c r="AJ383" s="644"/>
      <c r="AK383" s="645"/>
      <c r="AL383" s="643"/>
      <c r="AM383" s="644"/>
      <c r="AN383" s="645"/>
      <c r="AO383" s="643"/>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906" t="s">
        <v>128</v>
      </c>
      <c r="C384" s="618"/>
      <c r="D384" s="625"/>
      <c r="E384" s="626"/>
      <c r="F384" s="618"/>
      <c r="G384" s="625"/>
      <c r="H384" s="639"/>
      <c r="I384" s="618"/>
      <c r="J384" s="625"/>
      <c r="K384" s="639"/>
      <c r="L384" s="618"/>
      <c r="M384" s="625"/>
      <c r="N384" s="639"/>
      <c r="O384" s="618"/>
      <c r="P384" s="625"/>
      <c r="Q384" s="639"/>
      <c r="R384" s="618"/>
      <c r="S384" s="625"/>
      <c r="T384" s="639"/>
      <c r="U384" s="618"/>
      <c r="V384" s="625"/>
      <c r="W384" s="639"/>
      <c r="X384" s="618"/>
      <c r="Y384" s="625"/>
      <c r="Z384" s="639"/>
      <c r="AA384" s="618"/>
      <c r="AB384" s="625"/>
      <c r="AC384" s="639"/>
      <c r="AD384" s="618"/>
      <c r="AE384" s="625"/>
      <c r="AF384" s="639"/>
      <c r="AG384" s="618"/>
      <c r="AH384" s="625"/>
      <c r="AI384" s="639"/>
      <c r="AJ384" s="618"/>
      <c r="AK384" s="625"/>
      <c r="AL384" s="639"/>
      <c r="AM384" s="618"/>
      <c r="AN384" s="625"/>
      <c r="AO384" s="639"/>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906" t="s">
        <v>129</v>
      </c>
      <c r="C385" s="618"/>
      <c r="D385" s="625"/>
      <c r="E385" s="626"/>
      <c r="F385" s="618"/>
      <c r="G385" s="625"/>
      <c r="H385" s="639"/>
      <c r="I385" s="618"/>
      <c r="J385" s="625"/>
      <c r="K385" s="639"/>
      <c r="L385" s="618"/>
      <c r="M385" s="625"/>
      <c r="N385" s="639"/>
      <c r="O385" s="618"/>
      <c r="P385" s="625"/>
      <c r="Q385" s="639"/>
      <c r="R385" s="618"/>
      <c r="S385" s="625"/>
      <c r="T385" s="639"/>
      <c r="U385" s="618"/>
      <c r="V385" s="625"/>
      <c r="W385" s="639"/>
      <c r="X385" s="618"/>
      <c r="Y385" s="625"/>
      <c r="Z385" s="639"/>
      <c r="AA385" s="618"/>
      <c r="AB385" s="625"/>
      <c r="AC385" s="639"/>
      <c r="AD385" s="618"/>
      <c r="AE385" s="625"/>
      <c r="AF385" s="639"/>
      <c r="AG385" s="618"/>
      <c r="AH385" s="625"/>
      <c r="AI385" s="639"/>
      <c r="AJ385" s="618"/>
      <c r="AK385" s="625"/>
      <c r="AL385" s="639"/>
      <c r="AM385" s="618"/>
      <c r="AN385" s="625"/>
      <c r="AO385" s="639"/>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906" t="s">
        <v>130</v>
      </c>
      <c r="C386" s="644"/>
      <c r="D386" s="645"/>
      <c r="E386" s="642"/>
      <c r="F386" s="644"/>
      <c r="G386" s="645"/>
      <c r="H386" s="643"/>
      <c r="I386" s="644"/>
      <c r="J386" s="645"/>
      <c r="K386" s="643"/>
      <c r="L386" s="644"/>
      <c r="M386" s="645"/>
      <c r="N386" s="643"/>
      <c r="O386" s="644"/>
      <c r="P386" s="645"/>
      <c r="Q386" s="643"/>
      <c r="R386" s="644"/>
      <c r="S386" s="645"/>
      <c r="T386" s="643"/>
      <c r="U386" s="644"/>
      <c r="V386" s="645"/>
      <c r="W386" s="643"/>
      <c r="X386" s="644"/>
      <c r="Y386" s="645"/>
      <c r="Z386" s="643"/>
      <c r="AA386" s="644"/>
      <c r="AB386" s="645"/>
      <c r="AC386" s="643"/>
      <c r="AD386" s="644"/>
      <c r="AE386" s="645"/>
      <c r="AF386" s="643"/>
      <c r="AG386" s="644"/>
      <c r="AH386" s="645"/>
      <c r="AI386" s="643"/>
      <c r="AJ386" s="644"/>
      <c r="AK386" s="645"/>
      <c r="AL386" s="643"/>
      <c r="AM386" s="644"/>
      <c r="AN386" s="645"/>
      <c r="AO386" s="643"/>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955" t="s">
        <v>131</v>
      </c>
      <c r="C387" s="618"/>
      <c r="D387" s="625"/>
      <c r="E387" s="626"/>
      <c r="F387" s="618"/>
      <c r="G387" s="625"/>
      <c r="H387" s="639"/>
      <c r="I387" s="618"/>
      <c r="J387" s="625"/>
      <c r="K387" s="639"/>
      <c r="L387" s="618"/>
      <c r="M387" s="625"/>
      <c r="N387" s="639"/>
      <c r="O387" s="618"/>
      <c r="P387" s="625"/>
      <c r="Q387" s="639"/>
      <c r="R387" s="618"/>
      <c r="S387" s="625"/>
      <c r="T387" s="639"/>
      <c r="U387" s="618"/>
      <c r="V387" s="625"/>
      <c r="W387" s="639"/>
      <c r="X387" s="618"/>
      <c r="Y387" s="625"/>
      <c r="Z387" s="639"/>
      <c r="AA387" s="618"/>
      <c r="AB387" s="625"/>
      <c r="AC387" s="639"/>
      <c r="AD387" s="618"/>
      <c r="AE387" s="625"/>
      <c r="AF387" s="639"/>
      <c r="AG387" s="618"/>
      <c r="AH387" s="625"/>
      <c r="AI387" s="639"/>
      <c r="AJ387" s="618"/>
      <c r="AK387" s="625"/>
      <c r="AL387" s="639"/>
      <c r="AM387" s="618"/>
      <c r="AN387" s="625"/>
      <c r="AO387" s="639"/>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906" t="s">
        <v>132</v>
      </c>
      <c r="C388" s="618"/>
      <c r="D388" s="625"/>
      <c r="E388" s="626"/>
      <c r="F388" s="618"/>
      <c r="G388" s="625"/>
      <c r="H388" s="639"/>
      <c r="I388" s="618"/>
      <c r="J388" s="625"/>
      <c r="K388" s="639"/>
      <c r="L388" s="618"/>
      <c r="M388" s="625"/>
      <c r="N388" s="639"/>
      <c r="O388" s="618"/>
      <c r="P388" s="625"/>
      <c r="Q388" s="639"/>
      <c r="R388" s="618"/>
      <c r="S388" s="625"/>
      <c r="T388" s="639"/>
      <c r="U388" s="618"/>
      <c r="V388" s="625"/>
      <c r="W388" s="639"/>
      <c r="X388" s="618"/>
      <c r="Y388" s="625"/>
      <c r="Z388" s="639"/>
      <c r="AA388" s="618"/>
      <c r="AB388" s="625"/>
      <c r="AC388" s="639"/>
      <c r="AD388" s="618"/>
      <c r="AE388" s="625"/>
      <c r="AF388" s="639"/>
      <c r="AG388" s="618"/>
      <c r="AH388" s="625"/>
      <c r="AI388" s="639"/>
      <c r="AJ388" s="618"/>
      <c r="AK388" s="625"/>
      <c r="AL388" s="639"/>
      <c r="AM388" s="618"/>
      <c r="AN388" s="625"/>
      <c r="AO388" s="639"/>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906" t="s">
        <v>133</v>
      </c>
      <c r="C389" s="618"/>
      <c r="D389" s="625"/>
      <c r="E389" s="626"/>
      <c r="F389" s="618"/>
      <c r="G389" s="625"/>
      <c r="H389" s="639"/>
      <c r="I389" s="618"/>
      <c r="J389" s="625"/>
      <c r="K389" s="639"/>
      <c r="L389" s="618"/>
      <c r="M389" s="625"/>
      <c r="N389" s="639"/>
      <c r="O389" s="618"/>
      <c r="P389" s="625"/>
      <c r="Q389" s="639"/>
      <c r="R389" s="618"/>
      <c r="S389" s="625"/>
      <c r="T389" s="639"/>
      <c r="U389" s="618"/>
      <c r="V389" s="625"/>
      <c r="W389" s="639"/>
      <c r="X389" s="618"/>
      <c r="Y389" s="625"/>
      <c r="Z389" s="639"/>
      <c r="AA389" s="618"/>
      <c r="AB389" s="625"/>
      <c r="AC389" s="639"/>
      <c r="AD389" s="618"/>
      <c r="AE389" s="625"/>
      <c r="AF389" s="639"/>
      <c r="AG389" s="618"/>
      <c r="AH389" s="625"/>
      <c r="AI389" s="639"/>
      <c r="AJ389" s="618"/>
      <c r="AK389" s="625"/>
      <c r="AL389" s="639"/>
      <c r="AM389" s="618"/>
      <c r="AN389" s="625"/>
      <c r="AO389" s="639"/>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906" t="s">
        <v>134</v>
      </c>
      <c r="C390" s="618"/>
      <c r="D390" s="625"/>
      <c r="E390" s="626"/>
      <c r="F390" s="618"/>
      <c r="G390" s="625"/>
      <c r="H390" s="639"/>
      <c r="I390" s="618"/>
      <c r="J390" s="625"/>
      <c r="K390" s="639"/>
      <c r="L390" s="618"/>
      <c r="M390" s="625"/>
      <c r="N390" s="639"/>
      <c r="O390" s="618"/>
      <c r="P390" s="625"/>
      <c r="Q390" s="639"/>
      <c r="R390" s="618"/>
      <c r="S390" s="625"/>
      <c r="T390" s="639"/>
      <c r="U390" s="618"/>
      <c r="V390" s="625"/>
      <c r="W390" s="639"/>
      <c r="X390" s="618"/>
      <c r="Y390" s="625"/>
      <c r="Z390" s="639"/>
      <c r="AA390" s="618"/>
      <c r="AB390" s="625"/>
      <c r="AC390" s="639"/>
      <c r="AD390" s="618"/>
      <c r="AE390" s="625"/>
      <c r="AF390" s="639"/>
      <c r="AG390" s="618"/>
      <c r="AH390" s="625"/>
      <c r="AI390" s="639"/>
      <c r="AJ390" s="618"/>
      <c r="AK390" s="625"/>
      <c r="AL390" s="639"/>
      <c r="AM390" s="618"/>
      <c r="AN390" s="625"/>
      <c r="AO390" s="639"/>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906" t="s">
        <v>135</v>
      </c>
      <c r="C391" s="618"/>
      <c r="D391" s="625"/>
      <c r="E391" s="626"/>
      <c r="F391" s="618"/>
      <c r="G391" s="625"/>
      <c r="H391" s="639"/>
      <c r="I391" s="618"/>
      <c r="J391" s="625"/>
      <c r="K391" s="639"/>
      <c r="L391" s="618"/>
      <c r="M391" s="625"/>
      <c r="N391" s="639"/>
      <c r="O391" s="618"/>
      <c r="P391" s="625"/>
      <c r="Q391" s="639"/>
      <c r="R391" s="618"/>
      <c r="S391" s="625"/>
      <c r="T391" s="639"/>
      <c r="U391" s="618"/>
      <c r="V391" s="625"/>
      <c r="W391" s="639"/>
      <c r="X391" s="618"/>
      <c r="Y391" s="625"/>
      <c r="Z391" s="639"/>
      <c r="AA391" s="618"/>
      <c r="AB391" s="625"/>
      <c r="AC391" s="639"/>
      <c r="AD391" s="618"/>
      <c r="AE391" s="625"/>
      <c r="AF391" s="639"/>
      <c r="AG391" s="618"/>
      <c r="AH391" s="625"/>
      <c r="AI391" s="639"/>
      <c r="AJ391" s="618"/>
      <c r="AK391" s="625"/>
      <c r="AL391" s="639"/>
      <c r="AM391" s="618"/>
      <c r="AN391" s="625"/>
      <c r="AO391" s="639"/>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906" t="s">
        <v>136</v>
      </c>
      <c r="C392" s="618"/>
      <c r="D392" s="625"/>
      <c r="E392" s="626"/>
      <c r="F392" s="618"/>
      <c r="G392" s="625"/>
      <c r="H392" s="639"/>
      <c r="I392" s="618"/>
      <c r="J392" s="625"/>
      <c r="K392" s="639"/>
      <c r="L392" s="618"/>
      <c r="M392" s="625"/>
      <c r="N392" s="639"/>
      <c r="O392" s="618"/>
      <c r="P392" s="625"/>
      <c r="Q392" s="639"/>
      <c r="R392" s="618"/>
      <c r="S392" s="625"/>
      <c r="T392" s="639"/>
      <c r="U392" s="618"/>
      <c r="V392" s="625"/>
      <c r="W392" s="639"/>
      <c r="X392" s="618"/>
      <c r="Y392" s="625"/>
      <c r="Z392" s="639"/>
      <c r="AA392" s="618"/>
      <c r="AB392" s="625"/>
      <c r="AC392" s="639"/>
      <c r="AD392" s="618"/>
      <c r="AE392" s="625"/>
      <c r="AF392" s="639"/>
      <c r="AG392" s="618"/>
      <c r="AH392" s="625"/>
      <c r="AI392" s="639"/>
      <c r="AJ392" s="618"/>
      <c r="AK392" s="625"/>
      <c r="AL392" s="639"/>
      <c r="AM392" s="618"/>
      <c r="AN392" s="625"/>
      <c r="AO392" s="639"/>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906" t="s">
        <v>137</v>
      </c>
      <c r="C393" s="618"/>
      <c r="D393" s="625"/>
      <c r="E393" s="626"/>
      <c r="F393" s="618"/>
      <c r="G393" s="625"/>
      <c r="H393" s="639"/>
      <c r="I393" s="618"/>
      <c r="J393" s="625"/>
      <c r="K393" s="639"/>
      <c r="L393" s="618"/>
      <c r="M393" s="625"/>
      <c r="N393" s="639"/>
      <c r="O393" s="618"/>
      <c r="P393" s="625"/>
      <c r="Q393" s="639"/>
      <c r="R393" s="618"/>
      <c r="S393" s="625"/>
      <c r="T393" s="639"/>
      <c r="U393" s="618"/>
      <c r="V393" s="625"/>
      <c r="W393" s="639"/>
      <c r="X393" s="618"/>
      <c r="Y393" s="625"/>
      <c r="Z393" s="639"/>
      <c r="AA393" s="618"/>
      <c r="AB393" s="625"/>
      <c r="AC393" s="639"/>
      <c r="AD393" s="618"/>
      <c r="AE393" s="625"/>
      <c r="AF393" s="639"/>
      <c r="AG393" s="618"/>
      <c r="AH393" s="625"/>
      <c r="AI393" s="639"/>
      <c r="AJ393" s="618"/>
      <c r="AK393" s="625"/>
      <c r="AL393" s="639"/>
      <c r="AM393" s="618"/>
      <c r="AN393" s="625"/>
      <c r="AO393" s="639"/>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906" t="s">
        <v>138</v>
      </c>
      <c r="C394" s="618"/>
      <c r="D394" s="625"/>
      <c r="E394" s="626"/>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639"/>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906"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906"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906"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902" t="s">
        <v>139</v>
      </c>
      <c r="C398" s="903"/>
      <c r="D398" s="904"/>
      <c r="E398" s="905"/>
      <c r="F398" s="903"/>
      <c r="G398" s="904"/>
      <c r="H398" s="905"/>
      <c r="I398" s="903"/>
      <c r="J398" s="904"/>
      <c r="K398" s="905"/>
      <c r="L398" s="903"/>
      <c r="M398" s="904"/>
      <c r="N398" s="905"/>
      <c r="O398" s="903"/>
      <c r="P398" s="904"/>
      <c r="Q398" s="905"/>
      <c r="R398" s="903"/>
      <c r="S398" s="904"/>
      <c r="T398" s="905"/>
      <c r="U398" s="903"/>
      <c r="V398" s="904"/>
      <c r="W398" s="905"/>
      <c r="X398" s="903"/>
      <c r="Y398" s="904"/>
      <c r="Z398" s="905"/>
      <c r="AA398" s="903"/>
      <c r="AB398" s="904"/>
      <c r="AC398" s="905"/>
      <c r="AD398" s="903"/>
      <c r="AE398" s="904"/>
      <c r="AF398" s="905"/>
      <c r="AG398" s="903"/>
      <c r="AH398" s="904"/>
      <c r="AI398" s="905"/>
      <c r="AJ398" s="903"/>
      <c r="AK398" s="904"/>
      <c r="AL398" s="905"/>
      <c r="AM398" s="903"/>
      <c r="AN398" s="904"/>
      <c r="AO398" s="905"/>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618"/>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902" t="s">
        <v>140</v>
      </c>
      <c r="C400" s="903"/>
      <c r="D400" s="904"/>
      <c r="E400" s="905"/>
      <c r="F400" s="903"/>
      <c r="G400" s="904"/>
      <c r="H400" s="905"/>
      <c r="I400" s="903"/>
      <c r="J400" s="904"/>
      <c r="K400" s="905"/>
      <c r="L400" s="903"/>
      <c r="M400" s="904"/>
      <c r="N400" s="905"/>
      <c r="O400" s="903"/>
      <c r="P400" s="904"/>
      <c r="Q400" s="905"/>
      <c r="R400" s="903"/>
      <c r="S400" s="904"/>
      <c r="T400" s="905"/>
      <c r="U400" s="903"/>
      <c r="V400" s="904"/>
      <c r="W400" s="905"/>
      <c r="X400" s="903"/>
      <c r="Y400" s="904"/>
      <c r="Z400" s="905"/>
      <c r="AA400" s="903"/>
      <c r="AB400" s="904"/>
      <c r="AC400" s="905"/>
      <c r="AD400" s="903"/>
      <c r="AE400" s="904"/>
      <c r="AF400" s="905"/>
      <c r="AG400" s="903"/>
      <c r="AH400" s="904"/>
      <c r="AI400" s="905"/>
      <c r="AJ400" s="903"/>
      <c r="AK400" s="904"/>
      <c r="AL400" s="905"/>
      <c r="AM400" s="903"/>
      <c r="AN400" s="904"/>
      <c r="AO400" s="905"/>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618"/>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956" t="s">
        <v>147</v>
      </c>
      <c r="C402" s="703"/>
      <c r="D402" s="704"/>
      <c r="E402" s="705"/>
      <c r="F402" s="703"/>
      <c r="G402" s="704"/>
      <c r="H402" s="705"/>
      <c r="I402" s="703"/>
      <c r="J402" s="704"/>
      <c r="K402" s="705"/>
      <c r="L402" s="703"/>
      <c r="M402" s="704"/>
      <c r="N402" s="705"/>
      <c r="O402" s="703"/>
      <c r="P402" s="704"/>
      <c r="Q402" s="705"/>
      <c r="R402" s="703"/>
      <c r="S402" s="704"/>
      <c r="T402" s="705"/>
      <c r="U402" s="703"/>
      <c r="V402" s="704"/>
      <c r="W402" s="705"/>
      <c r="X402" s="703"/>
      <c r="Y402" s="704"/>
      <c r="Z402" s="705"/>
      <c r="AA402" s="703"/>
      <c r="AB402" s="704"/>
      <c r="AC402" s="705"/>
      <c r="AD402" s="703"/>
      <c r="AE402" s="704"/>
      <c r="AF402" s="705"/>
      <c r="AG402" s="703"/>
      <c r="AH402" s="704"/>
      <c r="AI402" s="705"/>
      <c r="AJ402" s="703"/>
      <c r="AK402" s="704"/>
      <c r="AL402" s="705"/>
      <c r="AM402" s="703"/>
      <c r="AN402" s="704"/>
      <c r="AO402" s="705"/>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666"/>
      <c r="C403" s="666"/>
      <c r="D403" s="666"/>
      <c r="E403" s="702"/>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625"/>
      <c r="C404" s="625"/>
      <c r="D404" s="625"/>
      <c r="E404" s="638"/>
      <c r="F404" s="625"/>
      <c r="G404" s="625"/>
      <c r="H404" s="638"/>
      <c r="I404" s="625"/>
      <c r="J404" s="625"/>
      <c r="K404" s="638"/>
      <c r="L404" s="625"/>
      <c r="M404" s="625"/>
      <c r="N404" s="638"/>
      <c r="O404" s="625"/>
      <c r="P404" s="625"/>
      <c r="Q404" s="638"/>
      <c r="R404" s="625"/>
      <c r="S404" s="625"/>
      <c r="T404" s="638"/>
      <c r="U404" s="625"/>
      <c r="V404" s="625"/>
      <c r="W404" s="638"/>
      <c r="X404" s="625"/>
      <c r="Y404" s="625"/>
      <c r="Z404" s="638"/>
      <c r="AA404" s="625"/>
      <c r="AB404" s="625"/>
      <c r="AC404" s="638"/>
      <c r="AD404" s="625"/>
      <c r="AE404" s="625"/>
      <c r="AF404" s="638"/>
      <c r="AG404" s="625"/>
      <c r="AH404" s="625"/>
      <c r="AI404" s="638"/>
      <c r="AJ404" s="625"/>
      <c r="AK404" s="625"/>
      <c r="AL404" s="638"/>
      <c r="AM404" s="625"/>
      <c r="AN404" s="625"/>
      <c r="AO404" s="6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921" t="str">
        <f>B4</f>
        <v>Budget 2025</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957"/>
      <c r="C406" s="706"/>
      <c r="D406" s="706"/>
      <c r="E406" s="706"/>
      <c r="F406" s="707"/>
      <c r="G406" s="707"/>
      <c r="H406" s="707"/>
      <c r="I406" s="707"/>
      <c r="J406" s="707"/>
      <c r="K406" s="707"/>
      <c r="L406" s="707"/>
      <c r="M406" s="707"/>
      <c r="N406" s="707"/>
      <c r="O406" s="707"/>
      <c r="P406" s="707"/>
      <c r="Q406" s="707"/>
      <c r="R406" s="707"/>
      <c r="S406" s="707"/>
      <c r="T406" s="707"/>
      <c r="U406" s="707"/>
      <c r="V406" s="707"/>
      <c r="W406" s="707"/>
      <c r="X406" s="707"/>
      <c r="Y406" s="707"/>
      <c r="Z406" s="707"/>
      <c r="AA406" s="707"/>
      <c r="AB406" s="707"/>
      <c r="AC406" s="707"/>
      <c r="AD406" s="707"/>
      <c r="AE406" s="707"/>
      <c r="AF406" s="707"/>
      <c r="AG406" s="707"/>
      <c r="AH406" s="707"/>
      <c r="AI406" s="707"/>
      <c r="AJ406" s="707"/>
      <c r="AK406" s="707"/>
      <c r="AL406" s="707"/>
      <c r="AM406" s="707"/>
      <c r="AN406" s="707"/>
      <c r="AO406" s="707"/>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958" t="s">
        <v>2</v>
      </c>
      <c r="C407" s="1043"/>
      <c r="D407" s="1044"/>
      <c r="E407" s="1045"/>
      <c r="F407" s="603"/>
      <c r="G407" s="604"/>
      <c r="H407" s="605"/>
      <c r="I407" s="603"/>
      <c r="J407" s="604"/>
      <c r="K407" s="605"/>
      <c r="L407" s="603"/>
      <c r="M407" s="604"/>
      <c r="N407" s="605"/>
      <c r="O407" s="603"/>
      <c r="P407" s="604"/>
      <c r="Q407" s="605"/>
      <c r="R407" s="603"/>
      <c r="S407" s="604"/>
      <c r="T407" s="605"/>
      <c r="U407" s="603"/>
      <c r="V407" s="604"/>
      <c r="W407" s="605"/>
      <c r="X407" s="603"/>
      <c r="Y407" s="604"/>
      <c r="Z407" s="605"/>
      <c r="AA407" s="603"/>
      <c r="AB407" s="604"/>
      <c r="AC407" s="605"/>
      <c r="AD407" s="603"/>
      <c r="AE407" s="604"/>
      <c r="AF407" s="605"/>
      <c r="AG407" s="603"/>
      <c r="AH407" s="604"/>
      <c r="AI407" s="605"/>
      <c r="AJ407" s="603"/>
      <c r="AK407" s="604"/>
      <c r="AL407" s="605"/>
      <c r="AM407" s="603"/>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959"/>
      <c r="C408" s="709"/>
      <c r="D408" s="710"/>
      <c r="E408" s="711"/>
      <c r="F408" s="709"/>
      <c r="G408" s="710"/>
      <c r="H408" s="711"/>
      <c r="I408" s="709"/>
      <c r="J408" s="710"/>
      <c r="K408" s="711"/>
      <c r="L408" s="709"/>
      <c r="M408" s="710"/>
      <c r="N408" s="711"/>
      <c r="O408" s="709"/>
      <c r="P408" s="710"/>
      <c r="Q408" s="711"/>
      <c r="R408" s="709"/>
      <c r="S408" s="710"/>
      <c r="T408" s="711"/>
      <c r="U408" s="709"/>
      <c r="V408" s="710"/>
      <c r="W408" s="711"/>
      <c r="X408" s="709"/>
      <c r="Y408" s="710"/>
      <c r="Z408" s="711"/>
      <c r="AA408" s="709"/>
      <c r="AB408" s="710"/>
      <c r="AC408" s="711"/>
      <c r="AD408" s="709"/>
      <c r="AE408" s="710"/>
      <c r="AF408" s="711"/>
      <c r="AG408" s="709"/>
      <c r="AH408" s="710"/>
      <c r="AI408" s="711"/>
      <c r="AJ408" s="709"/>
      <c r="AK408" s="710"/>
      <c r="AL408" s="711"/>
      <c r="AM408" s="709"/>
      <c r="AN408" s="710"/>
      <c r="AO408" s="711"/>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726"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960"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717"/>
      <c r="X410" s="715"/>
      <c r="Y410" s="716"/>
      <c r="Z410" s="717"/>
      <c r="AA410" s="715"/>
      <c r="AB410" s="716"/>
      <c r="AC410" s="717"/>
      <c r="AD410" s="715"/>
      <c r="AE410" s="716"/>
      <c r="AF410" s="717"/>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961"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723" t="s">
        <v>107</v>
      </c>
      <c r="C412" s="721"/>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726" t="s">
        <v>108</v>
      </c>
      <c r="C413" s="724"/>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723"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723"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726"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723"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723"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757"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757"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959"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962" t="s">
        <v>114</v>
      </c>
      <c r="C422" s="963"/>
      <c r="D422" s="964"/>
      <c r="E422" s="965"/>
      <c r="F422" s="963"/>
      <c r="G422" s="966"/>
      <c r="H422" s="965"/>
      <c r="I422" s="963"/>
      <c r="J422" s="966"/>
      <c r="K422" s="965"/>
      <c r="L422" s="963"/>
      <c r="M422" s="966"/>
      <c r="N422" s="965"/>
      <c r="O422" s="963"/>
      <c r="P422" s="966"/>
      <c r="Q422" s="965"/>
      <c r="R422" s="963"/>
      <c r="S422" s="966"/>
      <c r="T422" s="965"/>
      <c r="U422" s="963"/>
      <c r="V422" s="966"/>
      <c r="W422" s="965"/>
      <c r="X422" s="963"/>
      <c r="Y422" s="966"/>
      <c r="Z422" s="965"/>
      <c r="AA422" s="963"/>
      <c r="AB422" s="966"/>
      <c r="AC422" s="965"/>
      <c r="AD422" s="963"/>
      <c r="AE422" s="966"/>
      <c r="AF422" s="965"/>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723" t="s">
        <v>200</v>
      </c>
      <c r="C423" s="723"/>
      <c r="D423" s="722"/>
      <c r="E423" s="720"/>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727"/>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723"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726"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723"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723"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757"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757"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757"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726" t="s">
        <v>120</v>
      </c>
      <c r="C431" s="726"/>
      <c r="D431" s="728"/>
      <c r="E431" s="714"/>
      <c r="F431" s="726"/>
      <c r="G431" s="725"/>
      <c r="H431" s="714"/>
      <c r="I431" s="726"/>
      <c r="J431" s="725"/>
      <c r="K431" s="714"/>
      <c r="L431" s="726"/>
      <c r="M431" s="725"/>
      <c r="N431" s="714"/>
      <c r="O431" s="726"/>
      <c r="P431" s="725"/>
      <c r="Q431" s="714"/>
      <c r="R431" s="726"/>
      <c r="S431" s="725"/>
      <c r="T431" s="714"/>
      <c r="U431" s="726"/>
      <c r="V431" s="725"/>
      <c r="W431" s="714"/>
      <c r="X431" s="726"/>
      <c r="Y431" s="725"/>
      <c r="Z431" s="714"/>
      <c r="AA431" s="726"/>
      <c r="AB431" s="725"/>
      <c r="AC431" s="714"/>
      <c r="AD431" s="726"/>
      <c r="AE431" s="725"/>
      <c r="AF431" s="714"/>
      <c r="AG431" s="726"/>
      <c r="AH431" s="725"/>
      <c r="AI431" s="714"/>
      <c r="AJ431" s="726"/>
      <c r="AK431" s="725"/>
      <c r="AL431" s="714"/>
      <c r="AM431" s="726"/>
      <c r="AN431" s="725"/>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723" t="s">
        <v>121</v>
      </c>
      <c r="C432" s="723"/>
      <c r="D432" s="729"/>
      <c r="E432" s="720"/>
      <c r="F432" s="723"/>
      <c r="G432" s="722"/>
      <c r="H432" s="720"/>
      <c r="I432" s="723"/>
      <c r="J432" s="722"/>
      <c r="K432" s="720"/>
      <c r="L432" s="723"/>
      <c r="M432" s="722"/>
      <c r="N432" s="720"/>
      <c r="O432" s="723"/>
      <c r="P432" s="722"/>
      <c r="Q432" s="720"/>
      <c r="R432" s="723"/>
      <c r="S432" s="722"/>
      <c r="T432" s="720"/>
      <c r="U432" s="723"/>
      <c r="V432" s="722"/>
      <c r="W432" s="720"/>
      <c r="X432" s="723"/>
      <c r="Y432" s="722"/>
      <c r="Z432" s="720"/>
      <c r="AA432" s="723"/>
      <c r="AB432" s="722"/>
      <c r="AC432" s="720"/>
      <c r="AD432" s="723"/>
      <c r="AE432" s="722"/>
      <c r="AF432" s="720"/>
      <c r="AG432" s="723"/>
      <c r="AH432" s="722"/>
      <c r="AI432" s="720"/>
      <c r="AJ432" s="723"/>
      <c r="AK432" s="722"/>
      <c r="AL432" s="720"/>
      <c r="AM432" s="723"/>
      <c r="AN432" s="722"/>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967" t="s">
        <v>122</v>
      </c>
      <c r="C433" s="723"/>
      <c r="D433" s="729"/>
      <c r="E433" s="720"/>
      <c r="F433" s="723"/>
      <c r="G433" s="722"/>
      <c r="H433" s="720"/>
      <c r="I433" s="723"/>
      <c r="J433" s="722"/>
      <c r="K433" s="720"/>
      <c r="L433" s="723"/>
      <c r="M433" s="722"/>
      <c r="N433" s="720"/>
      <c r="O433" s="723"/>
      <c r="P433" s="722"/>
      <c r="Q433" s="720"/>
      <c r="R433" s="723"/>
      <c r="S433" s="722"/>
      <c r="T433" s="720"/>
      <c r="U433" s="723"/>
      <c r="V433" s="722"/>
      <c r="W433" s="720"/>
      <c r="X433" s="723"/>
      <c r="Y433" s="722"/>
      <c r="Z433" s="720"/>
      <c r="AA433" s="723"/>
      <c r="AB433" s="722"/>
      <c r="AC433" s="720"/>
      <c r="AD433" s="723"/>
      <c r="AE433" s="722"/>
      <c r="AF433" s="720"/>
      <c r="AG433" s="723"/>
      <c r="AH433" s="722"/>
      <c r="AI433" s="720"/>
      <c r="AJ433" s="723"/>
      <c r="AK433" s="722"/>
      <c r="AL433" s="720"/>
      <c r="AM433" s="723"/>
      <c r="AN433" s="722"/>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723" t="s">
        <v>123</v>
      </c>
      <c r="C434" s="723"/>
      <c r="D434" s="729"/>
      <c r="E434" s="720"/>
      <c r="F434" s="723"/>
      <c r="G434" s="722"/>
      <c r="H434" s="720"/>
      <c r="I434" s="723"/>
      <c r="J434" s="722"/>
      <c r="K434" s="720"/>
      <c r="L434" s="723"/>
      <c r="M434" s="722"/>
      <c r="N434" s="720"/>
      <c r="O434" s="723"/>
      <c r="P434" s="722"/>
      <c r="Q434" s="720"/>
      <c r="R434" s="723"/>
      <c r="S434" s="722"/>
      <c r="T434" s="720"/>
      <c r="U434" s="723"/>
      <c r="V434" s="722"/>
      <c r="W434" s="720"/>
      <c r="X434" s="723"/>
      <c r="Y434" s="722"/>
      <c r="Z434" s="720"/>
      <c r="AA434" s="723"/>
      <c r="AB434" s="722"/>
      <c r="AC434" s="720"/>
      <c r="AD434" s="723"/>
      <c r="AE434" s="722"/>
      <c r="AF434" s="720"/>
      <c r="AG434" s="723"/>
      <c r="AH434" s="722"/>
      <c r="AI434" s="720"/>
      <c r="AJ434" s="723"/>
      <c r="AK434" s="722"/>
      <c r="AL434" s="720"/>
      <c r="AM434" s="723"/>
      <c r="AN434" s="722"/>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757" t="s">
        <v>55</v>
      </c>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962"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965"/>
      <c r="X436" s="963"/>
      <c r="Y436" s="968"/>
      <c r="Z436" s="965"/>
      <c r="AA436" s="963"/>
      <c r="AB436" s="968"/>
      <c r="AC436" s="965"/>
      <c r="AD436" s="963"/>
      <c r="AE436" s="968"/>
      <c r="AF436" s="965"/>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969"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723"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726"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723"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723"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723" t="s">
        <v>130</v>
      </c>
      <c r="C442" s="723"/>
      <c r="D442" s="722"/>
      <c r="E442" s="720"/>
      <c r="F442" s="723"/>
      <c r="G442" s="722"/>
      <c r="H442" s="720"/>
      <c r="I442" s="723"/>
      <c r="J442" s="722"/>
      <c r="K442" s="720"/>
      <c r="L442" s="723"/>
      <c r="M442" s="722"/>
      <c r="N442" s="720"/>
      <c r="O442" s="723"/>
      <c r="P442" s="722"/>
      <c r="Q442" s="720"/>
      <c r="R442" s="723"/>
      <c r="S442" s="722"/>
      <c r="T442" s="720"/>
      <c r="U442" s="723"/>
      <c r="V442" s="722"/>
      <c r="W442" s="720"/>
      <c r="X442" s="723"/>
      <c r="Y442" s="722"/>
      <c r="Z442" s="720"/>
      <c r="AA442" s="723"/>
      <c r="AB442" s="722"/>
      <c r="AC442" s="720"/>
      <c r="AD442" s="723"/>
      <c r="AE442" s="722"/>
      <c r="AF442" s="720"/>
      <c r="AG442" s="723"/>
      <c r="AH442" s="722"/>
      <c r="AI442" s="720"/>
      <c r="AJ442" s="723"/>
      <c r="AK442" s="722"/>
      <c r="AL442" s="720"/>
      <c r="AM442" s="723"/>
      <c r="AN442" s="722"/>
      <c r="AO442" s="720"/>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618"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969" t="s">
        <v>131</v>
      </c>
      <c r="C444" s="969"/>
      <c r="D444" s="970"/>
      <c r="E444" s="971"/>
      <c r="F444" s="969"/>
      <c r="G444" s="970"/>
      <c r="H444" s="971"/>
      <c r="I444" s="969"/>
      <c r="J444" s="970"/>
      <c r="K444" s="971"/>
      <c r="L444" s="969"/>
      <c r="M444" s="970"/>
      <c r="N444" s="971"/>
      <c r="O444" s="969"/>
      <c r="P444" s="970"/>
      <c r="Q444" s="971"/>
      <c r="R444" s="969"/>
      <c r="S444" s="970"/>
      <c r="T444" s="971"/>
      <c r="U444" s="969"/>
      <c r="V444" s="970"/>
      <c r="W444" s="971"/>
      <c r="X444" s="969"/>
      <c r="Y444" s="970"/>
      <c r="Z444" s="971"/>
      <c r="AA444" s="969"/>
      <c r="AB444" s="970"/>
      <c r="AC444" s="971"/>
      <c r="AD444" s="969"/>
      <c r="AE444" s="970"/>
      <c r="AF444" s="971"/>
      <c r="AG444" s="969"/>
      <c r="AH444" s="970"/>
      <c r="AI444" s="971"/>
      <c r="AJ444" s="969"/>
      <c r="AK444" s="970"/>
      <c r="AL444" s="971"/>
      <c r="AM444" s="969"/>
      <c r="AN444" s="970"/>
      <c r="AO444" s="971"/>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723"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723"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723"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723"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723"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723"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723"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723"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723"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723" t="s">
        <v>55</v>
      </c>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962"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965"/>
      <c r="X455" s="963"/>
      <c r="Y455" s="966"/>
      <c r="Z455" s="965"/>
      <c r="AA455" s="963"/>
      <c r="AB455" s="966"/>
      <c r="AC455" s="965"/>
      <c r="AD455" s="963"/>
      <c r="AE455" s="966"/>
      <c r="AF455" s="965"/>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723" t="s">
        <v>201</v>
      </c>
      <c r="C456" s="723"/>
      <c r="D456" s="722"/>
      <c r="E456" s="720"/>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727"/>
      <c r="AJ456" s="723"/>
      <c r="AK456" s="722"/>
      <c r="AL456" s="727"/>
      <c r="AM456" s="723"/>
      <c r="AN456" s="722"/>
      <c r="AO456" s="72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723" t="s">
        <v>202</v>
      </c>
      <c r="C457" s="723"/>
      <c r="D457" s="722"/>
      <c r="E457" s="720"/>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727"/>
      <c r="AJ457" s="723"/>
      <c r="AK457" s="722"/>
      <c r="AL457" s="727"/>
      <c r="AM457" s="723"/>
      <c r="AN457" s="722"/>
      <c r="AO457" s="72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726" t="s">
        <v>203</v>
      </c>
      <c r="C458" s="726"/>
      <c r="D458" s="725"/>
      <c r="E458" s="714"/>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733"/>
      <c r="AJ458" s="726"/>
      <c r="AK458" s="725"/>
      <c r="AL458" s="733"/>
      <c r="AM458" s="726"/>
      <c r="AN458" s="725"/>
      <c r="AO458" s="733"/>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723" t="s">
        <v>204</v>
      </c>
      <c r="C459" s="723"/>
      <c r="D459" s="722"/>
      <c r="E459" s="720"/>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727"/>
      <c r="AJ459" s="723"/>
      <c r="AK459" s="722"/>
      <c r="AL459" s="727"/>
      <c r="AM459" s="723"/>
      <c r="AN459" s="722"/>
      <c r="AO459" s="72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726" t="s">
        <v>205</v>
      </c>
      <c r="C460" s="726"/>
      <c r="D460" s="725"/>
      <c r="E460" s="714"/>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733"/>
      <c r="AJ460" s="726"/>
      <c r="AK460" s="725"/>
      <c r="AL460" s="733"/>
      <c r="AM460" s="726"/>
      <c r="AN460" s="725"/>
      <c r="AO460" s="733"/>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723" t="s">
        <v>206</v>
      </c>
      <c r="C461" s="723"/>
      <c r="D461" s="722"/>
      <c r="E461" s="720"/>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727"/>
      <c r="AJ461" s="723"/>
      <c r="AK461" s="722"/>
      <c r="AL461" s="727"/>
      <c r="AM461" s="723"/>
      <c r="AN461" s="722"/>
      <c r="AO461" s="72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723" t="s">
        <v>207</v>
      </c>
      <c r="C462" s="723"/>
      <c r="D462" s="722"/>
      <c r="E462" s="720"/>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727"/>
      <c r="AJ462" s="723"/>
      <c r="AK462" s="722"/>
      <c r="AL462" s="727"/>
      <c r="AM462" s="723"/>
      <c r="AN462" s="722"/>
      <c r="AO462" s="72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726" t="s">
        <v>208</v>
      </c>
      <c r="C463" s="726"/>
      <c r="D463" s="725"/>
      <c r="E463" s="714"/>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733"/>
      <c r="AJ463" s="726"/>
      <c r="AK463" s="725"/>
      <c r="AL463" s="733"/>
      <c r="AM463" s="726"/>
      <c r="AN463" s="725"/>
      <c r="AO463" s="733"/>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723" t="s">
        <v>209</v>
      </c>
      <c r="C464" s="723"/>
      <c r="D464" s="722"/>
      <c r="E464" s="720"/>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727"/>
      <c r="AJ464" s="723"/>
      <c r="AK464" s="722"/>
      <c r="AL464" s="727"/>
      <c r="AM464" s="723"/>
      <c r="AN464" s="722"/>
      <c r="AO464" s="72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723" t="s">
        <v>210</v>
      </c>
      <c r="C465" s="723"/>
      <c r="D465" s="722"/>
      <c r="E465" s="720"/>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727"/>
      <c r="AJ465" s="723"/>
      <c r="AK465" s="722"/>
      <c r="AL465" s="727"/>
      <c r="AM465" s="723"/>
      <c r="AN465" s="722"/>
      <c r="AO465" s="72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723"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723"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723"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962"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965"/>
      <c r="X469" s="963"/>
      <c r="Y469" s="966"/>
      <c r="Z469" s="965"/>
      <c r="AA469" s="963"/>
      <c r="AB469" s="966"/>
      <c r="AC469" s="965"/>
      <c r="AD469" s="963"/>
      <c r="AE469" s="966"/>
      <c r="AF469" s="965"/>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723"/>
      <c r="C470" s="723"/>
      <c r="D470" s="719"/>
      <c r="E470" s="972"/>
      <c r="F470" s="723"/>
      <c r="G470" s="719"/>
      <c r="H470" s="972"/>
      <c r="I470" s="723"/>
      <c r="J470" s="719"/>
      <c r="K470" s="972"/>
      <c r="L470" s="723"/>
      <c r="M470" s="719"/>
      <c r="N470" s="972"/>
      <c r="O470" s="723"/>
      <c r="P470" s="719"/>
      <c r="Q470" s="972"/>
      <c r="R470" s="723"/>
      <c r="S470" s="719"/>
      <c r="T470" s="972"/>
      <c r="U470" s="723"/>
      <c r="V470" s="719"/>
      <c r="W470" s="972"/>
      <c r="X470" s="723"/>
      <c r="Y470" s="719"/>
      <c r="Z470" s="972"/>
      <c r="AA470" s="723"/>
      <c r="AB470" s="719"/>
      <c r="AC470" s="972"/>
      <c r="AD470" s="723"/>
      <c r="AE470" s="719"/>
      <c r="AF470" s="972"/>
      <c r="AG470" s="723"/>
      <c r="AH470" s="719"/>
      <c r="AI470" s="972"/>
      <c r="AJ470" s="723"/>
      <c r="AK470" s="719"/>
      <c r="AL470" s="972"/>
      <c r="AM470" s="723"/>
      <c r="AN470" s="719"/>
      <c r="AO470" s="97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962"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965"/>
      <c r="X471" s="963"/>
      <c r="Y471" s="966"/>
      <c r="Z471" s="965"/>
      <c r="AA471" s="963"/>
      <c r="AB471" s="966"/>
      <c r="AC471" s="965"/>
      <c r="AD471" s="963"/>
      <c r="AE471" s="966"/>
      <c r="AF471" s="965"/>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723"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5"/>
      <c r="X472" s="973"/>
      <c r="Y472" s="974"/>
      <c r="Z472" s="975"/>
      <c r="AA472" s="973"/>
      <c r="AB472" s="974"/>
      <c r="AC472" s="975"/>
      <c r="AD472" s="973"/>
      <c r="AE472" s="974"/>
      <c r="AF472" s="975"/>
      <c r="AG472" s="973"/>
      <c r="AH472" s="974"/>
      <c r="AI472" s="975"/>
      <c r="AJ472" s="973"/>
      <c r="AK472" s="974"/>
      <c r="AL472" s="975"/>
      <c r="AM472" s="973"/>
      <c r="AN472" s="974"/>
      <c r="AO472" s="975"/>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723"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720"/>
      <c r="AJ473" s="737"/>
      <c r="AK473" s="738"/>
      <c r="AL473" s="720"/>
      <c r="AM473" s="737"/>
      <c r="AN473" s="738"/>
      <c r="AO473" s="720"/>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723"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720"/>
      <c r="AJ474" s="737"/>
      <c r="AK474" s="738"/>
      <c r="AL474" s="720"/>
      <c r="AM474" s="737"/>
      <c r="AN474" s="738"/>
      <c r="AO474" s="720"/>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723"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720"/>
      <c r="AJ475" s="737"/>
      <c r="AK475" s="738"/>
      <c r="AL475" s="720"/>
      <c r="AM475" s="737"/>
      <c r="AN475" s="738"/>
      <c r="AO475" s="720"/>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723"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720"/>
      <c r="AJ476" s="737"/>
      <c r="AK476" s="738"/>
      <c r="AL476" s="720"/>
      <c r="AM476" s="737"/>
      <c r="AN476" s="738"/>
      <c r="AO476" s="720"/>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723"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720"/>
      <c r="AJ477" s="737"/>
      <c r="AK477" s="738"/>
      <c r="AL477" s="720"/>
      <c r="AM477" s="737"/>
      <c r="AN477" s="738"/>
      <c r="AO477" s="720"/>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723"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720"/>
      <c r="AJ478" s="737"/>
      <c r="AK478" s="738"/>
      <c r="AL478" s="720"/>
      <c r="AM478" s="737"/>
      <c r="AN478" s="738"/>
      <c r="AO478" s="720"/>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723"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720"/>
      <c r="AJ479" s="737"/>
      <c r="AK479" s="738"/>
      <c r="AL479" s="720"/>
      <c r="AM479" s="737"/>
      <c r="AN479" s="738"/>
      <c r="AO479" s="720"/>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757"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720"/>
      <c r="AJ480" s="737"/>
      <c r="AK480" s="738"/>
      <c r="AL480" s="720"/>
      <c r="AM480" s="737"/>
      <c r="AN480" s="738"/>
      <c r="AO480" s="720"/>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757"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720"/>
      <c r="AJ481" s="737"/>
      <c r="AK481" s="738"/>
      <c r="AL481" s="720"/>
      <c r="AM481" s="737"/>
      <c r="AN481" s="738"/>
      <c r="AO481" s="720"/>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757"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720"/>
      <c r="AJ482" s="737"/>
      <c r="AK482" s="738"/>
      <c r="AL482" s="720"/>
      <c r="AM482" s="737"/>
      <c r="AN482" s="738"/>
      <c r="AO482" s="720"/>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726"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720"/>
      <c r="AJ483" s="739"/>
      <c r="AK483" s="738"/>
      <c r="AL483" s="720"/>
      <c r="AM483" s="739"/>
      <c r="AN483" s="738"/>
      <c r="AO483" s="720"/>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962"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965"/>
      <c r="X484" s="963"/>
      <c r="Y484" s="976"/>
      <c r="Z484" s="965"/>
      <c r="AA484" s="963"/>
      <c r="AB484" s="976"/>
      <c r="AC484" s="965"/>
      <c r="AD484" s="963"/>
      <c r="AE484" s="976"/>
      <c r="AF484" s="965"/>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977"/>
      <c r="C485" s="977"/>
      <c r="D485" s="978"/>
      <c r="E485" s="975"/>
      <c r="F485" s="977"/>
      <c r="G485" s="978"/>
      <c r="H485" s="975"/>
      <c r="I485" s="977"/>
      <c r="J485" s="978"/>
      <c r="K485" s="975"/>
      <c r="L485" s="977"/>
      <c r="M485" s="978"/>
      <c r="N485" s="975"/>
      <c r="O485" s="977"/>
      <c r="P485" s="978"/>
      <c r="Q485" s="975"/>
      <c r="R485" s="977"/>
      <c r="S485" s="978"/>
      <c r="T485" s="975"/>
      <c r="U485" s="977"/>
      <c r="V485" s="978"/>
      <c r="W485" s="975"/>
      <c r="X485" s="977"/>
      <c r="Y485" s="978"/>
      <c r="Z485" s="975"/>
      <c r="AA485" s="977"/>
      <c r="AB485" s="978"/>
      <c r="AC485" s="975"/>
      <c r="AD485" s="977"/>
      <c r="AE485" s="978"/>
      <c r="AF485" s="975"/>
      <c r="AG485" s="977"/>
      <c r="AH485" s="978"/>
      <c r="AI485" s="975"/>
      <c r="AJ485" s="977"/>
      <c r="AK485" s="978"/>
      <c r="AL485" s="975"/>
      <c r="AM485" s="977"/>
      <c r="AN485" s="978"/>
      <c r="AO485" s="975"/>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979" t="s">
        <v>214</v>
      </c>
      <c r="C486" s="740"/>
      <c r="D486" s="741"/>
      <c r="E486" s="742"/>
      <c r="F486" s="743"/>
      <c r="G486" s="744"/>
      <c r="H486" s="745"/>
      <c r="I486" s="743"/>
      <c r="J486" s="744"/>
      <c r="K486" s="745"/>
      <c r="L486" s="743"/>
      <c r="M486" s="744"/>
      <c r="N486" s="745"/>
      <c r="O486" s="743"/>
      <c r="P486" s="744"/>
      <c r="Q486" s="745"/>
      <c r="R486" s="743"/>
      <c r="S486" s="744"/>
      <c r="T486" s="745"/>
      <c r="U486" s="743"/>
      <c r="V486" s="744"/>
      <c r="W486" s="745"/>
      <c r="X486" s="743"/>
      <c r="Y486" s="744"/>
      <c r="Z486" s="745"/>
      <c r="AA486" s="743"/>
      <c r="AB486" s="744"/>
      <c r="AC486" s="745"/>
      <c r="AD486" s="743"/>
      <c r="AE486" s="744"/>
      <c r="AF486" s="745"/>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921"/>
      <c r="C487" s="625"/>
      <c r="D487" s="625"/>
      <c r="E487" s="746"/>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921" t="str">
        <f>B4</f>
        <v>Budget 2025</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92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92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921"/>
      <c r="C491" s="625"/>
      <c r="D491" s="625"/>
      <c r="E491" s="746"/>
      <c r="F491" s="625"/>
      <c r="G491" s="625"/>
      <c r="H491" s="746"/>
      <c r="I491" s="625"/>
      <c r="J491" s="625"/>
      <c r="K491" s="746"/>
      <c r="L491" s="625"/>
      <c r="M491" s="625"/>
      <c r="N491" s="746"/>
      <c r="O491" s="625"/>
      <c r="P491" s="625"/>
      <c r="Q491" s="746"/>
      <c r="R491" s="625"/>
      <c r="S491" s="625"/>
      <c r="T491" s="746"/>
      <c r="U491" s="625"/>
      <c r="V491" s="625"/>
      <c r="W491" s="746"/>
      <c r="X491" s="625"/>
      <c r="Y491" s="625"/>
      <c r="Z491" s="746"/>
      <c r="AA491" s="625"/>
      <c r="AB491" s="625"/>
      <c r="AC491" s="746"/>
      <c r="AD491" s="625"/>
      <c r="AE491" s="625"/>
      <c r="AF491" s="746"/>
      <c r="AG491" s="625"/>
      <c r="AH491" s="625"/>
      <c r="AI491" s="746"/>
      <c r="AJ491" s="625"/>
      <c r="AK491" s="625"/>
      <c r="AL491" s="746"/>
      <c r="AM491" s="625"/>
      <c r="AN491" s="625"/>
      <c r="AO491" s="746"/>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980" t="s">
        <v>214</v>
      </c>
      <c r="C492" s="747"/>
      <c r="D492" s="748"/>
      <c r="E492" s="749"/>
      <c r="F492" s="750"/>
      <c r="G492" s="748"/>
      <c r="H492" s="751"/>
      <c r="I492" s="750"/>
      <c r="J492" s="748"/>
      <c r="K492" s="751"/>
      <c r="L492" s="750"/>
      <c r="M492" s="748"/>
      <c r="N492" s="751"/>
      <c r="O492" s="750"/>
      <c r="P492" s="748"/>
      <c r="Q492" s="751"/>
      <c r="R492" s="750"/>
      <c r="S492" s="748"/>
      <c r="T492" s="751"/>
      <c r="U492" s="750"/>
      <c r="V492" s="748"/>
      <c r="W492" s="751"/>
      <c r="X492" s="750"/>
      <c r="Y492" s="748"/>
      <c r="Z492" s="751"/>
      <c r="AA492" s="750"/>
      <c r="AB492" s="748"/>
      <c r="AC492" s="751"/>
      <c r="AD492" s="750"/>
      <c r="AE492" s="748"/>
      <c r="AF492" s="751"/>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981"/>
      <c r="C493" s="752"/>
      <c r="D493" s="752"/>
      <c r="E493" s="752"/>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982" t="s">
        <v>217</v>
      </c>
      <c r="C494" s="719"/>
      <c r="D494" s="722"/>
      <c r="E494" s="755"/>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727"/>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982" t="s">
        <v>218</v>
      </c>
      <c r="C495" s="657"/>
      <c r="D495" s="625"/>
      <c r="E495" s="755"/>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727"/>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982" t="s">
        <v>219</v>
      </c>
      <c r="C496" s="625"/>
      <c r="D496" s="625"/>
      <c r="E496" s="755"/>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727"/>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982" t="s">
        <v>220</v>
      </c>
      <c r="C497" s="666"/>
      <c r="D497" s="666"/>
      <c r="E497" s="755"/>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727"/>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983" t="s">
        <v>55</v>
      </c>
      <c r="C498" s="666"/>
      <c r="D498" s="666"/>
      <c r="E498" s="755"/>
      <c r="F498" s="758"/>
      <c r="G498" s="666"/>
      <c r="H498" s="720"/>
      <c r="I498" s="758"/>
      <c r="J498" s="666"/>
      <c r="K498" s="720"/>
      <c r="L498" s="758"/>
      <c r="M498" s="666"/>
      <c r="N498" s="720"/>
      <c r="O498" s="758"/>
      <c r="P498" s="666"/>
      <c r="Q498" s="720"/>
      <c r="R498" s="758"/>
      <c r="S498" s="666"/>
      <c r="T498" s="720"/>
      <c r="U498" s="758"/>
      <c r="V498" s="666"/>
      <c r="W498" s="720"/>
      <c r="X498" s="758"/>
      <c r="Y498" s="666"/>
      <c r="Z498" s="720"/>
      <c r="AA498" s="758"/>
      <c r="AB498" s="666"/>
      <c r="AC498" s="720"/>
      <c r="AD498" s="758"/>
      <c r="AE498" s="666"/>
      <c r="AF498" s="720"/>
      <c r="AG498" s="758"/>
      <c r="AH498" s="666"/>
      <c r="AI498" s="720"/>
      <c r="AJ498" s="758"/>
      <c r="AK498" s="666"/>
      <c r="AL498" s="720"/>
      <c r="AM498" s="758"/>
      <c r="AN498" s="666"/>
      <c r="AO498" s="720"/>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982" t="s">
        <v>1096</v>
      </c>
      <c r="C499" s="666"/>
      <c r="D499" s="666"/>
      <c r="E499" s="755"/>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984" t="s">
        <v>55</v>
      </c>
      <c r="C500" s="666"/>
      <c r="D500" s="666"/>
      <c r="E500" s="755"/>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985" t="s">
        <v>221</v>
      </c>
      <c r="C501" s="759"/>
      <c r="D501" s="760"/>
      <c r="E501" s="761"/>
      <c r="F501" s="762"/>
      <c r="G501" s="760"/>
      <c r="H501" s="763"/>
      <c r="I501" s="762"/>
      <c r="J501" s="760"/>
      <c r="K501" s="763"/>
      <c r="L501" s="762"/>
      <c r="M501" s="760"/>
      <c r="N501" s="763"/>
      <c r="O501" s="762"/>
      <c r="P501" s="760"/>
      <c r="Q501" s="763"/>
      <c r="R501" s="762"/>
      <c r="S501" s="760"/>
      <c r="T501" s="763"/>
      <c r="U501" s="762"/>
      <c r="V501" s="760"/>
      <c r="W501" s="763"/>
      <c r="X501" s="762"/>
      <c r="Y501" s="760"/>
      <c r="Z501" s="763"/>
      <c r="AA501" s="762"/>
      <c r="AB501" s="760"/>
      <c r="AC501" s="763"/>
      <c r="AD501" s="762"/>
      <c r="AE501" s="760"/>
      <c r="AF501" s="763"/>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788" t="str">
        <f>"Réel 2023 Mensuel Révisé"&amp;" "&amp;Parametres!$B$1</f>
        <v>Réel 2023 Mensuel Révisé Hyundai</v>
      </c>
      <c r="C1" s="789"/>
      <c r="D1" s="789"/>
      <c r="E1" s="789"/>
      <c r="F1" s="789"/>
      <c r="G1" s="789"/>
      <c r="H1" s="789"/>
      <c r="I1" s="789"/>
      <c r="J1" s="789"/>
      <c r="K1" s="789"/>
      <c r="L1" s="789"/>
      <c r="M1" s="789"/>
      <c r="N1" s="789"/>
      <c r="O1" s="789"/>
      <c r="P1" s="789"/>
      <c r="Q1" s="789"/>
      <c r="R1" s="789"/>
      <c r="S1" s="789"/>
      <c r="T1" s="789"/>
      <c r="U1" s="789"/>
      <c r="V1" s="789"/>
      <c r="W1" s="789"/>
      <c r="X1" s="789"/>
      <c r="Y1" s="789"/>
      <c r="Z1" s="789"/>
      <c r="AA1" s="789"/>
      <c r="AB1" s="789"/>
      <c r="AC1" s="789"/>
      <c r="AD1" s="789"/>
      <c r="AE1" s="789"/>
      <c r="AF1" s="789"/>
      <c r="AG1" s="789"/>
      <c r="AH1" s="789"/>
      <c r="AI1" s="789"/>
      <c r="AJ1" s="789"/>
      <c r="AK1" s="789"/>
      <c r="AL1" s="789"/>
      <c r="AM1" s="789"/>
      <c r="AN1" s="789"/>
      <c r="AO1" s="789"/>
      <c r="AP1" s="3"/>
      <c r="AQ1" s="3"/>
      <c r="AR1" s="3"/>
      <c r="AS1" s="3"/>
      <c r="AT1" s="3"/>
      <c r="AU1" s="3"/>
      <c r="AV1" s="3"/>
      <c r="AW1" s="3"/>
      <c r="AX1" s="3"/>
      <c r="AY1" s="3"/>
      <c r="AZ1" s="3"/>
      <c r="BA1" s="3"/>
      <c r="BB1" s="3"/>
      <c r="BC1" s="3"/>
      <c r="BD1" s="3"/>
      <c r="BE1" s="3"/>
      <c r="BF1" s="3"/>
      <c r="BG1" s="3"/>
      <c r="BH1" s="3"/>
      <c r="BI1" s="3"/>
    </row>
    <row r="2" spans="1:61" ht="41.25" customHeight="1">
      <c r="A2" s="33"/>
      <c r="B2" s="34" t="s">
        <v>2</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X</v>
      </c>
      <c r="S2" s="35" t="str">
        <f>+IF(Parametres!$B$3=R$6,"O","")</f>
        <v>O</v>
      </c>
      <c r="T2" s="35" t="str">
        <f>+IF(Parametres!$B$3=R$6,"U","")</f>
        <v>U</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3</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1110</v>
      </c>
      <c r="C4" s="9" t="s">
        <v>88</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2</v>
      </c>
      <c r="C6" s="785">
        <v>2024</v>
      </c>
      <c r="D6" s="786"/>
      <c r="E6" s="787"/>
      <c r="F6" s="603" t="s">
        <v>6</v>
      </c>
      <c r="G6" s="604"/>
      <c r="H6" s="605"/>
      <c r="I6" s="603" t="s">
        <v>8</v>
      </c>
      <c r="J6" s="604"/>
      <c r="K6" s="605"/>
      <c r="L6" s="603" t="s">
        <v>9</v>
      </c>
      <c r="M6" s="604"/>
      <c r="N6" s="605"/>
      <c r="O6" s="603" t="s">
        <v>10</v>
      </c>
      <c r="P6" s="604"/>
      <c r="Q6" s="605"/>
      <c r="R6" s="603" t="s">
        <v>11</v>
      </c>
      <c r="S6" s="604"/>
      <c r="T6" s="605"/>
      <c r="U6" s="603" t="s">
        <v>12</v>
      </c>
      <c r="V6" s="604"/>
      <c r="W6" s="605"/>
      <c r="X6" s="603" t="s">
        <v>14</v>
      </c>
      <c r="Y6" s="604"/>
      <c r="Z6" s="605"/>
      <c r="AA6" s="603" t="s">
        <v>15</v>
      </c>
      <c r="AB6" s="604"/>
      <c r="AC6" s="605"/>
      <c r="AD6" s="603" t="s">
        <v>17</v>
      </c>
      <c r="AE6" s="604"/>
      <c r="AF6" s="605"/>
      <c r="AG6" s="603" t="s">
        <v>18</v>
      </c>
      <c r="AH6" s="604"/>
      <c r="AI6" s="605"/>
      <c r="AJ6" s="603" t="s">
        <v>19</v>
      </c>
      <c r="AK6" s="604"/>
      <c r="AL6" s="605"/>
      <c r="AM6" s="603" t="s">
        <v>5</v>
      </c>
      <c r="AN6" s="604"/>
      <c r="AO6" s="605"/>
      <c r="AP6" s="41"/>
      <c r="AQ6" s="41"/>
      <c r="AR6" s="41"/>
      <c r="AS6" s="41"/>
      <c r="AT6" s="41"/>
      <c r="AU6" s="41"/>
      <c r="AV6" s="41"/>
      <c r="AW6" s="41"/>
      <c r="AX6" s="41"/>
      <c r="AY6" s="41"/>
      <c r="AZ6" s="41"/>
      <c r="BA6" s="41"/>
      <c r="BB6" s="41"/>
      <c r="BC6" s="41"/>
      <c r="BD6" s="41"/>
      <c r="BE6" s="41"/>
      <c r="BF6" s="41"/>
      <c r="BG6" s="41"/>
      <c r="BH6" s="41"/>
      <c r="BI6" s="41"/>
    </row>
    <row r="7" spans="1:61" ht="20.25">
      <c r="A7" s="39"/>
      <c r="B7" s="42"/>
      <c r="C7" s="606" t="s">
        <v>89</v>
      </c>
      <c r="D7" s="607" t="s">
        <v>90</v>
      </c>
      <c r="E7" s="608" t="s">
        <v>91</v>
      </c>
      <c r="F7" s="606" t="s">
        <v>89</v>
      </c>
      <c r="G7" s="607" t="s">
        <v>90</v>
      </c>
      <c r="H7" s="608" t="s">
        <v>91</v>
      </c>
      <c r="I7" s="606" t="s">
        <v>89</v>
      </c>
      <c r="J7" s="607" t="s">
        <v>90</v>
      </c>
      <c r="K7" s="608" t="s">
        <v>91</v>
      </c>
      <c r="L7" s="606" t="s">
        <v>89</v>
      </c>
      <c r="M7" s="607" t="s">
        <v>90</v>
      </c>
      <c r="N7" s="608" t="s">
        <v>91</v>
      </c>
      <c r="O7" s="606" t="s">
        <v>89</v>
      </c>
      <c r="P7" s="607" t="s">
        <v>90</v>
      </c>
      <c r="Q7" s="608" t="s">
        <v>91</v>
      </c>
      <c r="R7" s="606" t="s">
        <v>89</v>
      </c>
      <c r="S7" s="607" t="s">
        <v>90</v>
      </c>
      <c r="T7" s="608" t="s">
        <v>91</v>
      </c>
      <c r="U7" s="606" t="s">
        <v>89</v>
      </c>
      <c r="V7" s="607" t="s">
        <v>90</v>
      </c>
      <c r="W7" s="608" t="s">
        <v>91</v>
      </c>
      <c r="X7" s="606" t="s">
        <v>89</v>
      </c>
      <c r="Y7" s="607" t="s">
        <v>90</v>
      </c>
      <c r="Z7" s="608" t="s">
        <v>91</v>
      </c>
      <c r="AA7" s="606" t="s">
        <v>89</v>
      </c>
      <c r="AB7" s="607" t="s">
        <v>90</v>
      </c>
      <c r="AC7" s="608" t="s">
        <v>91</v>
      </c>
      <c r="AD7" s="606" t="s">
        <v>89</v>
      </c>
      <c r="AE7" s="607" t="s">
        <v>90</v>
      </c>
      <c r="AF7" s="608" t="s">
        <v>91</v>
      </c>
      <c r="AG7" s="606" t="s">
        <v>89</v>
      </c>
      <c r="AH7" s="607" t="s">
        <v>90</v>
      </c>
      <c r="AI7" s="608" t="s">
        <v>91</v>
      </c>
      <c r="AJ7" s="606" t="s">
        <v>89</v>
      </c>
      <c r="AK7" s="607" t="s">
        <v>90</v>
      </c>
      <c r="AL7" s="608" t="s">
        <v>91</v>
      </c>
      <c r="AM7" s="606" t="s">
        <v>89</v>
      </c>
      <c r="AN7" s="607" t="s">
        <v>90</v>
      </c>
      <c r="AO7" s="608" t="s">
        <v>91</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92</v>
      </c>
      <c r="C8" s="609"/>
      <c r="D8" s="610"/>
      <c r="E8" s="612"/>
      <c r="F8" s="609"/>
      <c r="G8" s="610"/>
      <c r="H8" s="612"/>
      <c r="I8" s="609"/>
      <c r="J8" s="610"/>
      <c r="K8" s="612"/>
      <c r="L8" s="609"/>
      <c r="M8" s="610"/>
      <c r="N8" s="612"/>
      <c r="O8" s="609"/>
      <c r="P8" s="610"/>
      <c r="Q8" s="612"/>
      <c r="R8" s="609"/>
      <c r="S8" s="610"/>
      <c r="T8" s="612"/>
      <c r="U8" s="609"/>
      <c r="V8" s="610"/>
      <c r="W8" s="612"/>
      <c r="X8" s="609"/>
      <c r="Y8" s="610"/>
      <c r="Z8" s="612"/>
      <c r="AA8" s="609"/>
      <c r="AB8" s="610"/>
      <c r="AC8" s="612"/>
      <c r="AD8" s="609"/>
      <c r="AE8" s="610"/>
      <c r="AF8" s="612"/>
      <c r="AG8" s="609"/>
      <c r="AH8" s="610"/>
      <c r="AI8" s="612"/>
      <c r="AJ8" s="609"/>
      <c r="AK8" s="610"/>
      <c r="AL8" s="612"/>
      <c r="AM8" s="609"/>
      <c r="AN8" s="610"/>
      <c r="AO8" s="612"/>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93</v>
      </c>
      <c r="C9" s="616"/>
      <c r="D9" s="614"/>
      <c r="E9" s="617"/>
      <c r="F9" s="616"/>
      <c r="G9" s="614"/>
      <c r="H9" s="617"/>
      <c r="I9" s="616"/>
      <c r="J9" s="614"/>
      <c r="K9" s="617"/>
      <c r="L9" s="616"/>
      <c r="M9" s="614"/>
      <c r="N9" s="617"/>
      <c r="O9" s="616"/>
      <c r="P9" s="614"/>
      <c r="Q9" s="617"/>
      <c r="R9" s="616"/>
      <c r="S9" s="614"/>
      <c r="T9" s="617"/>
      <c r="U9" s="616"/>
      <c r="V9" s="614"/>
      <c r="W9" s="617"/>
      <c r="X9" s="616"/>
      <c r="Y9" s="614"/>
      <c r="Z9" s="617"/>
      <c r="AA9" s="616"/>
      <c r="AB9" s="614"/>
      <c r="AC9" s="617"/>
      <c r="AD9" s="616"/>
      <c r="AE9" s="614"/>
      <c r="AF9" s="617"/>
      <c r="AG9" s="616"/>
      <c r="AH9" s="614"/>
      <c r="AI9" s="617"/>
      <c r="AJ9" s="616"/>
      <c r="AK9" s="614"/>
      <c r="AL9" s="617"/>
      <c r="AM9" s="616"/>
      <c r="AN9" s="614"/>
      <c r="AO9" s="617"/>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94</v>
      </c>
      <c r="C10" s="616"/>
      <c r="D10" s="614"/>
      <c r="E10" s="617"/>
      <c r="F10" s="616"/>
      <c r="G10" s="614"/>
      <c r="H10" s="617"/>
      <c r="I10" s="616"/>
      <c r="J10" s="614"/>
      <c r="K10" s="617"/>
      <c r="L10" s="616"/>
      <c r="M10" s="614"/>
      <c r="N10" s="617"/>
      <c r="O10" s="616"/>
      <c r="P10" s="614"/>
      <c r="Q10" s="617"/>
      <c r="R10" s="616"/>
      <c r="S10" s="614"/>
      <c r="T10" s="617"/>
      <c r="U10" s="616"/>
      <c r="V10" s="614"/>
      <c r="W10" s="617"/>
      <c r="X10" s="616"/>
      <c r="Y10" s="614"/>
      <c r="Z10" s="617"/>
      <c r="AA10" s="616"/>
      <c r="AB10" s="614"/>
      <c r="AC10" s="617"/>
      <c r="AD10" s="616"/>
      <c r="AE10" s="614"/>
      <c r="AF10" s="617"/>
      <c r="AG10" s="616"/>
      <c r="AH10" s="614"/>
      <c r="AI10" s="617"/>
      <c r="AJ10" s="616"/>
      <c r="AK10" s="614"/>
      <c r="AL10" s="617"/>
      <c r="AM10" s="616"/>
      <c r="AN10" s="614"/>
      <c r="AO10" s="617"/>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95</v>
      </c>
      <c r="C11" s="616"/>
      <c r="D11" s="614"/>
      <c r="E11" s="617"/>
      <c r="F11" s="616"/>
      <c r="G11" s="614"/>
      <c r="H11" s="617"/>
      <c r="I11" s="616"/>
      <c r="J11" s="614"/>
      <c r="K11" s="617"/>
      <c r="L11" s="616"/>
      <c r="M11" s="614"/>
      <c r="N11" s="617"/>
      <c r="O11" s="616"/>
      <c r="P11" s="614"/>
      <c r="Q11" s="617"/>
      <c r="R11" s="616"/>
      <c r="S11" s="614"/>
      <c r="T11" s="617"/>
      <c r="U11" s="616"/>
      <c r="V11" s="614"/>
      <c r="W11" s="617"/>
      <c r="X11" s="616"/>
      <c r="Y11" s="614"/>
      <c r="Z11" s="617"/>
      <c r="AA11" s="616"/>
      <c r="AB11" s="614"/>
      <c r="AC11" s="617"/>
      <c r="AD11" s="616"/>
      <c r="AE11" s="614"/>
      <c r="AF11" s="617"/>
      <c r="AG11" s="616"/>
      <c r="AH11" s="614"/>
      <c r="AI11" s="617"/>
      <c r="AJ11" s="616"/>
      <c r="AK11" s="614"/>
      <c r="AL11" s="617"/>
      <c r="AM11" s="616"/>
      <c r="AN11" s="614"/>
      <c r="AO11" s="617"/>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96</v>
      </c>
      <c r="C12" s="616"/>
      <c r="D12" s="614"/>
      <c r="E12" s="617"/>
      <c r="F12" s="616"/>
      <c r="G12" s="614"/>
      <c r="H12" s="617"/>
      <c r="I12" s="616"/>
      <c r="J12" s="614"/>
      <c r="K12" s="617"/>
      <c r="L12" s="616"/>
      <c r="M12" s="614"/>
      <c r="N12" s="617"/>
      <c r="O12" s="616"/>
      <c r="P12" s="614"/>
      <c r="Q12" s="617"/>
      <c r="R12" s="616"/>
      <c r="S12" s="614"/>
      <c r="T12" s="617"/>
      <c r="U12" s="616"/>
      <c r="V12" s="614"/>
      <c r="W12" s="617"/>
      <c r="X12" s="616"/>
      <c r="Y12" s="614"/>
      <c r="Z12" s="617"/>
      <c r="AA12" s="616"/>
      <c r="AB12" s="614"/>
      <c r="AC12" s="617"/>
      <c r="AD12" s="616"/>
      <c r="AE12" s="614"/>
      <c r="AF12" s="617"/>
      <c r="AG12" s="616"/>
      <c r="AH12" s="614"/>
      <c r="AI12" s="617"/>
      <c r="AJ12" s="616"/>
      <c r="AK12" s="614"/>
      <c r="AL12" s="617"/>
      <c r="AM12" s="616"/>
      <c r="AN12" s="614"/>
      <c r="AO12" s="617"/>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55</v>
      </c>
      <c r="C13" s="613"/>
      <c r="D13" s="614"/>
      <c r="E13" s="615"/>
      <c r="F13" s="613"/>
      <c r="G13" s="614"/>
      <c r="H13" s="615"/>
      <c r="I13" s="613"/>
      <c r="J13" s="614"/>
      <c r="K13" s="615"/>
      <c r="L13" s="613"/>
      <c r="M13" s="614"/>
      <c r="N13" s="615"/>
      <c r="O13" s="613"/>
      <c r="P13" s="614"/>
      <c r="Q13" s="615"/>
      <c r="R13" s="613"/>
      <c r="S13" s="614"/>
      <c r="T13" s="615"/>
      <c r="U13" s="613"/>
      <c r="V13" s="614"/>
      <c r="W13" s="615"/>
      <c r="X13" s="613"/>
      <c r="Y13" s="614"/>
      <c r="Z13" s="615"/>
      <c r="AA13" s="613"/>
      <c r="AB13" s="614"/>
      <c r="AC13" s="615"/>
      <c r="AD13" s="613"/>
      <c r="AE13" s="614"/>
      <c r="AF13" s="615"/>
      <c r="AG13" s="613"/>
      <c r="AH13" s="614"/>
      <c r="AI13" s="615"/>
      <c r="AJ13" s="613"/>
      <c r="AK13" s="614"/>
      <c r="AL13" s="615"/>
      <c r="AM13" s="613"/>
      <c r="AN13" s="614"/>
      <c r="AO13" s="615"/>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55</v>
      </c>
      <c r="C14" s="613"/>
      <c r="D14" s="614"/>
      <c r="E14" s="615"/>
      <c r="F14" s="613"/>
      <c r="G14" s="614"/>
      <c r="H14" s="615"/>
      <c r="I14" s="613"/>
      <c r="J14" s="614"/>
      <c r="K14" s="615"/>
      <c r="L14" s="613"/>
      <c r="M14" s="614"/>
      <c r="N14" s="615"/>
      <c r="O14" s="613"/>
      <c r="P14" s="614"/>
      <c r="Q14" s="615"/>
      <c r="R14" s="613"/>
      <c r="S14" s="614"/>
      <c r="T14" s="615"/>
      <c r="U14" s="613"/>
      <c r="V14" s="614"/>
      <c r="W14" s="615"/>
      <c r="X14" s="613"/>
      <c r="Y14" s="614"/>
      <c r="Z14" s="615"/>
      <c r="AA14" s="613"/>
      <c r="AB14" s="614"/>
      <c r="AC14" s="615"/>
      <c r="AD14" s="613"/>
      <c r="AE14" s="614"/>
      <c r="AF14" s="615"/>
      <c r="AG14" s="613"/>
      <c r="AH14" s="614"/>
      <c r="AI14" s="615"/>
      <c r="AJ14" s="613"/>
      <c r="AK14" s="614"/>
      <c r="AL14" s="615"/>
      <c r="AM14" s="613"/>
      <c r="AN14" s="614"/>
      <c r="AO14" s="615"/>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55</v>
      </c>
      <c r="C15" s="613"/>
      <c r="D15" s="614"/>
      <c r="E15" s="615"/>
      <c r="F15" s="613"/>
      <c r="G15" s="614"/>
      <c r="H15" s="615"/>
      <c r="I15" s="613"/>
      <c r="J15" s="614"/>
      <c r="K15" s="615"/>
      <c r="L15" s="613"/>
      <c r="M15" s="614"/>
      <c r="N15" s="615"/>
      <c r="O15" s="613"/>
      <c r="P15" s="614"/>
      <c r="Q15" s="615"/>
      <c r="R15" s="613"/>
      <c r="S15" s="614"/>
      <c r="T15" s="615"/>
      <c r="U15" s="613"/>
      <c r="V15" s="614"/>
      <c r="W15" s="615"/>
      <c r="X15" s="613"/>
      <c r="Y15" s="614"/>
      <c r="Z15" s="615"/>
      <c r="AA15" s="613"/>
      <c r="AB15" s="614"/>
      <c r="AC15" s="615"/>
      <c r="AD15" s="613"/>
      <c r="AE15" s="614"/>
      <c r="AF15" s="615"/>
      <c r="AG15" s="613"/>
      <c r="AH15" s="614"/>
      <c r="AI15" s="615"/>
      <c r="AJ15" s="613"/>
      <c r="AK15" s="614"/>
      <c r="AL15" s="615"/>
      <c r="AM15" s="613"/>
      <c r="AN15" s="614"/>
      <c r="AO15" s="615"/>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97</v>
      </c>
      <c r="C16" s="892"/>
      <c r="D16" s="893"/>
      <c r="E16" s="894"/>
      <c r="F16" s="892"/>
      <c r="G16" s="893"/>
      <c r="H16" s="894"/>
      <c r="I16" s="892"/>
      <c r="J16" s="893"/>
      <c r="K16" s="894"/>
      <c r="L16" s="892"/>
      <c r="M16" s="893"/>
      <c r="N16" s="894"/>
      <c r="O16" s="892"/>
      <c r="P16" s="893"/>
      <c r="Q16" s="894"/>
      <c r="R16" s="892"/>
      <c r="S16" s="893"/>
      <c r="T16" s="894"/>
      <c r="U16" s="892"/>
      <c r="V16" s="893"/>
      <c r="W16" s="894"/>
      <c r="X16" s="892"/>
      <c r="Y16" s="893"/>
      <c r="Z16" s="894"/>
      <c r="AA16" s="892"/>
      <c r="AB16" s="893"/>
      <c r="AC16" s="894"/>
      <c r="AD16" s="892"/>
      <c r="AE16" s="893"/>
      <c r="AF16" s="894"/>
      <c r="AG16" s="892"/>
      <c r="AH16" s="893"/>
      <c r="AI16" s="894"/>
      <c r="AJ16" s="892"/>
      <c r="AK16" s="893"/>
      <c r="AL16" s="894"/>
      <c r="AM16" s="892"/>
      <c r="AN16" s="893"/>
      <c r="AO16" s="894"/>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618"/>
      <c r="D17" s="614"/>
      <c r="E17" s="619"/>
      <c r="F17" s="618"/>
      <c r="G17" s="614"/>
      <c r="H17" s="619"/>
      <c r="I17" s="618"/>
      <c r="J17" s="614"/>
      <c r="K17" s="619"/>
      <c r="L17" s="618"/>
      <c r="M17" s="614"/>
      <c r="N17" s="619"/>
      <c r="O17" s="618"/>
      <c r="P17" s="614"/>
      <c r="Q17" s="619"/>
      <c r="R17" s="618"/>
      <c r="S17" s="614"/>
      <c r="T17" s="619"/>
      <c r="U17" s="618"/>
      <c r="V17" s="614"/>
      <c r="W17" s="619"/>
      <c r="X17" s="618"/>
      <c r="Y17" s="614"/>
      <c r="Z17" s="619"/>
      <c r="AA17" s="618"/>
      <c r="AB17" s="614"/>
      <c r="AC17" s="619"/>
      <c r="AD17" s="618"/>
      <c r="AE17" s="614"/>
      <c r="AF17" s="619"/>
      <c r="AG17" s="618"/>
      <c r="AH17" s="614"/>
      <c r="AI17" s="619"/>
      <c r="AJ17" s="618"/>
      <c r="AK17" s="614"/>
      <c r="AL17" s="619"/>
      <c r="AM17" s="618"/>
      <c r="AN17" s="614"/>
      <c r="AO17" s="619"/>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98</v>
      </c>
      <c r="C18" s="623"/>
      <c r="D18" s="621"/>
      <c r="E18" s="624"/>
      <c r="F18" s="623"/>
      <c r="G18" s="621"/>
      <c r="H18" s="624"/>
      <c r="I18" s="623"/>
      <c r="J18" s="621"/>
      <c r="K18" s="624"/>
      <c r="L18" s="623"/>
      <c r="M18" s="621"/>
      <c r="N18" s="624"/>
      <c r="O18" s="623"/>
      <c r="P18" s="621"/>
      <c r="Q18" s="624"/>
      <c r="R18" s="623"/>
      <c r="S18" s="621"/>
      <c r="T18" s="624"/>
      <c r="U18" s="623"/>
      <c r="V18" s="621"/>
      <c r="W18" s="624"/>
      <c r="X18" s="623"/>
      <c r="Y18" s="621"/>
      <c r="Z18" s="624"/>
      <c r="AA18" s="623"/>
      <c r="AB18" s="621"/>
      <c r="AC18" s="624"/>
      <c r="AD18" s="623"/>
      <c r="AE18" s="621"/>
      <c r="AF18" s="624"/>
      <c r="AG18" s="623"/>
      <c r="AH18" s="621"/>
      <c r="AI18" s="624"/>
      <c r="AJ18" s="623"/>
      <c r="AK18" s="621"/>
      <c r="AL18" s="624"/>
      <c r="AM18" s="623"/>
      <c r="AN18" s="621"/>
      <c r="AO18" s="624"/>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618"/>
      <c r="D19" s="614"/>
      <c r="E19" s="619"/>
      <c r="F19" s="618"/>
      <c r="G19" s="614"/>
      <c r="H19" s="619"/>
      <c r="I19" s="618"/>
      <c r="J19" s="614"/>
      <c r="K19" s="619"/>
      <c r="L19" s="618"/>
      <c r="M19" s="614"/>
      <c r="N19" s="619"/>
      <c r="O19" s="618"/>
      <c r="P19" s="614"/>
      <c r="Q19" s="619"/>
      <c r="R19" s="618"/>
      <c r="S19" s="614"/>
      <c r="T19" s="619"/>
      <c r="U19" s="618"/>
      <c r="V19" s="614"/>
      <c r="W19" s="619"/>
      <c r="X19" s="618"/>
      <c r="Y19" s="614"/>
      <c r="Z19" s="619"/>
      <c r="AA19" s="618"/>
      <c r="AB19" s="614"/>
      <c r="AC19" s="619"/>
      <c r="AD19" s="618"/>
      <c r="AE19" s="614"/>
      <c r="AF19" s="619"/>
      <c r="AG19" s="618"/>
      <c r="AH19" s="614"/>
      <c r="AI19" s="619"/>
      <c r="AJ19" s="618"/>
      <c r="AK19" s="614"/>
      <c r="AL19" s="619"/>
      <c r="AM19" s="618"/>
      <c r="AN19" s="614"/>
      <c r="AO19" s="619"/>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99</v>
      </c>
      <c r="C20" s="616"/>
      <c r="D20" s="614"/>
      <c r="E20" s="617"/>
      <c r="F20" s="616"/>
      <c r="G20" s="614"/>
      <c r="H20" s="617"/>
      <c r="I20" s="616"/>
      <c r="J20" s="614"/>
      <c r="K20" s="617"/>
      <c r="L20" s="616"/>
      <c r="M20" s="614"/>
      <c r="N20" s="617"/>
      <c r="O20" s="616"/>
      <c r="P20" s="614"/>
      <c r="Q20" s="617"/>
      <c r="R20" s="616"/>
      <c r="S20" s="614"/>
      <c r="T20" s="617"/>
      <c r="U20" s="616"/>
      <c r="V20" s="614"/>
      <c r="W20" s="617"/>
      <c r="X20" s="616"/>
      <c r="Y20" s="614"/>
      <c r="Z20" s="617"/>
      <c r="AA20" s="616"/>
      <c r="AB20" s="614"/>
      <c r="AC20" s="617"/>
      <c r="AD20" s="616"/>
      <c r="AE20" s="614"/>
      <c r="AF20" s="617"/>
      <c r="AG20" s="616"/>
      <c r="AH20" s="621"/>
      <c r="AI20" s="617"/>
      <c r="AJ20" s="616"/>
      <c r="AK20" s="621"/>
      <c r="AL20" s="617"/>
      <c r="AM20" s="616"/>
      <c r="AN20" s="621"/>
      <c r="AO20" s="617"/>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896"/>
      <c r="D21" s="897"/>
      <c r="E21" s="898"/>
      <c r="F21" s="896"/>
      <c r="G21" s="897"/>
      <c r="H21" s="898"/>
      <c r="I21" s="896"/>
      <c r="J21" s="897"/>
      <c r="K21" s="898"/>
      <c r="L21" s="896"/>
      <c r="M21" s="897"/>
      <c r="N21" s="898"/>
      <c r="O21" s="896"/>
      <c r="P21" s="897"/>
      <c r="Q21" s="898"/>
      <c r="R21" s="896"/>
      <c r="S21" s="897"/>
      <c r="T21" s="898"/>
      <c r="U21" s="896"/>
      <c r="V21" s="897"/>
      <c r="W21" s="898"/>
      <c r="X21" s="896"/>
      <c r="Y21" s="897"/>
      <c r="Z21" s="898"/>
      <c r="AA21" s="896"/>
      <c r="AB21" s="897"/>
      <c r="AC21" s="898"/>
      <c r="AD21" s="896"/>
      <c r="AE21" s="897"/>
      <c r="AF21" s="898"/>
      <c r="AG21" s="896"/>
      <c r="AH21" s="897"/>
      <c r="AI21" s="898"/>
      <c r="AJ21" s="896"/>
      <c r="AK21" s="897"/>
      <c r="AL21" s="898"/>
      <c r="AM21" s="896"/>
      <c r="AN21" s="897"/>
      <c r="AO21" s="898"/>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100</v>
      </c>
      <c r="C22" s="613"/>
      <c r="D22" s="614"/>
      <c r="E22" s="617"/>
      <c r="F22" s="613"/>
      <c r="G22" s="614"/>
      <c r="H22" s="617"/>
      <c r="I22" s="613"/>
      <c r="J22" s="614"/>
      <c r="K22" s="617"/>
      <c r="L22" s="613"/>
      <c r="M22" s="614"/>
      <c r="N22" s="617"/>
      <c r="O22" s="613"/>
      <c r="P22" s="614"/>
      <c r="Q22" s="617"/>
      <c r="R22" s="613"/>
      <c r="S22" s="614"/>
      <c r="T22" s="617"/>
      <c r="U22" s="613"/>
      <c r="V22" s="614"/>
      <c r="W22" s="617"/>
      <c r="X22" s="613"/>
      <c r="Y22" s="614"/>
      <c r="Z22" s="617"/>
      <c r="AA22" s="613"/>
      <c r="AB22" s="614"/>
      <c r="AC22" s="617"/>
      <c r="AD22" s="613"/>
      <c r="AE22" s="614"/>
      <c r="AF22" s="617"/>
      <c r="AG22" s="613"/>
      <c r="AH22" s="614"/>
      <c r="AI22" s="617"/>
      <c r="AJ22" s="613"/>
      <c r="AK22" s="614"/>
      <c r="AL22" s="617"/>
      <c r="AM22" s="613"/>
      <c r="AN22" s="614"/>
      <c r="AO22" s="617"/>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896"/>
      <c r="D23" s="897"/>
      <c r="E23" s="898"/>
      <c r="F23" s="896"/>
      <c r="G23" s="897"/>
      <c r="H23" s="898"/>
      <c r="I23" s="896"/>
      <c r="J23" s="897"/>
      <c r="K23" s="898"/>
      <c r="L23" s="896"/>
      <c r="M23" s="897"/>
      <c r="N23" s="898"/>
      <c r="O23" s="896"/>
      <c r="P23" s="897"/>
      <c r="Q23" s="898"/>
      <c r="R23" s="896"/>
      <c r="S23" s="897"/>
      <c r="T23" s="898"/>
      <c r="U23" s="896"/>
      <c r="V23" s="897"/>
      <c r="W23" s="898"/>
      <c r="X23" s="896"/>
      <c r="Y23" s="897"/>
      <c r="Z23" s="898"/>
      <c r="AA23" s="896"/>
      <c r="AB23" s="897"/>
      <c r="AC23" s="898"/>
      <c r="AD23" s="896"/>
      <c r="AE23" s="897"/>
      <c r="AF23" s="898"/>
      <c r="AG23" s="896"/>
      <c r="AH23" s="897"/>
      <c r="AI23" s="898"/>
      <c r="AJ23" s="896"/>
      <c r="AK23" s="897"/>
      <c r="AL23" s="898"/>
      <c r="AM23" s="896"/>
      <c r="AN23" s="897"/>
      <c r="AO23" s="898"/>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101</v>
      </c>
      <c r="C24" s="616"/>
      <c r="D24" s="614"/>
      <c r="E24" s="617"/>
      <c r="F24" s="616"/>
      <c r="G24" s="614"/>
      <c r="H24" s="617"/>
      <c r="I24" s="616"/>
      <c r="J24" s="614"/>
      <c r="K24" s="617"/>
      <c r="L24" s="616"/>
      <c r="M24" s="614"/>
      <c r="N24" s="617"/>
      <c r="O24" s="616"/>
      <c r="P24" s="614"/>
      <c r="Q24" s="617"/>
      <c r="R24" s="616"/>
      <c r="S24" s="614"/>
      <c r="T24" s="617"/>
      <c r="U24" s="616"/>
      <c r="V24" s="614"/>
      <c r="W24" s="617"/>
      <c r="X24" s="616"/>
      <c r="Y24" s="614"/>
      <c r="Z24" s="617"/>
      <c r="AA24" s="616"/>
      <c r="AB24" s="614"/>
      <c r="AC24" s="617"/>
      <c r="AD24" s="616"/>
      <c r="AE24" s="614"/>
      <c r="AF24" s="617"/>
      <c r="AG24" s="616"/>
      <c r="AH24" s="614"/>
      <c r="AI24" s="617"/>
      <c r="AJ24" s="616"/>
      <c r="AK24" s="614"/>
      <c r="AL24" s="617"/>
      <c r="AM24" s="616"/>
      <c r="AN24" s="614"/>
      <c r="AO24" s="617"/>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102</v>
      </c>
      <c r="C25" s="616"/>
      <c r="D25" s="614"/>
      <c r="E25" s="617"/>
      <c r="F25" s="616"/>
      <c r="G25" s="614"/>
      <c r="H25" s="617"/>
      <c r="I25" s="616"/>
      <c r="J25" s="614"/>
      <c r="K25" s="617"/>
      <c r="L25" s="616"/>
      <c r="M25" s="614"/>
      <c r="N25" s="617"/>
      <c r="O25" s="616"/>
      <c r="P25" s="614"/>
      <c r="Q25" s="617"/>
      <c r="R25" s="616"/>
      <c r="S25" s="614"/>
      <c r="T25" s="617"/>
      <c r="U25" s="616"/>
      <c r="V25" s="614"/>
      <c r="W25" s="617"/>
      <c r="X25" s="616"/>
      <c r="Y25" s="614"/>
      <c r="Z25" s="617"/>
      <c r="AA25" s="616"/>
      <c r="AB25" s="614"/>
      <c r="AC25" s="617"/>
      <c r="AD25" s="616"/>
      <c r="AE25" s="614"/>
      <c r="AF25" s="617"/>
      <c r="AG25" s="616"/>
      <c r="AH25" s="614"/>
      <c r="AI25" s="617"/>
      <c r="AJ25" s="616"/>
      <c r="AK25" s="614"/>
      <c r="AL25" s="617"/>
      <c r="AM25" s="616"/>
      <c r="AN25" s="614"/>
      <c r="AO25" s="617"/>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103</v>
      </c>
      <c r="C26" s="616"/>
      <c r="D26" s="614"/>
      <c r="E26" s="617"/>
      <c r="F26" s="616"/>
      <c r="G26" s="614"/>
      <c r="H26" s="617"/>
      <c r="I26" s="616"/>
      <c r="J26" s="614"/>
      <c r="K26" s="617"/>
      <c r="L26" s="616"/>
      <c r="M26" s="614"/>
      <c r="N26" s="617"/>
      <c r="O26" s="616"/>
      <c r="P26" s="614"/>
      <c r="Q26" s="617"/>
      <c r="R26" s="616"/>
      <c r="S26" s="614"/>
      <c r="T26" s="617"/>
      <c r="U26" s="616"/>
      <c r="V26" s="614"/>
      <c r="W26" s="617"/>
      <c r="X26" s="616"/>
      <c r="Y26" s="614"/>
      <c r="Z26" s="617"/>
      <c r="AA26" s="616"/>
      <c r="AB26" s="614"/>
      <c r="AC26" s="617"/>
      <c r="AD26" s="616"/>
      <c r="AE26" s="614"/>
      <c r="AF26" s="617"/>
      <c r="AG26" s="616"/>
      <c r="AH26" s="614"/>
      <c r="AI26" s="617"/>
      <c r="AJ26" s="616"/>
      <c r="AK26" s="614"/>
      <c r="AL26" s="617"/>
      <c r="AM26" s="616"/>
      <c r="AN26" s="614"/>
      <c r="AO26" s="617"/>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104</v>
      </c>
      <c r="C27" s="892"/>
      <c r="D27" s="893"/>
      <c r="E27" s="894"/>
      <c r="F27" s="892"/>
      <c r="G27" s="893"/>
      <c r="H27" s="894"/>
      <c r="I27" s="892"/>
      <c r="J27" s="893"/>
      <c r="K27" s="894"/>
      <c r="L27" s="892"/>
      <c r="M27" s="893"/>
      <c r="N27" s="894"/>
      <c r="O27" s="892"/>
      <c r="P27" s="893"/>
      <c r="Q27" s="894"/>
      <c r="R27" s="892"/>
      <c r="S27" s="893"/>
      <c r="T27" s="894"/>
      <c r="U27" s="892"/>
      <c r="V27" s="893"/>
      <c r="W27" s="894"/>
      <c r="X27" s="892"/>
      <c r="Y27" s="893"/>
      <c r="Z27" s="894"/>
      <c r="AA27" s="892"/>
      <c r="AB27" s="893"/>
      <c r="AC27" s="894"/>
      <c r="AD27" s="892"/>
      <c r="AE27" s="893"/>
      <c r="AF27" s="894"/>
      <c r="AG27" s="892"/>
      <c r="AH27" s="893"/>
      <c r="AI27" s="894"/>
      <c r="AJ27" s="892"/>
      <c r="AK27" s="893"/>
      <c r="AL27" s="894"/>
      <c r="AM27" s="892"/>
      <c r="AN27" s="893"/>
      <c r="AO27" s="894"/>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618"/>
      <c r="D28" s="625"/>
      <c r="E28" s="626"/>
      <c r="F28" s="618"/>
      <c r="G28" s="625"/>
      <c r="H28" s="626"/>
      <c r="I28" s="618"/>
      <c r="J28" s="625"/>
      <c r="K28" s="626"/>
      <c r="L28" s="618"/>
      <c r="M28" s="625"/>
      <c r="N28" s="626"/>
      <c r="O28" s="618"/>
      <c r="P28" s="625"/>
      <c r="Q28" s="626"/>
      <c r="R28" s="618"/>
      <c r="S28" s="625"/>
      <c r="T28" s="626"/>
      <c r="U28" s="618"/>
      <c r="V28" s="625"/>
      <c r="W28" s="626"/>
      <c r="X28" s="618"/>
      <c r="Y28" s="625"/>
      <c r="Z28" s="626"/>
      <c r="AA28" s="618"/>
      <c r="AB28" s="625"/>
      <c r="AC28" s="626"/>
      <c r="AD28" s="618"/>
      <c r="AE28" s="625"/>
      <c r="AF28" s="626"/>
      <c r="AG28" s="618"/>
      <c r="AH28" s="625"/>
      <c r="AI28" s="626"/>
      <c r="AJ28" s="618"/>
      <c r="AK28" s="625"/>
      <c r="AL28" s="626"/>
      <c r="AM28" s="618"/>
      <c r="AN28" s="625"/>
      <c r="AO28" s="626"/>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618"/>
      <c r="D29" s="625"/>
      <c r="E29" s="619"/>
      <c r="F29" s="618"/>
      <c r="G29" s="625"/>
      <c r="H29" s="619"/>
      <c r="I29" s="618"/>
      <c r="J29" s="625"/>
      <c r="K29" s="619"/>
      <c r="L29" s="618"/>
      <c r="M29" s="625"/>
      <c r="N29" s="619"/>
      <c r="O29" s="618"/>
      <c r="P29" s="625"/>
      <c r="Q29" s="619"/>
      <c r="R29" s="618"/>
      <c r="S29" s="625"/>
      <c r="T29" s="619"/>
      <c r="U29" s="618"/>
      <c r="V29" s="625"/>
      <c r="W29" s="619"/>
      <c r="X29" s="618"/>
      <c r="Y29" s="625"/>
      <c r="Z29" s="619"/>
      <c r="AA29" s="618"/>
      <c r="AB29" s="625"/>
      <c r="AC29" s="619"/>
      <c r="AD29" s="618"/>
      <c r="AE29" s="625"/>
      <c r="AF29" s="619"/>
      <c r="AG29" s="618"/>
      <c r="AH29" s="625"/>
      <c r="AI29" s="619"/>
      <c r="AJ29" s="618"/>
      <c r="AK29" s="625"/>
      <c r="AL29" s="619"/>
      <c r="AM29" s="618"/>
      <c r="AN29" s="625"/>
      <c r="AO29" s="619"/>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105</v>
      </c>
      <c r="C30" s="627"/>
      <c r="D30" s="628"/>
      <c r="E30" s="629"/>
      <c r="F30" s="627"/>
      <c r="G30" s="628"/>
      <c r="H30" s="629"/>
      <c r="I30" s="627"/>
      <c r="J30" s="628"/>
      <c r="K30" s="629"/>
      <c r="L30" s="627"/>
      <c r="M30" s="628"/>
      <c r="N30" s="629"/>
      <c r="O30" s="627"/>
      <c r="P30" s="628"/>
      <c r="Q30" s="629"/>
      <c r="R30" s="627"/>
      <c r="S30" s="628"/>
      <c r="T30" s="629"/>
      <c r="U30" s="627"/>
      <c r="V30" s="628"/>
      <c r="W30" s="986"/>
      <c r="X30" s="627"/>
      <c r="Y30" s="628"/>
      <c r="Z30" s="986"/>
      <c r="AA30" s="627"/>
      <c r="AB30" s="628"/>
      <c r="AC30" s="986"/>
      <c r="AD30" s="627"/>
      <c r="AE30" s="628"/>
      <c r="AF30" s="986"/>
      <c r="AG30" s="627"/>
      <c r="AH30" s="628"/>
      <c r="AI30" s="629"/>
      <c r="AJ30" s="627"/>
      <c r="AK30" s="628"/>
      <c r="AL30" s="629"/>
      <c r="AM30" s="627"/>
      <c r="AN30" s="628"/>
      <c r="AO30" s="629"/>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630"/>
      <c r="D31" s="631"/>
      <c r="E31" s="632"/>
      <c r="F31" s="630"/>
      <c r="G31" s="631"/>
      <c r="H31" s="632"/>
      <c r="I31" s="630"/>
      <c r="J31" s="631"/>
      <c r="K31" s="632"/>
      <c r="L31" s="630"/>
      <c r="M31" s="631"/>
      <c r="N31" s="632"/>
      <c r="O31" s="630"/>
      <c r="P31" s="631"/>
      <c r="Q31" s="632"/>
      <c r="R31" s="630"/>
      <c r="S31" s="631"/>
      <c r="T31" s="632"/>
      <c r="U31" s="630"/>
      <c r="V31" s="631"/>
      <c r="W31" s="987"/>
      <c r="X31" s="630"/>
      <c r="Y31" s="631"/>
      <c r="Z31" s="987"/>
      <c r="AA31" s="630"/>
      <c r="AB31" s="631"/>
      <c r="AC31" s="987"/>
      <c r="AD31" s="630"/>
      <c r="AE31" s="631"/>
      <c r="AF31" s="987"/>
      <c r="AG31" s="630"/>
      <c r="AH31" s="631"/>
      <c r="AI31" s="632"/>
      <c r="AJ31" s="630"/>
      <c r="AK31" s="631"/>
      <c r="AL31" s="632"/>
      <c r="AM31" s="630"/>
      <c r="AN31" s="631"/>
      <c r="AO31" s="632"/>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633"/>
      <c r="D32" s="634"/>
      <c r="E32" s="635"/>
      <c r="F32" s="633"/>
      <c r="G32" s="634"/>
      <c r="H32" s="635"/>
      <c r="I32" s="633"/>
      <c r="J32" s="634"/>
      <c r="K32" s="635"/>
      <c r="L32" s="633"/>
      <c r="M32" s="634"/>
      <c r="N32" s="635"/>
      <c r="O32" s="633"/>
      <c r="P32" s="634"/>
      <c r="Q32" s="635"/>
      <c r="R32" s="633"/>
      <c r="S32" s="634"/>
      <c r="T32" s="635"/>
      <c r="U32" s="633"/>
      <c r="V32" s="634"/>
      <c r="W32" s="667"/>
      <c r="X32" s="633"/>
      <c r="Y32" s="634"/>
      <c r="Z32" s="667"/>
      <c r="AA32" s="633"/>
      <c r="AB32" s="634"/>
      <c r="AC32" s="667"/>
      <c r="AD32" s="633"/>
      <c r="AE32" s="634"/>
      <c r="AF32" s="667"/>
      <c r="AG32" s="633"/>
      <c r="AH32" s="634"/>
      <c r="AI32" s="635"/>
      <c r="AJ32" s="633"/>
      <c r="AK32" s="634"/>
      <c r="AL32" s="635"/>
      <c r="AM32" s="633"/>
      <c r="AN32" s="634"/>
      <c r="AO32" s="635"/>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106</v>
      </c>
      <c r="C33" s="618"/>
      <c r="D33" s="636"/>
      <c r="E33" s="619"/>
      <c r="F33" s="618"/>
      <c r="G33" s="636"/>
      <c r="H33" s="619"/>
      <c r="I33" s="618"/>
      <c r="J33" s="636"/>
      <c r="K33" s="619"/>
      <c r="L33" s="618"/>
      <c r="M33" s="636"/>
      <c r="N33" s="619"/>
      <c r="O33" s="618"/>
      <c r="P33" s="636"/>
      <c r="Q33" s="619"/>
      <c r="R33" s="618"/>
      <c r="S33" s="636"/>
      <c r="T33" s="619"/>
      <c r="U33" s="618"/>
      <c r="V33" s="636"/>
      <c r="W33" s="619"/>
      <c r="X33" s="618"/>
      <c r="Y33" s="636"/>
      <c r="Z33" s="619"/>
      <c r="AA33" s="618"/>
      <c r="AB33" s="636"/>
      <c r="AC33" s="619"/>
      <c r="AD33" s="618"/>
      <c r="AE33" s="636"/>
      <c r="AF33" s="619"/>
      <c r="AG33" s="618"/>
      <c r="AH33" s="636"/>
      <c r="AI33" s="619"/>
      <c r="AJ33" s="618"/>
      <c r="AK33" s="636"/>
      <c r="AL33" s="619"/>
      <c r="AM33" s="618"/>
      <c r="AN33" s="636"/>
      <c r="AO33" s="619"/>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107</v>
      </c>
      <c r="C34" s="637"/>
      <c r="D34" s="638"/>
      <c r="E34" s="639"/>
      <c r="F34" s="637"/>
      <c r="G34" s="638"/>
      <c r="H34" s="639"/>
      <c r="I34" s="637"/>
      <c r="J34" s="638"/>
      <c r="K34" s="639"/>
      <c r="L34" s="637"/>
      <c r="M34" s="638"/>
      <c r="N34" s="639"/>
      <c r="O34" s="637"/>
      <c r="P34" s="638"/>
      <c r="Q34" s="639"/>
      <c r="R34" s="637"/>
      <c r="S34" s="638"/>
      <c r="T34" s="639"/>
      <c r="U34" s="637"/>
      <c r="V34" s="638"/>
      <c r="W34" s="639"/>
      <c r="X34" s="637"/>
      <c r="Y34" s="638"/>
      <c r="Z34" s="639"/>
      <c r="AA34" s="637"/>
      <c r="AB34" s="638"/>
      <c r="AC34" s="639"/>
      <c r="AD34" s="637"/>
      <c r="AE34" s="638"/>
      <c r="AF34" s="639"/>
      <c r="AG34" s="637"/>
      <c r="AH34" s="638"/>
      <c r="AI34" s="639"/>
      <c r="AJ34" s="637"/>
      <c r="AK34" s="638"/>
      <c r="AL34" s="639"/>
      <c r="AM34" s="637"/>
      <c r="AN34" s="638"/>
      <c r="AO34" s="988"/>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108</v>
      </c>
      <c r="C35" s="640"/>
      <c r="D35" s="641"/>
      <c r="E35" s="643"/>
      <c r="F35" s="640"/>
      <c r="G35" s="641"/>
      <c r="H35" s="643"/>
      <c r="I35" s="640"/>
      <c r="J35" s="641"/>
      <c r="K35" s="643"/>
      <c r="L35" s="640"/>
      <c r="M35" s="641"/>
      <c r="N35" s="643"/>
      <c r="O35" s="640"/>
      <c r="P35" s="641"/>
      <c r="Q35" s="643"/>
      <c r="R35" s="640"/>
      <c r="S35" s="641"/>
      <c r="T35" s="643"/>
      <c r="U35" s="640"/>
      <c r="V35" s="641"/>
      <c r="W35" s="643"/>
      <c r="X35" s="640"/>
      <c r="Y35" s="641"/>
      <c r="Z35" s="643"/>
      <c r="AA35" s="640"/>
      <c r="AB35" s="641"/>
      <c r="AC35" s="643"/>
      <c r="AD35" s="640"/>
      <c r="AE35" s="641"/>
      <c r="AF35" s="643"/>
      <c r="AG35" s="640"/>
      <c r="AH35" s="641"/>
      <c r="AI35" s="643"/>
      <c r="AJ35" s="640"/>
      <c r="AK35" s="641"/>
      <c r="AL35" s="643"/>
      <c r="AM35" s="640"/>
      <c r="AN35" s="641"/>
      <c r="AO35" s="989"/>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109</v>
      </c>
      <c r="C36" s="618"/>
      <c r="D36" s="638"/>
      <c r="E36" s="639"/>
      <c r="F36" s="618"/>
      <c r="G36" s="638"/>
      <c r="H36" s="639"/>
      <c r="I36" s="618"/>
      <c r="J36" s="638"/>
      <c r="K36" s="639"/>
      <c r="L36" s="618"/>
      <c r="M36" s="638"/>
      <c r="N36" s="639"/>
      <c r="O36" s="618"/>
      <c r="P36" s="638"/>
      <c r="Q36" s="639"/>
      <c r="R36" s="618"/>
      <c r="S36" s="638"/>
      <c r="T36" s="639"/>
      <c r="U36" s="618"/>
      <c r="V36" s="638"/>
      <c r="W36" s="639"/>
      <c r="X36" s="618"/>
      <c r="Y36" s="638"/>
      <c r="Z36" s="639"/>
      <c r="AA36" s="618"/>
      <c r="AB36" s="638"/>
      <c r="AC36" s="639"/>
      <c r="AD36" s="618"/>
      <c r="AE36" s="638"/>
      <c r="AF36" s="639"/>
      <c r="AG36" s="618"/>
      <c r="AH36" s="638"/>
      <c r="AI36" s="639"/>
      <c r="AJ36" s="618"/>
      <c r="AK36" s="638"/>
      <c r="AL36" s="639"/>
      <c r="AM36" s="618"/>
      <c r="AN36" s="638"/>
      <c r="AO36" s="988"/>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110</v>
      </c>
      <c r="C37" s="618"/>
      <c r="D37" s="638"/>
      <c r="E37" s="639"/>
      <c r="F37" s="618"/>
      <c r="G37" s="638"/>
      <c r="H37" s="639"/>
      <c r="I37" s="618"/>
      <c r="J37" s="638"/>
      <c r="K37" s="639"/>
      <c r="L37" s="618"/>
      <c r="M37" s="638"/>
      <c r="N37" s="639"/>
      <c r="O37" s="618"/>
      <c r="P37" s="638"/>
      <c r="Q37" s="639"/>
      <c r="R37" s="618"/>
      <c r="S37" s="638"/>
      <c r="T37" s="639"/>
      <c r="U37" s="618"/>
      <c r="V37" s="638"/>
      <c r="W37" s="639"/>
      <c r="X37" s="618"/>
      <c r="Y37" s="638"/>
      <c r="Z37" s="639"/>
      <c r="AA37" s="618"/>
      <c r="AB37" s="638"/>
      <c r="AC37" s="639"/>
      <c r="AD37" s="618"/>
      <c r="AE37" s="638"/>
      <c r="AF37" s="639"/>
      <c r="AG37" s="618"/>
      <c r="AH37" s="638"/>
      <c r="AI37" s="639"/>
      <c r="AJ37" s="618"/>
      <c r="AK37" s="638"/>
      <c r="AL37" s="639"/>
      <c r="AM37" s="618"/>
      <c r="AN37" s="638"/>
      <c r="AO37" s="988"/>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111</v>
      </c>
      <c r="C38" s="644"/>
      <c r="D38" s="641"/>
      <c r="E38" s="643"/>
      <c r="F38" s="644"/>
      <c r="G38" s="641"/>
      <c r="H38" s="643"/>
      <c r="I38" s="644"/>
      <c r="J38" s="641"/>
      <c r="K38" s="643"/>
      <c r="L38" s="644"/>
      <c r="M38" s="641"/>
      <c r="N38" s="643"/>
      <c r="O38" s="644"/>
      <c r="P38" s="641"/>
      <c r="Q38" s="643"/>
      <c r="R38" s="644"/>
      <c r="S38" s="641"/>
      <c r="T38" s="643"/>
      <c r="U38" s="644"/>
      <c r="V38" s="641"/>
      <c r="W38" s="643"/>
      <c r="X38" s="644"/>
      <c r="Y38" s="641"/>
      <c r="Z38" s="643"/>
      <c r="AA38" s="644"/>
      <c r="AB38" s="641"/>
      <c r="AC38" s="643"/>
      <c r="AD38" s="644"/>
      <c r="AE38" s="641"/>
      <c r="AF38" s="643"/>
      <c r="AG38" s="644"/>
      <c r="AH38" s="641"/>
      <c r="AI38" s="643"/>
      <c r="AJ38" s="644"/>
      <c r="AK38" s="641"/>
      <c r="AL38" s="643"/>
      <c r="AM38" s="644"/>
      <c r="AN38" s="641"/>
      <c r="AO38" s="989"/>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112</v>
      </c>
      <c r="C39" s="618"/>
      <c r="D39" s="638"/>
      <c r="E39" s="639"/>
      <c r="F39" s="618"/>
      <c r="G39" s="638"/>
      <c r="H39" s="639"/>
      <c r="I39" s="618"/>
      <c r="J39" s="638"/>
      <c r="K39" s="639"/>
      <c r="L39" s="618"/>
      <c r="M39" s="638"/>
      <c r="N39" s="639"/>
      <c r="O39" s="618"/>
      <c r="P39" s="638"/>
      <c r="Q39" s="639"/>
      <c r="R39" s="618"/>
      <c r="S39" s="638"/>
      <c r="T39" s="639"/>
      <c r="U39" s="618"/>
      <c r="V39" s="638"/>
      <c r="W39" s="639"/>
      <c r="X39" s="618"/>
      <c r="Y39" s="638"/>
      <c r="Z39" s="639"/>
      <c r="AA39" s="618"/>
      <c r="AB39" s="638"/>
      <c r="AC39" s="639"/>
      <c r="AD39" s="618"/>
      <c r="AE39" s="638"/>
      <c r="AF39" s="639"/>
      <c r="AG39" s="618"/>
      <c r="AH39" s="638"/>
      <c r="AI39" s="639"/>
      <c r="AJ39" s="618"/>
      <c r="AK39" s="638"/>
      <c r="AL39" s="639"/>
      <c r="AM39" s="618"/>
      <c r="AN39" s="638"/>
      <c r="AO39" s="988"/>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113</v>
      </c>
      <c r="C40" s="618"/>
      <c r="D40" s="638"/>
      <c r="E40" s="639"/>
      <c r="F40" s="618"/>
      <c r="G40" s="638"/>
      <c r="H40" s="639"/>
      <c r="I40" s="618"/>
      <c r="J40" s="638"/>
      <c r="K40" s="639"/>
      <c r="L40" s="618"/>
      <c r="M40" s="638"/>
      <c r="N40" s="639"/>
      <c r="O40" s="618"/>
      <c r="P40" s="638"/>
      <c r="Q40" s="639"/>
      <c r="R40" s="618"/>
      <c r="S40" s="638"/>
      <c r="T40" s="639"/>
      <c r="U40" s="618"/>
      <c r="V40" s="638"/>
      <c r="W40" s="639"/>
      <c r="X40" s="618"/>
      <c r="Y40" s="638"/>
      <c r="Z40" s="639"/>
      <c r="AA40" s="618"/>
      <c r="AB40" s="638"/>
      <c r="AC40" s="639"/>
      <c r="AD40" s="618"/>
      <c r="AE40" s="638"/>
      <c r="AF40" s="639"/>
      <c r="AG40" s="618"/>
      <c r="AH40" s="638"/>
      <c r="AI40" s="639"/>
      <c r="AJ40" s="618"/>
      <c r="AK40" s="638"/>
      <c r="AL40" s="639"/>
      <c r="AM40" s="618"/>
      <c r="AN40" s="638"/>
      <c r="AO40" s="988"/>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55</v>
      </c>
      <c r="C41" s="618"/>
      <c r="D41" s="638"/>
      <c r="E41" s="626"/>
      <c r="F41" s="618"/>
      <c r="G41" s="638"/>
      <c r="H41" s="626"/>
      <c r="I41" s="618"/>
      <c r="J41" s="638"/>
      <c r="K41" s="626"/>
      <c r="L41" s="618"/>
      <c r="M41" s="638"/>
      <c r="N41" s="626"/>
      <c r="O41" s="618"/>
      <c r="P41" s="638"/>
      <c r="Q41" s="626"/>
      <c r="R41" s="618"/>
      <c r="S41" s="638"/>
      <c r="T41" s="626"/>
      <c r="U41" s="618"/>
      <c r="V41" s="638"/>
      <c r="W41" s="626"/>
      <c r="X41" s="618"/>
      <c r="Y41" s="638"/>
      <c r="Z41" s="626"/>
      <c r="AA41" s="618"/>
      <c r="AB41" s="638"/>
      <c r="AC41" s="626"/>
      <c r="AD41" s="618"/>
      <c r="AE41" s="638"/>
      <c r="AF41" s="626"/>
      <c r="AG41" s="618"/>
      <c r="AH41" s="638"/>
      <c r="AI41" s="626"/>
      <c r="AJ41" s="618"/>
      <c r="AK41" s="638"/>
      <c r="AL41" s="626"/>
      <c r="AM41" s="618"/>
      <c r="AN41" s="638"/>
      <c r="AO41" s="626"/>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55</v>
      </c>
      <c r="C42" s="618"/>
      <c r="D42" s="638"/>
      <c r="E42" s="626"/>
      <c r="F42" s="618"/>
      <c r="G42" s="638"/>
      <c r="H42" s="626"/>
      <c r="I42" s="618"/>
      <c r="J42" s="638"/>
      <c r="K42" s="626"/>
      <c r="L42" s="618"/>
      <c r="M42" s="638"/>
      <c r="N42" s="626"/>
      <c r="O42" s="618"/>
      <c r="P42" s="638"/>
      <c r="Q42" s="626"/>
      <c r="R42" s="618"/>
      <c r="S42" s="638"/>
      <c r="T42" s="626"/>
      <c r="U42" s="618"/>
      <c r="V42" s="638"/>
      <c r="W42" s="626"/>
      <c r="X42" s="618"/>
      <c r="Y42" s="638"/>
      <c r="Z42" s="626"/>
      <c r="AA42" s="618"/>
      <c r="AB42" s="638"/>
      <c r="AC42" s="626"/>
      <c r="AD42" s="618"/>
      <c r="AE42" s="638"/>
      <c r="AF42" s="626"/>
      <c r="AG42" s="618"/>
      <c r="AH42" s="638"/>
      <c r="AI42" s="626"/>
      <c r="AJ42" s="618"/>
      <c r="AK42" s="638"/>
      <c r="AL42" s="626"/>
      <c r="AM42" s="618"/>
      <c r="AN42" s="638"/>
      <c r="AO42" s="626"/>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55</v>
      </c>
      <c r="C43" s="644"/>
      <c r="D43" s="638"/>
      <c r="E43" s="626"/>
      <c r="F43" s="644"/>
      <c r="G43" s="638"/>
      <c r="H43" s="626"/>
      <c r="I43" s="644"/>
      <c r="J43" s="638"/>
      <c r="K43" s="626"/>
      <c r="L43" s="644"/>
      <c r="M43" s="638"/>
      <c r="N43" s="626"/>
      <c r="O43" s="644"/>
      <c r="P43" s="638"/>
      <c r="Q43" s="626"/>
      <c r="R43" s="644"/>
      <c r="S43" s="638"/>
      <c r="T43" s="626"/>
      <c r="U43" s="644"/>
      <c r="V43" s="638"/>
      <c r="W43" s="626"/>
      <c r="X43" s="644"/>
      <c r="Y43" s="638"/>
      <c r="Z43" s="626"/>
      <c r="AA43" s="644"/>
      <c r="AB43" s="638"/>
      <c r="AC43" s="626"/>
      <c r="AD43" s="644"/>
      <c r="AE43" s="638"/>
      <c r="AF43" s="626"/>
      <c r="AG43" s="644"/>
      <c r="AH43" s="638"/>
      <c r="AI43" s="626"/>
      <c r="AJ43" s="644"/>
      <c r="AK43" s="638"/>
      <c r="AL43" s="626"/>
      <c r="AM43" s="644"/>
      <c r="AN43" s="638"/>
      <c r="AO43" s="626"/>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114</v>
      </c>
      <c r="C44" s="903"/>
      <c r="D44" s="904"/>
      <c r="E44" s="905"/>
      <c r="F44" s="903"/>
      <c r="G44" s="904"/>
      <c r="H44" s="905"/>
      <c r="I44" s="903"/>
      <c r="J44" s="904"/>
      <c r="K44" s="905"/>
      <c r="L44" s="903"/>
      <c r="M44" s="904"/>
      <c r="N44" s="905"/>
      <c r="O44" s="903"/>
      <c r="P44" s="904"/>
      <c r="Q44" s="905"/>
      <c r="R44" s="903"/>
      <c r="S44" s="904"/>
      <c r="T44" s="905"/>
      <c r="U44" s="903"/>
      <c r="V44" s="904"/>
      <c r="W44" s="990"/>
      <c r="X44" s="903"/>
      <c r="Y44" s="904"/>
      <c r="Z44" s="990"/>
      <c r="AA44" s="903"/>
      <c r="AB44" s="904"/>
      <c r="AC44" s="990"/>
      <c r="AD44" s="903"/>
      <c r="AE44" s="904"/>
      <c r="AF44" s="990"/>
      <c r="AG44" s="903"/>
      <c r="AH44" s="904"/>
      <c r="AI44" s="905"/>
      <c r="AJ44" s="903"/>
      <c r="AK44" s="904"/>
      <c r="AL44" s="905"/>
      <c r="AM44" s="903"/>
      <c r="AN44" s="904"/>
      <c r="AO44" s="905"/>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116</v>
      </c>
      <c r="C45" s="618"/>
      <c r="D45" s="625"/>
      <c r="E45" s="639"/>
      <c r="F45" s="618"/>
      <c r="G45" s="625"/>
      <c r="H45" s="639"/>
      <c r="I45" s="618"/>
      <c r="J45" s="625"/>
      <c r="K45" s="639"/>
      <c r="L45" s="618"/>
      <c r="M45" s="625"/>
      <c r="N45" s="639"/>
      <c r="O45" s="618"/>
      <c r="P45" s="625"/>
      <c r="Q45" s="639"/>
      <c r="R45" s="618"/>
      <c r="S45" s="625"/>
      <c r="T45" s="639"/>
      <c r="U45" s="618"/>
      <c r="V45" s="625"/>
      <c r="W45" s="639"/>
      <c r="X45" s="618"/>
      <c r="Y45" s="625"/>
      <c r="Z45" s="639"/>
      <c r="AA45" s="618"/>
      <c r="AB45" s="625"/>
      <c r="AC45" s="639"/>
      <c r="AD45" s="618"/>
      <c r="AE45" s="625"/>
      <c r="AF45" s="639"/>
      <c r="AG45" s="618"/>
      <c r="AH45" s="625"/>
      <c r="AI45" s="639"/>
      <c r="AJ45" s="618"/>
      <c r="AK45" s="625"/>
      <c r="AL45" s="639"/>
      <c r="AM45" s="618"/>
      <c r="AN45" s="625"/>
      <c r="AO45" s="988"/>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117</v>
      </c>
      <c r="C46" s="618"/>
      <c r="D46" s="625"/>
      <c r="E46" s="639"/>
      <c r="F46" s="618"/>
      <c r="G46" s="625"/>
      <c r="H46" s="639"/>
      <c r="I46" s="618"/>
      <c r="J46" s="625"/>
      <c r="K46" s="639"/>
      <c r="L46" s="618"/>
      <c r="M46" s="625"/>
      <c r="N46" s="639"/>
      <c r="O46" s="618"/>
      <c r="P46" s="625"/>
      <c r="Q46" s="639"/>
      <c r="R46" s="618"/>
      <c r="S46" s="625"/>
      <c r="T46" s="639"/>
      <c r="U46" s="618"/>
      <c r="V46" s="625"/>
      <c r="W46" s="639"/>
      <c r="X46" s="618"/>
      <c r="Y46" s="625"/>
      <c r="Z46" s="639"/>
      <c r="AA46" s="618"/>
      <c r="AB46" s="625"/>
      <c r="AC46" s="639"/>
      <c r="AD46" s="618"/>
      <c r="AE46" s="625"/>
      <c r="AF46" s="639"/>
      <c r="AG46" s="618"/>
      <c r="AH46" s="625"/>
      <c r="AI46" s="639"/>
      <c r="AJ46" s="618"/>
      <c r="AK46" s="625"/>
      <c r="AL46" s="639"/>
      <c r="AM46" s="618"/>
      <c r="AN46" s="625"/>
      <c r="AO46" s="988"/>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118</v>
      </c>
      <c r="C47" s="890"/>
      <c r="D47" s="908"/>
      <c r="E47" s="910"/>
      <c r="F47" s="890"/>
      <c r="G47" s="908"/>
      <c r="H47" s="910"/>
      <c r="I47" s="890"/>
      <c r="J47" s="908"/>
      <c r="K47" s="910"/>
      <c r="L47" s="890"/>
      <c r="M47" s="908"/>
      <c r="N47" s="910"/>
      <c r="O47" s="890"/>
      <c r="P47" s="908"/>
      <c r="Q47" s="910"/>
      <c r="R47" s="890"/>
      <c r="S47" s="908"/>
      <c r="T47" s="910"/>
      <c r="U47" s="890"/>
      <c r="V47" s="908"/>
      <c r="W47" s="910"/>
      <c r="X47" s="890"/>
      <c r="Y47" s="908"/>
      <c r="Z47" s="910"/>
      <c r="AA47" s="890"/>
      <c r="AB47" s="908"/>
      <c r="AC47" s="910"/>
      <c r="AD47" s="890"/>
      <c r="AE47" s="908"/>
      <c r="AF47" s="910"/>
      <c r="AG47" s="890"/>
      <c r="AH47" s="908"/>
      <c r="AI47" s="910"/>
      <c r="AJ47" s="890"/>
      <c r="AK47" s="908"/>
      <c r="AL47" s="910"/>
      <c r="AM47" s="890"/>
      <c r="AN47" s="908"/>
      <c r="AO47" s="991"/>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119</v>
      </c>
      <c r="C48" s="618"/>
      <c r="D48" s="625"/>
      <c r="E48" s="639"/>
      <c r="F48" s="618"/>
      <c r="G48" s="625"/>
      <c r="H48" s="639"/>
      <c r="I48" s="618"/>
      <c r="J48" s="625"/>
      <c r="K48" s="639"/>
      <c r="L48" s="618"/>
      <c r="M48" s="625"/>
      <c r="N48" s="639"/>
      <c r="O48" s="618"/>
      <c r="P48" s="625"/>
      <c r="Q48" s="639"/>
      <c r="R48" s="618"/>
      <c r="S48" s="625"/>
      <c r="T48" s="639"/>
      <c r="U48" s="618"/>
      <c r="V48" s="625"/>
      <c r="W48" s="639"/>
      <c r="X48" s="618"/>
      <c r="Y48" s="625"/>
      <c r="Z48" s="639"/>
      <c r="AA48" s="618"/>
      <c r="AB48" s="625"/>
      <c r="AC48" s="639"/>
      <c r="AD48" s="618"/>
      <c r="AE48" s="625"/>
      <c r="AF48" s="639"/>
      <c r="AG48" s="618"/>
      <c r="AH48" s="625"/>
      <c r="AI48" s="639"/>
      <c r="AJ48" s="618"/>
      <c r="AK48" s="625"/>
      <c r="AL48" s="639"/>
      <c r="AM48" s="618"/>
      <c r="AN48" s="625"/>
      <c r="AO48" s="988"/>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55</v>
      </c>
      <c r="C49" s="618"/>
      <c r="D49" s="625"/>
      <c r="E49" s="639"/>
      <c r="F49" s="618"/>
      <c r="G49" s="625"/>
      <c r="H49" s="639"/>
      <c r="I49" s="618"/>
      <c r="J49" s="625"/>
      <c r="K49" s="639"/>
      <c r="L49" s="618"/>
      <c r="M49" s="625"/>
      <c r="N49" s="639"/>
      <c r="O49" s="618"/>
      <c r="P49" s="625"/>
      <c r="Q49" s="639"/>
      <c r="R49" s="618"/>
      <c r="S49" s="625"/>
      <c r="T49" s="639"/>
      <c r="U49" s="618"/>
      <c r="V49" s="625"/>
      <c r="W49" s="639"/>
      <c r="X49" s="618"/>
      <c r="Y49" s="625"/>
      <c r="Z49" s="639"/>
      <c r="AA49" s="618"/>
      <c r="AB49" s="625"/>
      <c r="AC49" s="639"/>
      <c r="AD49" s="618"/>
      <c r="AE49" s="625"/>
      <c r="AF49" s="639"/>
      <c r="AG49" s="618"/>
      <c r="AH49" s="625"/>
      <c r="AI49" s="639"/>
      <c r="AJ49" s="618"/>
      <c r="AK49" s="625"/>
      <c r="AL49" s="639"/>
      <c r="AM49" s="618"/>
      <c r="AN49" s="625"/>
      <c r="AO49" s="988"/>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55</v>
      </c>
      <c r="C50" s="618"/>
      <c r="D50" s="625"/>
      <c r="E50" s="639"/>
      <c r="F50" s="618"/>
      <c r="G50" s="625"/>
      <c r="H50" s="639"/>
      <c r="I50" s="618"/>
      <c r="J50" s="625"/>
      <c r="K50" s="639"/>
      <c r="L50" s="618"/>
      <c r="M50" s="625"/>
      <c r="N50" s="639"/>
      <c r="O50" s="618"/>
      <c r="P50" s="625"/>
      <c r="Q50" s="639"/>
      <c r="R50" s="618"/>
      <c r="S50" s="625"/>
      <c r="T50" s="639"/>
      <c r="U50" s="618"/>
      <c r="V50" s="625"/>
      <c r="W50" s="639"/>
      <c r="X50" s="618"/>
      <c r="Y50" s="625"/>
      <c r="Z50" s="639"/>
      <c r="AA50" s="618"/>
      <c r="AB50" s="625"/>
      <c r="AC50" s="639"/>
      <c r="AD50" s="618"/>
      <c r="AE50" s="625"/>
      <c r="AF50" s="639"/>
      <c r="AG50" s="618"/>
      <c r="AH50" s="625"/>
      <c r="AI50" s="639"/>
      <c r="AJ50" s="618"/>
      <c r="AK50" s="625"/>
      <c r="AL50" s="639"/>
      <c r="AM50" s="618"/>
      <c r="AN50" s="625"/>
      <c r="AO50" s="988"/>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55</v>
      </c>
      <c r="C51" s="618"/>
      <c r="D51" s="625"/>
      <c r="E51" s="639"/>
      <c r="F51" s="618"/>
      <c r="G51" s="625"/>
      <c r="H51" s="639"/>
      <c r="I51" s="618"/>
      <c r="J51" s="625"/>
      <c r="K51" s="639"/>
      <c r="L51" s="618"/>
      <c r="M51" s="625"/>
      <c r="N51" s="639"/>
      <c r="O51" s="618"/>
      <c r="P51" s="625"/>
      <c r="Q51" s="639"/>
      <c r="R51" s="618"/>
      <c r="S51" s="625"/>
      <c r="T51" s="639"/>
      <c r="U51" s="618"/>
      <c r="V51" s="625"/>
      <c r="W51" s="639"/>
      <c r="X51" s="618"/>
      <c r="Y51" s="625"/>
      <c r="Z51" s="639"/>
      <c r="AA51" s="618"/>
      <c r="AB51" s="625"/>
      <c r="AC51" s="639"/>
      <c r="AD51" s="618"/>
      <c r="AE51" s="625"/>
      <c r="AF51" s="639"/>
      <c r="AG51" s="618"/>
      <c r="AH51" s="625"/>
      <c r="AI51" s="639"/>
      <c r="AJ51" s="618"/>
      <c r="AK51" s="625"/>
      <c r="AL51" s="639"/>
      <c r="AM51" s="618"/>
      <c r="AN51" s="625"/>
      <c r="AO51" s="988"/>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120</v>
      </c>
      <c r="C52" s="618"/>
      <c r="D52" s="625"/>
      <c r="E52" s="639"/>
      <c r="F52" s="618"/>
      <c r="G52" s="625"/>
      <c r="H52" s="639"/>
      <c r="I52" s="618"/>
      <c r="J52" s="625"/>
      <c r="K52" s="639"/>
      <c r="L52" s="618"/>
      <c r="M52" s="625"/>
      <c r="N52" s="639"/>
      <c r="O52" s="618"/>
      <c r="P52" s="625"/>
      <c r="Q52" s="639"/>
      <c r="R52" s="618"/>
      <c r="S52" s="625"/>
      <c r="T52" s="639"/>
      <c r="U52" s="618"/>
      <c r="V52" s="625"/>
      <c r="W52" s="639"/>
      <c r="X52" s="618"/>
      <c r="Y52" s="625"/>
      <c r="Z52" s="639"/>
      <c r="AA52" s="618"/>
      <c r="AB52" s="625"/>
      <c r="AC52" s="639"/>
      <c r="AD52" s="618"/>
      <c r="AE52" s="625"/>
      <c r="AF52" s="639"/>
      <c r="AG52" s="618"/>
      <c r="AH52" s="625"/>
      <c r="AI52" s="639"/>
      <c r="AJ52" s="618"/>
      <c r="AK52" s="625"/>
      <c r="AL52" s="639"/>
      <c r="AM52" s="618"/>
      <c r="AN52" s="625"/>
      <c r="AO52" s="988"/>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121</v>
      </c>
      <c r="C53" s="890"/>
      <c r="D53" s="908"/>
      <c r="E53" s="910"/>
      <c r="F53" s="890"/>
      <c r="G53" s="908"/>
      <c r="H53" s="910"/>
      <c r="I53" s="890"/>
      <c r="J53" s="908"/>
      <c r="K53" s="910"/>
      <c r="L53" s="890"/>
      <c r="M53" s="908"/>
      <c r="N53" s="910"/>
      <c r="O53" s="890"/>
      <c r="P53" s="908"/>
      <c r="Q53" s="910"/>
      <c r="R53" s="890"/>
      <c r="S53" s="908"/>
      <c r="T53" s="910"/>
      <c r="U53" s="890"/>
      <c r="V53" s="908"/>
      <c r="W53" s="910"/>
      <c r="X53" s="890"/>
      <c r="Y53" s="908"/>
      <c r="Z53" s="910"/>
      <c r="AA53" s="890"/>
      <c r="AB53" s="908"/>
      <c r="AC53" s="910"/>
      <c r="AD53" s="890"/>
      <c r="AE53" s="908"/>
      <c r="AF53" s="910"/>
      <c r="AG53" s="890"/>
      <c r="AH53" s="908"/>
      <c r="AI53" s="910"/>
      <c r="AJ53" s="890"/>
      <c r="AK53" s="908"/>
      <c r="AL53" s="910"/>
      <c r="AM53" s="890"/>
      <c r="AN53" s="908"/>
      <c r="AO53" s="991"/>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122</v>
      </c>
      <c r="C54" s="618"/>
      <c r="D54" s="625"/>
      <c r="E54" s="639"/>
      <c r="F54" s="618"/>
      <c r="G54" s="625"/>
      <c r="H54" s="639"/>
      <c r="I54" s="618"/>
      <c r="J54" s="625"/>
      <c r="K54" s="639"/>
      <c r="L54" s="618"/>
      <c r="M54" s="625"/>
      <c r="N54" s="639"/>
      <c r="O54" s="618"/>
      <c r="P54" s="625"/>
      <c r="Q54" s="639"/>
      <c r="R54" s="618"/>
      <c r="S54" s="625"/>
      <c r="T54" s="639"/>
      <c r="U54" s="618"/>
      <c r="V54" s="625"/>
      <c r="W54" s="639"/>
      <c r="X54" s="618"/>
      <c r="Y54" s="625"/>
      <c r="Z54" s="639"/>
      <c r="AA54" s="618"/>
      <c r="AB54" s="625"/>
      <c r="AC54" s="639"/>
      <c r="AD54" s="618"/>
      <c r="AE54" s="625"/>
      <c r="AF54" s="639"/>
      <c r="AG54" s="618"/>
      <c r="AH54" s="625"/>
      <c r="AI54" s="639"/>
      <c r="AJ54" s="618"/>
      <c r="AK54" s="625"/>
      <c r="AL54" s="639"/>
      <c r="AM54" s="618"/>
      <c r="AN54" s="625"/>
      <c r="AO54" s="988"/>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123</v>
      </c>
      <c r="C55" s="618"/>
      <c r="D55" s="625"/>
      <c r="E55" s="639"/>
      <c r="F55" s="618"/>
      <c r="G55" s="625"/>
      <c r="H55" s="639"/>
      <c r="I55" s="618"/>
      <c r="J55" s="625"/>
      <c r="K55" s="639"/>
      <c r="L55" s="618"/>
      <c r="M55" s="625"/>
      <c r="N55" s="639"/>
      <c r="O55" s="618"/>
      <c r="P55" s="625"/>
      <c r="Q55" s="639"/>
      <c r="R55" s="618"/>
      <c r="S55" s="625"/>
      <c r="T55" s="639"/>
      <c r="U55" s="618"/>
      <c r="V55" s="625"/>
      <c r="W55" s="639"/>
      <c r="X55" s="618"/>
      <c r="Y55" s="625"/>
      <c r="Z55" s="639"/>
      <c r="AA55" s="618"/>
      <c r="AB55" s="625"/>
      <c r="AC55" s="639"/>
      <c r="AD55" s="618"/>
      <c r="AE55" s="625"/>
      <c r="AF55" s="639"/>
      <c r="AG55" s="618"/>
      <c r="AH55" s="625"/>
      <c r="AI55" s="639"/>
      <c r="AJ55" s="618"/>
      <c r="AK55" s="625"/>
      <c r="AL55" s="639"/>
      <c r="AM55" s="618"/>
      <c r="AN55" s="625"/>
      <c r="AO55" s="988"/>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55</v>
      </c>
      <c r="C56" s="644"/>
      <c r="D56" s="645"/>
      <c r="E56" s="642"/>
      <c r="F56" s="644"/>
      <c r="G56" s="645"/>
      <c r="H56" s="642"/>
      <c r="I56" s="644"/>
      <c r="J56" s="645"/>
      <c r="K56" s="642"/>
      <c r="L56" s="644"/>
      <c r="M56" s="645"/>
      <c r="N56" s="642"/>
      <c r="O56" s="644"/>
      <c r="P56" s="645"/>
      <c r="Q56" s="642"/>
      <c r="R56" s="644"/>
      <c r="S56" s="645"/>
      <c r="T56" s="642"/>
      <c r="U56" s="644"/>
      <c r="V56" s="645"/>
      <c r="W56" s="642"/>
      <c r="X56" s="644"/>
      <c r="Y56" s="645"/>
      <c r="Z56" s="642"/>
      <c r="AA56" s="644"/>
      <c r="AB56" s="645"/>
      <c r="AC56" s="642"/>
      <c r="AD56" s="644"/>
      <c r="AE56" s="645"/>
      <c r="AF56" s="642"/>
      <c r="AG56" s="644"/>
      <c r="AH56" s="645"/>
      <c r="AI56" s="642"/>
      <c r="AJ56" s="644"/>
      <c r="AK56" s="645"/>
      <c r="AL56" s="642"/>
      <c r="AM56" s="644"/>
      <c r="AN56" s="645"/>
      <c r="AO56" s="642"/>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124</v>
      </c>
      <c r="C57" s="903"/>
      <c r="D57" s="904"/>
      <c r="E57" s="905"/>
      <c r="F57" s="903"/>
      <c r="G57" s="904"/>
      <c r="H57" s="905"/>
      <c r="I57" s="903"/>
      <c r="J57" s="904"/>
      <c r="K57" s="905"/>
      <c r="L57" s="903"/>
      <c r="M57" s="904"/>
      <c r="N57" s="905"/>
      <c r="O57" s="903"/>
      <c r="P57" s="904"/>
      <c r="Q57" s="905"/>
      <c r="R57" s="903"/>
      <c r="S57" s="904"/>
      <c r="T57" s="905"/>
      <c r="U57" s="903"/>
      <c r="V57" s="904"/>
      <c r="W57" s="990"/>
      <c r="X57" s="903"/>
      <c r="Y57" s="904"/>
      <c r="Z57" s="990"/>
      <c r="AA57" s="903"/>
      <c r="AB57" s="904"/>
      <c r="AC57" s="990"/>
      <c r="AD57" s="903"/>
      <c r="AE57" s="904"/>
      <c r="AF57" s="990"/>
      <c r="AG57" s="903"/>
      <c r="AH57" s="904"/>
      <c r="AI57" s="905"/>
      <c r="AJ57" s="903"/>
      <c r="AK57" s="904"/>
      <c r="AL57" s="905"/>
      <c r="AM57" s="903"/>
      <c r="AN57" s="904"/>
      <c r="AO57" s="905"/>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125</v>
      </c>
      <c r="C58" s="618"/>
      <c r="D58" s="625"/>
      <c r="E58" s="639"/>
      <c r="F58" s="618"/>
      <c r="G58" s="625"/>
      <c r="H58" s="639"/>
      <c r="I58" s="618"/>
      <c r="J58" s="625"/>
      <c r="K58" s="639"/>
      <c r="L58" s="618"/>
      <c r="M58" s="625"/>
      <c r="N58" s="639"/>
      <c r="O58" s="618"/>
      <c r="P58" s="625"/>
      <c r="Q58" s="639"/>
      <c r="R58" s="618"/>
      <c r="S58" s="625"/>
      <c r="T58" s="639"/>
      <c r="U58" s="618"/>
      <c r="V58" s="625"/>
      <c r="W58" s="639"/>
      <c r="X58" s="618"/>
      <c r="Y58" s="625"/>
      <c r="Z58" s="639"/>
      <c r="AA58" s="618"/>
      <c r="AB58" s="625"/>
      <c r="AC58" s="639"/>
      <c r="AD58" s="618"/>
      <c r="AE58" s="625"/>
      <c r="AF58" s="639"/>
      <c r="AG58" s="618"/>
      <c r="AH58" s="625"/>
      <c r="AI58" s="639"/>
      <c r="AJ58" s="618"/>
      <c r="AK58" s="625"/>
      <c r="AL58" s="639"/>
      <c r="AM58" s="618"/>
      <c r="AN58" s="625"/>
      <c r="AO58" s="988"/>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126</v>
      </c>
      <c r="C59" s="618"/>
      <c r="D59" s="625"/>
      <c r="E59" s="639"/>
      <c r="F59" s="618"/>
      <c r="G59" s="625"/>
      <c r="H59" s="639"/>
      <c r="I59" s="618"/>
      <c r="J59" s="625"/>
      <c r="K59" s="639"/>
      <c r="L59" s="618"/>
      <c r="M59" s="625"/>
      <c r="N59" s="639"/>
      <c r="O59" s="618"/>
      <c r="P59" s="625"/>
      <c r="Q59" s="639"/>
      <c r="R59" s="618"/>
      <c r="S59" s="625"/>
      <c r="T59" s="639"/>
      <c r="U59" s="618"/>
      <c r="V59" s="625"/>
      <c r="W59" s="639"/>
      <c r="X59" s="618"/>
      <c r="Y59" s="625"/>
      <c r="Z59" s="639"/>
      <c r="AA59" s="618"/>
      <c r="AB59" s="625"/>
      <c r="AC59" s="639"/>
      <c r="AD59" s="618"/>
      <c r="AE59" s="625"/>
      <c r="AF59" s="639"/>
      <c r="AG59" s="618"/>
      <c r="AH59" s="625"/>
      <c r="AI59" s="639"/>
      <c r="AJ59" s="618"/>
      <c r="AK59" s="625"/>
      <c r="AL59" s="639"/>
      <c r="AM59" s="618"/>
      <c r="AN59" s="625"/>
      <c r="AO59" s="988"/>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127</v>
      </c>
      <c r="C60" s="646"/>
      <c r="D60" s="647"/>
      <c r="E60" s="649"/>
      <c r="F60" s="646"/>
      <c r="G60" s="647"/>
      <c r="H60" s="649"/>
      <c r="I60" s="646"/>
      <c r="J60" s="647"/>
      <c r="K60" s="649"/>
      <c r="L60" s="646"/>
      <c r="M60" s="647"/>
      <c r="N60" s="649"/>
      <c r="O60" s="646"/>
      <c r="P60" s="647"/>
      <c r="Q60" s="649"/>
      <c r="R60" s="646"/>
      <c r="S60" s="647"/>
      <c r="T60" s="649"/>
      <c r="U60" s="646"/>
      <c r="V60" s="647"/>
      <c r="W60" s="649"/>
      <c r="X60" s="646"/>
      <c r="Y60" s="647"/>
      <c r="Z60" s="649"/>
      <c r="AA60" s="646"/>
      <c r="AB60" s="647"/>
      <c r="AC60" s="649"/>
      <c r="AD60" s="646"/>
      <c r="AE60" s="647"/>
      <c r="AF60" s="649"/>
      <c r="AG60" s="646"/>
      <c r="AH60" s="647"/>
      <c r="AI60" s="649"/>
      <c r="AJ60" s="646"/>
      <c r="AK60" s="647"/>
      <c r="AL60" s="649"/>
      <c r="AM60" s="646"/>
      <c r="AN60" s="647"/>
      <c r="AO60" s="992"/>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128</v>
      </c>
      <c r="C61" s="618"/>
      <c r="D61" s="625"/>
      <c r="E61" s="639"/>
      <c r="F61" s="618"/>
      <c r="G61" s="625"/>
      <c r="H61" s="639"/>
      <c r="I61" s="618"/>
      <c r="J61" s="625"/>
      <c r="K61" s="639"/>
      <c r="L61" s="618"/>
      <c r="M61" s="625"/>
      <c r="N61" s="639"/>
      <c r="O61" s="618"/>
      <c r="P61" s="625"/>
      <c r="Q61" s="639"/>
      <c r="R61" s="618"/>
      <c r="S61" s="625"/>
      <c r="T61" s="639"/>
      <c r="U61" s="618"/>
      <c r="V61" s="625"/>
      <c r="W61" s="639"/>
      <c r="X61" s="618"/>
      <c r="Y61" s="625"/>
      <c r="Z61" s="639"/>
      <c r="AA61" s="618"/>
      <c r="AB61" s="625"/>
      <c r="AC61" s="639"/>
      <c r="AD61" s="618"/>
      <c r="AE61" s="625"/>
      <c r="AF61" s="639"/>
      <c r="AG61" s="618"/>
      <c r="AH61" s="625"/>
      <c r="AI61" s="639"/>
      <c r="AJ61" s="618"/>
      <c r="AK61" s="625"/>
      <c r="AL61" s="639"/>
      <c r="AM61" s="618"/>
      <c r="AN61" s="625"/>
      <c r="AO61" s="988"/>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129</v>
      </c>
      <c r="C62" s="618"/>
      <c r="D62" s="625"/>
      <c r="E62" s="639"/>
      <c r="F62" s="618"/>
      <c r="G62" s="625"/>
      <c r="H62" s="639"/>
      <c r="I62" s="618"/>
      <c r="J62" s="625"/>
      <c r="K62" s="639"/>
      <c r="L62" s="618"/>
      <c r="M62" s="625"/>
      <c r="N62" s="639"/>
      <c r="O62" s="618"/>
      <c r="P62" s="625"/>
      <c r="Q62" s="639"/>
      <c r="R62" s="618"/>
      <c r="S62" s="625"/>
      <c r="T62" s="639"/>
      <c r="U62" s="618"/>
      <c r="V62" s="625"/>
      <c r="W62" s="639"/>
      <c r="X62" s="618"/>
      <c r="Y62" s="625"/>
      <c r="Z62" s="639"/>
      <c r="AA62" s="618"/>
      <c r="AB62" s="625"/>
      <c r="AC62" s="639"/>
      <c r="AD62" s="618"/>
      <c r="AE62" s="625"/>
      <c r="AF62" s="639"/>
      <c r="AG62" s="618"/>
      <c r="AH62" s="625"/>
      <c r="AI62" s="639"/>
      <c r="AJ62" s="618"/>
      <c r="AK62" s="625"/>
      <c r="AL62" s="639"/>
      <c r="AM62" s="618"/>
      <c r="AN62" s="625"/>
      <c r="AO62" s="988"/>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130</v>
      </c>
      <c r="C63" s="646"/>
      <c r="D63" s="647"/>
      <c r="E63" s="649"/>
      <c r="F63" s="646"/>
      <c r="G63" s="647"/>
      <c r="H63" s="649"/>
      <c r="I63" s="646"/>
      <c r="J63" s="647"/>
      <c r="K63" s="649"/>
      <c r="L63" s="646"/>
      <c r="M63" s="647"/>
      <c r="N63" s="649"/>
      <c r="O63" s="646"/>
      <c r="P63" s="647"/>
      <c r="Q63" s="649"/>
      <c r="R63" s="646"/>
      <c r="S63" s="647"/>
      <c r="T63" s="649"/>
      <c r="U63" s="646"/>
      <c r="V63" s="647"/>
      <c r="W63" s="649"/>
      <c r="X63" s="646"/>
      <c r="Y63" s="647"/>
      <c r="Z63" s="649"/>
      <c r="AA63" s="646"/>
      <c r="AB63" s="647"/>
      <c r="AC63" s="649"/>
      <c r="AD63" s="646"/>
      <c r="AE63" s="647"/>
      <c r="AF63" s="649"/>
      <c r="AG63" s="646"/>
      <c r="AH63" s="647"/>
      <c r="AI63" s="649"/>
      <c r="AJ63" s="646"/>
      <c r="AK63" s="647"/>
      <c r="AL63" s="649"/>
      <c r="AM63" s="646"/>
      <c r="AN63" s="647"/>
      <c r="AO63" s="992"/>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131</v>
      </c>
      <c r="C64" s="618"/>
      <c r="D64" s="625"/>
      <c r="E64" s="639"/>
      <c r="F64" s="618"/>
      <c r="G64" s="625"/>
      <c r="H64" s="639"/>
      <c r="I64" s="618"/>
      <c r="J64" s="625"/>
      <c r="K64" s="639"/>
      <c r="L64" s="618"/>
      <c r="M64" s="625"/>
      <c r="N64" s="639"/>
      <c r="O64" s="618"/>
      <c r="P64" s="625"/>
      <c r="Q64" s="639"/>
      <c r="R64" s="618"/>
      <c r="S64" s="625"/>
      <c r="T64" s="639"/>
      <c r="U64" s="618"/>
      <c r="V64" s="625"/>
      <c r="W64" s="639"/>
      <c r="X64" s="618"/>
      <c r="Y64" s="625"/>
      <c r="Z64" s="639"/>
      <c r="AA64" s="618"/>
      <c r="AB64" s="625"/>
      <c r="AC64" s="639"/>
      <c r="AD64" s="618"/>
      <c r="AE64" s="625"/>
      <c r="AF64" s="639"/>
      <c r="AG64" s="618"/>
      <c r="AH64" s="625"/>
      <c r="AI64" s="639"/>
      <c r="AJ64" s="618"/>
      <c r="AK64" s="625"/>
      <c r="AL64" s="639"/>
      <c r="AM64" s="618"/>
      <c r="AN64" s="625"/>
      <c r="AO64" s="988"/>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132</v>
      </c>
      <c r="C65" s="618"/>
      <c r="D65" s="625"/>
      <c r="E65" s="639"/>
      <c r="F65" s="618"/>
      <c r="G65" s="625"/>
      <c r="H65" s="639"/>
      <c r="I65" s="618"/>
      <c r="J65" s="625"/>
      <c r="K65" s="639"/>
      <c r="L65" s="618"/>
      <c r="M65" s="625"/>
      <c r="N65" s="639"/>
      <c r="O65" s="618"/>
      <c r="P65" s="625"/>
      <c r="Q65" s="639"/>
      <c r="R65" s="618"/>
      <c r="S65" s="625"/>
      <c r="T65" s="639"/>
      <c r="U65" s="618"/>
      <c r="V65" s="625"/>
      <c r="W65" s="639"/>
      <c r="X65" s="618"/>
      <c r="Y65" s="625"/>
      <c r="Z65" s="639"/>
      <c r="AA65" s="618"/>
      <c r="AB65" s="625"/>
      <c r="AC65" s="639"/>
      <c r="AD65" s="618"/>
      <c r="AE65" s="625"/>
      <c r="AF65" s="639"/>
      <c r="AG65" s="618"/>
      <c r="AH65" s="625"/>
      <c r="AI65" s="639"/>
      <c r="AJ65" s="618"/>
      <c r="AK65" s="625"/>
      <c r="AL65" s="639"/>
      <c r="AM65" s="618"/>
      <c r="AN65" s="625"/>
      <c r="AO65" s="988"/>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133</v>
      </c>
      <c r="C66" s="618"/>
      <c r="D66" s="625"/>
      <c r="E66" s="639"/>
      <c r="F66" s="618"/>
      <c r="G66" s="625"/>
      <c r="H66" s="639"/>
      <c r="I66" s="618"/>
      <c r="J66" s="625"/>
      <c r="K66" s="639"/>
      <c r="L66" s="618"/>
      <c r="M66" s="625"/>
      <c r="N66" s="639"/>
      <c r="O66" s="618"/>
      <c r="P66" s="625"/>
      <c r="Q66" s="639"/>
      <c r="R66" s="618"/>
      <c r="S66" s="625"/>
      <c r="T66" s="639"/>
      <c r="U66" s="618"/>
      <c r="V66" s="625"/>
      <c r="W66" s="639"/>
      <c r="X66" s="618"/>
      <c r="Y66" s="625"/>
      <c r="Z66" s="639"/>
      <c r="AA66" s="618"/>
      <c r="AB66" s="625"/>
      <c r="AC66" s="639"/>
      <c r="AD66" s="618"/>
      <c r="AE66" s="625"/>
      <c r="AF66" s="639"/>
      <c r="AG66" s="618"/>
      <c r="AH66" s="625"/>
      <c r="AI66" s="639"/>
      <c r="AJ66" s="618"/>
      <c r="AK66" s="625"/>
      <c r="AL66" s="639"/>
      <c r="AM66" s="618"/>
      <c r="AN66" s="625"/>
      <c r="AO66" s="988"/>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134</v>
      </c>
      <c r="C67" s="618"/>
      <c r="D67" s="625"/>
      <c r="E67" s="639"/>
      <c r="F67" s="618"/>
      <c r="G67" s="625"/>
      <c r="H67" s="639"/>
      <c r="I67" s="618"/>
      <c r="J67" s="625"/>
      <c r="K67" s="639"/>
      <c r="L67" s="618"/>
      <c r="M67" s="625"/>
      <c r="N67" s="639"/>
      <c r="O67" s="618"/>
      <c r="P67" s="625"/>
      <c r="Q67" s="639"/>
      <c r="R67" s="618"/>
      <c r="S67" s="625"/>
      <c r="T67" s="639"/>
      <c r="U67" s="618"/>
      <c r="V67" s="625"/>
      <c r="W67" s="639"/>
      <c r="X67" s="618"/>
      <c r="Y67" s="625"/>
      <c r="Z67" s="639"/>
      <c r="AA67" s="618"/>
      <c r="AB67" s="625"/>
      <c r="AC67" s="639"/>
      <c r="AD67" s="618"/>
      <c r="AE67" s="625"/>
      <c r="AF67" s="639"/>
      <c r="AG67" s="618"/>
      <c r="AH67" s="625"/>
      <c r="AI67" s="639"/>
      <c r="AJ67" s="618"/>
      <c r="AK67" s="625"/>
      <c r="AL67" s="639"/>
      <c r="AM67" s="618"/>
      <c r="AN67" s="625"/>
      <c r="AO67" s="988"/>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135</v>
      </c>
      <c r="C68" s="618"/>
      <c r="D68" s="625"/>
      <c r="E68" s="639"/>
      <c r="F68" s="618"/>
      <c r="G68" s="625"/>
      <c r="H68" s="639"/>
      <c r="I68" s="618"/>
      <c r="J68" s="625"/>
      <c r="K68" s="639"/>
      <c r="L68" s="618"/>
      <c r="M68" s="625"/>
      <c r="N68" s="639"/>
      <c r="O68" s="618"/>
      <c r="P68" s="625"/>
      <c r="Q68" s="639"/>
      <c r="R68" s="618"/>
      <c r="S68" s="625"/>
      <c r="T68" s="639"/>
      <c r="U68" s="618"/>
      <c r="V68" s="625"/>
      <c r="W68" s="639"/>
      <c r="X68" s="618"/>
      <c r="Y68" s="625"/>
      <c r="Z68" s="639"/>
      <c r="AA68" s="618"/>
      <c r="AB68" s="625"/>
      <c r="AC68" s="639"/>
      <c r="AD68" s="618"/>
      <c r="AE68" s="625"/>
      <c r="AF68" s="639"/>
      <c r="AG68" s="618"/>
      <c r="AH68" s="625"/>
      <c r="AI68" s="639"/>
      <c r="AJ68" s="618"/>
      <c r="AK68" s="625"/>
      <c r="AL68" s="639"/>
      <c r="AM68" s="618"/>
      <c r="AN68" s="625"/>
      <c r="AO68" s="988"/>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136</v>
      </c>
      <c r="C69" s="618"/>
      <c r="D69" s="625"/>
      <c r="E69" s="639"/>
      <c r="F69" s="618"/>
      <c r="G69" s="625"/>
      <c r="H69" s="639"/>
      <c r="I69" s="618"/>
      <c r="J69" s="625"/>
      <c r="K69" s="639"/>
      <c r="L69" s="618"/>
      <c r="M69" s="625"/>
      <c r="N69" s="639"/>
      <c r="O69" s="618"/>
      <c r="P69" s="625"/>
      <c r="Q69" s="639"/>
      <c r="R69" s="618"/>
      <c r="S69" s="625"/>
      <c r="T69" s="639"/>
      <c r="U69" s="618"/>
      <c r="V69" s="625"/>
      <c r="W69" s="639"/>
      <c r="X69" s="618"/>
      <c r="Y69" s="625"/>
      <c r="Z69" s="639"/>
      <c r="AA69" s="618"/>
      <c r="AB69" s="625"/>
      <c r="AC69" s="639"/>
      <c r="AD69" s="618"/>
      <c r="AE69" s="625"/>
      <c r="AF69" s="639"/>
      <c r="AG69" s="618"/>
      <c r="AH69" s="625"/>
      <c r="AI69" s="639"/>
      <c r="AJ69" s="618"/>
      <c r="AK69" s="625"/>
      <c r="AL69" s="639"/>
      <c r="AM69" s="618"/>
      <c r="AN69" s="625"/>
      <c r="AO69" s="988"/>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137</v>
      </c>
      <c r="C70" s="618"/>
      <c r="D70" s="625"/>
      <c r="E70" s="639"/>
      <c r="F70" s="618"/>
      <c r="G70" s="625"/>
      <c r="H70" s="639"/>
      <c r="I70" s="618"/>
      <c r="J70" s="625"/>
      <c r="K70" s="639"/>
      <c r="L70" s="618"/>
      <c r="M70" s="625"/>
      <c r="N70" s="639"/>
      <c r="O70" s="618"/>
      <c r="P70" s="625"/>
      <c r="Q70" s="639"/>
      <c r="R70" s="618"/>
      <c r="S70" s="625"/>
      <c r="T70" s="639"/>
      <c r="U70" s="618"/>
      <c r="V70" s="625"/>
      <c r="W70" s="639"/>
      <c r="X70" s="618"/>
      <c r="Y70" s="625"/>
      <c r="Z70" s="639"/>
      <c r="AA70" s="618"/>
      <c r="AB70" s="625"/>
      <c r="AC70" s="639"/>
      <c r="AD70" s="618"/>
      <c r="AE70" s="625"/>
      <c r="AF70" s="639"/>
      <c r="AG70" s="618"/>
      <c r="AH70" s="625"/>
      <c r="AI70" s="639"/>
      <c r="AJ70" s="618"/>
      <c r="AK70" s="625"/>
      <c r="AL70" s="639"/>
      <c r="AM70" s="618"/>
      <c r="AN70" s="625"/>
      <c r="AO70" s="988"/>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138</v>
      </c>
      <c r="C71" s="618"/>
      <c r="D71" s="625"/>
      <c r="E71" s="639"/>
      <c r="F71" s="618"/>
      <c r="G71" s="625"/>
      <c r="H71" s="639"/>
      <c r="I71" s="618"/>
      <c r="J71" s="625"/>
      <c r="K71" s="639"/>
      <c r="L71" s="618"/>
      <c r="M71" s="625"/>
      <c r="N71" s="639"/>
      <c r="O71" s="618"/>
      <c r="P71" s="625"/>
      <c r="Q71" s="639"/>
      <c r="R71" s="618"/>
      <c r="S71" s="625"/>
      <c r="T71" s="639"/>
      <c r="U71" s="618"/>
      <c r="V71" s="625"/>
      <c r="W71" s="639"/>
      <c r="X71" s="618"/>
      <c r="Y71" s="625"/>
      <c r="Z71" s="639"/>
      <c r="AA71" s="618"/>
      <c r="AB71" s="625"/>
      <c r="AC71" s="639"/>
      <c r="AD71" s="618"/>
      <c r="AE71" s="625"/>
      <c r="AF71" s="639"/>
      <c r="AG71" s="618"/>
      <c r="AH71" s="625"/>
      <c r="AI71" s="639"/>
      <c r="AJ71" s="618"/>
      <c r="AK71" s="625"/>
      <c r="AL71" s="639"/>
      <c r="AM71" s="618"/>
      <c r="AN71" s="625"/>
      <c r="AO71" s="988"/>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55</v>
      </c>
      <c r="C72" s="618"/>
      <c r="D72" s="625"/>
      <c r="E72" s="626"/>
      <c r="F72" s="618"/>
      <c r="G72" s="625"/>
      <c r="H72" s="626"/>
      <c r="I72" s="618"/>
      <c r="J72" s="625"/>
      <c r="K72" s="626"/>
      <c r="L72" s="618"/>
      <c r="M72" s="625"/>
      <c r="N72" s="626"/>
      <c r="O72" s="618"/>
      <c r="P72" s="625"/>
      <c r="Q72" s="626"/>
      <c r="R72" s="618"/>
      <c r="S72" s="625"/>
      <c r="T72" s="626"/>
      <c r="U72" s="618"/>
      <c r="V72" s="625"/>
      <c r="W72" s="626"/>
      <c r="X72" s="618"/>
      <c r="Y72" s="625"/>
      <c r="Z72" s="626"/>
      <c r="AA72" s="618"/>
      <c r="AB72" s="625"/>
      <c r="AC72" s="626"/>
      <c r="AD72" s="618"/>
      <c r="AE72" s="625"/>
      <c r="AF72" s="626"/>
      <c r="AG72" s="618"/>
      <c r="AH72" s="625"/>
      <c r="AI72" s="626"/>
      <c r="AJ72" s="618"/>
      <c r="AK72" s="625"/>
      <c r="AL72" s="626"/>
      <c r="AM72" s="618"/>
      <c r="AN72" s="625"/>
      <c r="AO72" s="626"/>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55</v>
      </c>
      <c r="C73" s="618"/>
      <c r="D73" s="625"/>
      <c r="E73" s="626"/>
      <c r="F73" s="618"/>
      <c r="G73" s="625"/>
      <c r="H73" s="626"/>
      <c r="I73" s="618"/>
      <c r="J73" s="625"/>
      <c r="K73" s="626"/>
      <c r="L73" s="618"/>
      <c r="M73" s="625"/>
      <c r="N73" s="626"/>
      <c r="O73" s="618"/>
      <c r="P73" s="625"/>
      <c r="Q73" s="626"/>
      <c r="R73" s="618"/>
      <c r="S73" s="625"/>
      <c r="T73" s="626"/>
      <c r="U73" s="618"/>
      <c r="V73" s="625"/>
      <c r="W73" s="626"/>
      <c r="X73" s="618"/>
      <c r="Y73" s="625"/>
      <c r="Z73" s="626"/>
      <c r="AA73" s="618"/>
      <c r="AB73" s="625"/>
      <c r="AC73" s="626"/>
      <c r="AD73" s="618"/>
      <c r="AE73" s="625"/>
      <c r="AF73" s="626"/>
      <c r="AG73" s="618"/>
      <c r="AH73" s="625"/>
      <c r="AI73" s="626"/>
      <c r="AJ73" s="618"/>
      <c r="AK73" s="625"/>
      <c r="AL73" s="626"/>
      <c r="AM73" s="618"/>
      <c r="AN73" s="625"/>
      <c r="AO73" s="626"/>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55</v>
      </c>
      <c r="C74" s="644"/>
      <c r="D74" s="645"/>
      <c r="E74" s="626"/>
      <c r="F74" s="644"/>
      <c r="G74" s="645"/>
      <c r="H74" s="626"/>
      <c r="I74" s="644"/>
      <c r="J74" s="645"/>
      <c r="K74" s="626"/>
      <c r="L74" s="644"/>
      <c r="M74" s="645"/>
      <c r="N74" s="626"/>
      <c r="O74" s="644"/>
      <c r="P74" s="645"/>
      <c r="Q74" s="626"/>
      <c r="R74" s="644"/>
      <c r="S74" s="645"/>
      <c r="T74" s="626"/>
      <c r="U74" s="644"/>
      <c r="V74" s="645"/>
      <c r="W74" s="626"/>
      <c r="X74" s="644"/>
      <c r="Y74" s="645"/>
      <c r="Z74" s="626"/>
      <c r="AA74" s="644"/>
      <c r="AB74" s="645"/>
      <c r="AC74" s="626"/>
      <c r="AD74" s="644"/>
      <c r="AE74" s="645"/>
      <c r="AF74" s="626"/>
      <c r="AG74" s="644"/>
      <c r="AH74" s="645"/>
      <c r="AI74" s="626"/>
      <c r="AJ74" s="644"/>
      <c r="AK74" s="645"/>
      <c r="AL74" s="626"/>
      <c r="AM74" s="644"/>
      <c r="AN74" s="645"/>
      <c r="AO74" s="626"/>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139</v>
      </c>
      <c r="C75" s="903"/>
      <c r="D75" s="904"/>
      <c r="E75" s="905"/>
      <c r="F75" s="903"/>
      <c r="G75" s="904"/>
      <c r="H75" s="905"/>
      <c r="I75" s="903"/>
      <c r="J75" s="904"/>
      <c r="K75" s="905"/>
      <c r="L75" s="903"/>
      <c r="M75" s="904"/>
      <c r="N75" s="905"/>
      <c r="O75" s="903"/>
      <c r="P75" s="904"/>
      <c r="Q75" s="905"/>
      <c r="R75" s="903"/>
      <c r="S75" s="904"/>
      <c r="T75" s="905"/>
      <c r="U75" s="903"/>
      <c r="V75" s="904"/>
      <c r="W75" s="990"/>
      <c r="X75" s="903"/>
      <c r="Y75" s="904"/>
      <c r="Z75" s="990"/>
      <c r="AA75" s="903"/>
      <c r="AB75" s="904"/>
      <c r="AC75" s="990"/>
      <c r="AD75" s="903"/>
      <c r="AE75" s="904"/>
      <c r="AF75" s="990"/>
      <c r="AG75" s="903"/>
      <c r="AH75" s="904"/>
      <c r="AI75" s="905"/>
      <c r="AJ75" s="903"/>
      <c r="AK75" s="904"/>
      <c r="AL75" s="905"/>
      <c r="AM75" s="903"/>
      <c r="AN75" s="904"/>
      <c r="AO75" s="905"/>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644"/>
      <c r="D76" s="645"/>
      <c r="E76" s="642"/>
      <c r="F76" s="644"/>
      <c r="G76" s="645"/>
      <c r="H76" s="642"/>
      <c r="I76" s="644"/>
      <c r="J76" s="645"/>
      <c r="K76" s="642"/>
      <c r="L76" s="644"/>
      <c r="M76" s="645"/>
      <c r="N76" s="642"/>
      <c r="O76" s="644"/>
      <c r="P76" s="645"/>
      <c r="Q76" s="642"/>
      <c r="R76" s="644"/>
      <c r="S76" s="645"/>
      <c r="T76" s="642"/>
      <c r="U76" s="644"/>
      <c r="V76" s="645"/>
      <c r="W76" s="642"/>
      <c r="X76" s="644"/>
      <c r="Y76" s="645"/>
      <c r="Z76" s="642"/>
      <c r="AA76" s="644"/>
      <c r="AB76" s="645"/>
      <c r="AC76" s="642"/>
      <c r="AD76" s="644"/>
      <c r="AE76" s="645"/>
      <c r="AF76" s="642"/>
      <c r="AG76" s="644"/>
      <c r="AH76" s="645"/>
      <c r="AI76" s="642"/>
      <c r="AJ76" s="644"/>
      <c r="AK76" s="645"/>
      <c r="AL76" s="642"/>
      <c r="AM76" s="644"/>
      <c r="AN76" s="645"/>
      <c r="AO76" s="642"/>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140</v>
      </c>
      <c r="C77" s="903"/>
      <c r="D77" s="904"/>
      <c r="E77" s="913"/>
      <c r="F77" s="903"/>
      <c r="G77" s="904"/>
      <c r="H77" s="913"/>
      <c r="I77" s="903"/>
      <c r="J77" s="904"/>
      <c r="K77" s="913"/>
      <c r="L77" s="903"/>
      <c r="M77" s="904"/>
      <c r="N77" s="913"/>
      <c r="O77" s="903"/>
      <c r="P77" s="904"/>
      <c r="Q77" s="913"/>
      <c r="R77" s="903"/>
      <c r="S77" s="904"/>
      <c r="T77" s="913"/>
      <c r="U77" s="903"/>
      <c r="V77" s="904"/>
      <c r="W77" s="993"/>
      <c r="X77" s="903"/>
      <c r="Y77" s="904"/>
      <c r="Z77" s="993"/>
      <c r="AA77" s="903"/>
      <c r="AB77" s="904"/>
      <c r="AC77" s="993"/>
      <c r="AD77" s="903"/>
      <c r="AE77" s="904"/>
      <c r="AF77" s="993"/>
      <c r="AG77" s="903"/>
      <c r="AH77" s="904"/>
      <c r="AI77" s="913"/>
      <c r="AJ77" s="903"/>
      <c r="AK77" s="904"/>
      <c r="AL77" s="913"/>
      <c r="AM77" s="903"/>
      <c r="AN77" s="904"/>
      <c r="AO77" s="913"/>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141</v>
      </c>
      <c r="C78" s="618"/>
      <c r="D78" s="625"/>
      <c r="E78" s="639"/>
      <c r="F78" s="618"/>
      <c r="G78" s="625"/>
      <c r="H78" s="639"/>
      <c r="I78" s="618"/>
      <c r="J78" s="625"/>
      <c r="K78" s="639"/>
      <c r="L78" s="618"/>
      <c r="M78" s="625"/>
      <c r="N78" s="639"/>
      <c r="O78" s="618"/>
      <c r="P78" s="625"/>
      <c r="Q78" s="639"/>
      <c r="R78" s="618"/>
      <c r="S78" s="625"/>
      <c r="T78" s="639"/>
      <c r="U78" s="618"/>
      <c r="V78" s="625"/>
      <c r="W78" s="639"/>
      <c r="X78" s="618"/>
      <c r="Y78" s="625"/>
      <c r="Z78" s="639"/>
      <c r="AA78" s="618"/>
      <c r="AB78" s="625"/>
      <c r="AC78" s="639"/>
      <c r="AD78" s="618"/>
      <c r="AE78" s="625"/>
      <c r="AF78" s="639"/>
      <c r="AG78" s="618"/>
      <c r="AH78" s="625"/>
      <c r="AI78" s="639"/>
      <c r="AJ78" s="618"/>
      <c r="AK78" s="625"/>
      <c r="AL78" s="639"/>
      <c r="AM78" s="618"/>
      <c r="AN78" s="625"/>
      <c r="AO78" s="639"/>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142</v>
      </c>
      <c r="C79" s="618"/>
      <c r="D79" s="625"/>
      <c r="E79" s="639"/>
      <c r="F79" s="618"/>
      <c r="G79" s="625"/>
      <c r="H79" s="639"/>
      <c r="I79" s="618"/>
      <c r="J79" s="625"/>
      <c r="K79" s="639"/>
      <c r="L79" s="618"/>
      <c r="M79" s="625"/>
      <c r="N79" s="639"/>
      <c r="O79" s="618"/>
      <c r="P79" s="625"/>
      <c r="Q79" s="639"/>
      <c r="R79" s="618"/>
      <c r="S79" s="625"/>
      <c r="T79" s="639"/>
      <c r="U79" s="618"/>
      <c r="V79" s="625"/>
      <c r="W79" s="639"/>
      <c r="X79" s="618"/>
      <c r="Y79" s="625"/>
      <c r="Z79" s="639"/>
      <c r="AA79" s="618"/>
      <c r="AB79" s="625"/>
      <c r="AC79" s="639"/>
      <c r="AD79" s="618"/>
      <c r="AE79" s="625"/>
      <c r="AF79" s="639"/>
      <c r="AG79" s="618"/>
      <c r="AH79" s="625"/>
      <c r="AI79" s="639"/>
      <c r="AJ79" s="618"/>
      <c r="AK79" s="625"/>
      <c r="AL79" s="639"/>
      <c r="AM79" s="618"/>
      <c r="AN79" s="625"/>
      <c r="AO79" s="639"/>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143</v>
      </c>
      <c r="C80" s="618"/>
      <c r="D80" s="625"/>
      <c r="E80" s="639"/>
      <c r="F80" s="618"/>
      <c r="G80" s="625"/>
      <c r="H80" s="639"/>
      <c r="I80" s="618"/>
      <c r="J80" s="625"/>
      <c r="K80" s="639"/>
      <c r="L80" s="618"/>
      <c r="M80" s="625"/>
      <c r="N80" s="639"/>
      <c r="O80" s="618"/>
      <c r="P80" s="625"/>
      <c r="Q80" s="639"/>
      <c r="R80" s="618"/>
      <c r="S80" s="625"/>
      <c r="T80" s="639"/>
      <c r="U80" s="618"/>
      <c r="V80" s="625"/>
      <c r="W80" s="639"/>
      <c r="X80" s="618"/>
      <c r="Y80" s="625"/>
      <c r="Z80" s="639"/>
      <c r="AA80" s="618"/>
      <c r="AB80" s="625"/>
      <c r="AC80" s="639"/>
      <c r="AD80" s="618"/>
      <c r="AE80" s="625"/>
      <c r="AF80" s="639"/>
      <c r="AG80" s="618"/>
      <c r="AH80" s="625"/>
      <c r="AI80" s="639"/>
      <c r="AJ80" s="618"/>
      <c r="AK80" s="625"/>
      <c r="AL80" s="639"/>
      <c r="AM80" s="618"/>
      <c r="AN80" s="625"/>
      <c r="AO80" s="639"/>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144</v>
      </c>
      <c r="C81" s="618"/>
      <c r="D81" s="625"/>
      <c r="E81" s="639"/>
      <c r="F81" s="618"/>
      <c r="G81" s="625"/>
      <c r="H81" s="639"/>
      <c r="I81" s="618"/>
      <c r="J81" s="625"/>
      <c r="K81" s="639"/>
      <c r="L81" s="618"/>
      <c r="M81" s="625"/>
      <c r="N81" s="639"/>
      <c r="O81" s="618"/>
      <c r="P81" s="625"/>
      <c r="Q81" s="639"/>
      <c r="R81" s="618"/>
      <c r="S81" s="625"/>
      <c r="T81" s="639"/>
      <c r="U81" s="618"/>
      <c r="V81" s="625"/>
      <c r="W81" s="639"/>
      <c r="X81" s="618"/>
      <c r="Y81" s="625"/>
      <c r="Z81" s="639"/>
      <c r="AA81" s="618"/>
      <c r="AB81" s="625"/>
      <c r="AC81" s="639"/>
      <c r="AD81" s="618"/>
      <c r="AE81" s="625"/>
      <c r="AF81" s="639"/>
      <c r="AG81" s="618"/>
      <c r="AH81" s="625"/>
      <c r="AI81" s="639"/>
      <c r="AJ81" s="618"/>
      <c r="AK81" s="625"/>
      <c r="AL81" s="639"/>
      <c r="AM81" s="618"/>
      <c r="AN81" s="625"/>
      <c r="AO81" s="639"/>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55</v>
      </c>
      <c r="C82" s="618"/>
      <c r="D82" s="625"/>
      <c r="E82" s="639"/>
      <c r="F82" s="618"/>
      <c r="G82" s="625"/>
      <c r="H82" s="639"/>
      <c r="I82" s="618"/>
      <c r="J82" s="625"/>
      <c r="K82" s="639"/>
      <c r="L82" s="618"/>
      <c r="M82" s="625"/>
      <c r="N82" s="639"/>
      <c r="O82" s="618"/>
      <c r="P82" s="625"/>
      <c r="Q82" s="639"/>
      <c r="R82" s="618"/>
      <c r="S82" s="625"/>
      <c r="T82" s="639"/>
      <c r="U82" s="618"/>
      <c r="V82" s="625"/>
      <c r="W82" s="639"/>
      <c r="X82" s="618"/>
      <c r="Y82" s="625"/>
      <c r="Z82" s="639"/>
      <c r="AA82" s="618"/>
      <c r="AB82" s="625"/>
      <c r="AC82" s="639"/>
      <c r="AD82" s="618"/>
      <c r="AE82" s="625"/>
      <c r="AF82" s="639"/>
      <c r="AG82" s="618"/>
      <c r="AH82" s="625"/>
      <c r="AI82" s="639"/>
      <c r="AJ82" s="618"/>
      <c r="AK82" s="625"/>
      <c r="AL82" s="639"/>
      <c r="AM82" s="618"/>
      <c r="AN82" s="625"/>
      <c r="AO82" s="639"/>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55</v>
      </c>
      <c r="C83" s="618"/>
      <c r="D83" s="625"/>
      <c r="E83" s="639"/>
      <c r="F83" s="618"/>
      <c r="G83" s="625"/>
      <c r="H83" s="639"/>
      <c r="I83" s="618"/>
      <c r="J83" s="625"/>
      <c r="K83" s="639"/>
      <c r="L83" s="618"/>
      <c r="M83" s="625"/>
      <c r="N83" s="639"/>
      <c r="O83" s="618"/>
      <c r="P83" s="625"/>
      <c r="Q83" s="639"/>
      <c r="R83" s="618"/>
      <c r="S83" s="625"/>
      <c r="T83" s="639"/>
      <c r="U83" s="618"/>
      <c r="V83" s="625"/>
      <c r="W83" s="639"/>
      <c r="X83" s="618"/>
      <c r="Y83" s="625"/>
      <c r="Z83" s="639"/>
      <c r="AA83" s="618"/>
      <c r="AB83" s="625"/>
      <c r="AC83" s="639"/>
      <c r="AD83" s="618"/>
      <c r="AE83" s="625"/>
      <c r="AF83" s="639"/>
      <c r="AG83" s="618"/>
      <c r="AH83" s="625"/>
      <c r="AI83" s="639"/>
      <c r="AJ83" s="618"/>
      <c r="AK83" s="625"/>
      <c r="AL83" s="639"/>
      <c r="AM83" s="618"/>
      <c r="AN83" s="625"/>
      <c r="AO83" s="639"/>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55</v>
      </c>
      <c r="C84" s="618"/>
      <c r="D84" s="625"/>
      <c r="E84" s="639"/>
      <c r="F84" s="618"/>
      <c r="G84" s="625"/>
      <c r="H84" s="639"/>
      <c r="I84" s="618"/>
      <c r="J84" s="625"/>
      <c r="K84" s="639"/>
      <c r="L84" s="618"/>
      <c r="M84" s="625"/>
      <c r="N84" s="639"/>
      <c r="O84" s="618"/>
      <c r="P84" s="625"/>
      <c r="Q84" s="639"/>
      <c r="R84" s="618"/>
      <c r="S84" s="625"/>
      <c r="T84" s="639"/>
      <c r="U84" s="618"/>
      <c r="V84" s="625"/>
      <c r="W84" s="639"/>
      <c r="X84" s="618"/>
      <c r="Y84" s="625"/>
      <c r="Z84" s="639"/>
      <c r="AA84" s="618"/>
      <c r="AB84" s="625"/>
      <c r="AC84" s="639"/>
      <c r="AD84" s="618"/>
      <c r="AE84" s="625"/>
      <c r="AF84" s="639"/>
      <c r="AG84" s="618"/>
      <c r="AH84" s="625"/>
      <c r="AI84" s="639"/>
      <c r="AJ84" s="618"/>
      <c r="AK84" s="625"/>
      <c r="AL84" s="639"/>
      <c r="AM84" s="618"/>
      <c r="AN84" s="625"/>
      <c r="AO84" s="639"/>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145</v>
      </c>
      <c r="C85" s="618"/>
      <c r="D85" s="625"/>
      <c r="E85" s="639"/>
      <c r="F85" s="618"/>
      <c r="G85" s="625"/>
      <c r="H85" s="639"/>
      <c r="I85" s="618"/>
      <c r="J85" s="625"/>
      <c r="K85" s="639"/>
      <c r="L85" s="618"/>
      <c r="M85" s="625"/>
      <c r="N85" s="639"/>
      <c r="O85" s="618"/>
      <c r="P85" s="625"/>
      <c r="Q85" s="639"/>
      <c r="R85" s="618"/>
      <c r="S85" s="625"/>
      <c r="T85" s="639"/>
      <c r="U85" s="618"/>
      <c r="V85" s="625"/>
      <c r="W85" s="639"/>
      <c r="X85" s="618"/>
      <c r="Y85" s="625"/>
      <c r="Z85" s="639"/>
      <c r="AA85" s="618"/>
      <c r="AB85" s="625"/>
      <c r="AC85" s="639"/>
      <c r="AD85" s="618"/>
      <c r="AE85" s="625"/>
      <c r="AF85" s="639"/>
      <c r="AG85" s="618"/>
      <c r="AH85" s="625"/>
      <c r="AI85" s="639"/>
      <c r="AJ85" s="618"/>
      <c r="AK85" s="625"/>
      <c r="AL85" s="639"/>
      <c r="AM85" s="618"/>
      <c r="AN85" s="625"/>
      <c r="AO85" s="639"/>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146</v>
      </c>
      <c r="C86" s="650"/>
      <c r="D86" s="915"/>
      <c r="E86" s="651"/>
      <c r="F86" s="650"/>
      <c r="G86" s="915"/>
      <c r="H86" s="651"/>
      <c r="I86" s="650"/>
      <c r="J86" s="915"/>
      <c r="K86" s="651"/>
      <c r="L86" s="650"/>
      <c r="M86" s="915"/>
      <c r="N86" s="651"/>
      <c r="O86" s="650"/>
      <c r="P86" s="915"/>
      <c r="Q86" s="651"/>
      <c r="R86" s="650"/>
      <c r="S86" s="915"/>
      <c r="T86" s="651"/>
      <c r="U86" s="650"/>
      <c r="V86" s="915"/>
      <c r="W86" s="994"/>
      <c r="X86" s="650"/>
      <c r="Y86" s="915"/>
      <c r="Z86" s="994"/>
      <c r="AA86" s="650"/>
      <c r="AB86" s="915"/>
      <c r="AC86" s="994"/>
      <c r="AD86" s="650"/>
      <c r="AE86" s="915"/>
      <c r="AF86" s="994"/>
      <c r="AG86" s="650"/>
      <c r="AH86" s="915"/>
      <c r="AI86" s="651"/>
      <c r="AJ86" s="650"/>
      <c r="AK86" s="915"/>
      <c r="AL86" s="651"/>
      <c r="AM86" s="650"/>
      <c r="AN86" s="915"/>
      <c r="AO86" s="651"/>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652"/>
      <c r="D87" s="653"/>
      <c r="E87" s="654"/>
      <c r="F87" s="652"/>
      <c r="G87" s="653"/>
      <c r="H87" s="654"/>
      <c r="I87" s="652"/>
      <c r="J87" s="653"/>
      <c r="K87" s="654"/>
      <c r="L87" s="652"/>
      <c r="M87" s="653"/>
      <c r="N87" s="654"/>
      <c r="O87" s="652"/>
      <c r="P87" s="653"/>
      <c r="Q87" s="654"/>
      <c r="R87" s="652"/>
      <c r="S87" s="653"/>
      <c r="T87" s="654"/>
      <c r="U87" s="652"/>
      <c r="V87" s="653"/>
      <c r="W87" s="995"/>
      <c r="X87" s="652"/>
      <c r="Y87" s="653"/>
      <c r="Z87" s="995"/>
      <c r="AA87" s="652"/>
      <c r="AB87" s="653"/>
      <c r="AC87" s="995"/>
      <c r="AD87" s="652"/>
      <c r="AE87" s="653"/>
      <c r="AF87" s="995"/>
      <c r="AG87" s="652"/>
      <c r="AH87" s="653"/>
      <c r="AI87" s="654"/>
      <c r="AJ87" s="652"/>
      <c r="AK87" s="653"/>
      <c r="AL87" s="654"/>
      <c r="AM87" s="652"/>
      <c r="AN87" s="653"/>
      <c r="AO87" s="654"/>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147</v>
      </c>
      <c r="C88" s="917"/>
      <c r="D88" s="920"/>
      <c r="E88" s="919"/>
      <c r="F88" s="917"/>
      <c r="G88" s="920"/>
      <c r="H88" s="919"/>
      <c r="I88" s="917"/>
      <c r="J88" s="920"/>
      <c r="K88" s="919"/>
      <c r="L88" s="917"/>
      <c r="M88" s="920"/>
      <c r="N88" s="919"/>
      <c r="O88" s="917"/>
      <c r="P88" s="920"/>
      <c r="Q88" s="919"/>
      <c r="R88" s="917"/>
      <c r="S88" s="920"/>
      <c r="T88" s="919"/>
      <c r="U88" s="917"/>
      <c r="V88" s="920"/>
      <c r="W88" s="996"/>
      <c r="X88" s="917"/>
      <c r="Y88" s="920"/>
      <c r="Z88" s="996"/>
      <c r="AA88" s="917"/>
      <c r="AB88" s="920"/>
      <c r="AC88" s="996"/>
      <c r="AD88" s="917"/>
      <c r="AE88" s="920"/>
      <c r="AF88" s="996"/>
      <c r="AG88" s="917"/>
      <c r="AH88" s="920"/>
      <c r="AI88" s="919"/>
      <c r="AJ88" s="917"/>
      <c r="AK88" s="920"/>
      <c r="AL88" s="919"/>
      <c r="AM88" s="917"/>
      <c r="AN88" s="920"/>
      <c r="AO88" s="919"/>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655"/>
      <c r="D89" s="655"/>
      <c r="E89" s="656"/>
      <c r="F89" s="655"/>
      <c r="G89" s="655"/>
      <c r="H89" s="656"/>
      <c r="I89" s="655"/>
      <c r="J89" s="655"/>
      <c r="K89" s="656"/>
      <c r="L89" s="655"/>
      <c r="M89" s="655"/>
      <c r="N89" s="656"/>
      <c r="O89" s="655"/>
      <c r="P89" s="655"/>
      <c r="Q89" s="656"/>
      <c r="R89" s="655"/>
      <c r="S89" s="655"/>
      <c r="T89" s="656"/>
      <c r="U89" s="655"/>
      <c r="V89" s="655"/>
      <c r="W89" s="656"/>
      <c r="X89" s="655"/>
      <c r="Y89" s="655"/>
      <c r="Z89" s="656"/>
      <c r="AA89" s="655"/>
      <c r="AB89" s="655"/>
      <c r="AC89" s="656"/>
      <c r="AD89" s="655"/>
      <c r="AE89" s="655"/>
      <c r="AF89" s="656"/>
      <c r="AG89" s="655"/>
      <c r="AH89" s="655"/>
      <c r="AI89" s="656"/>
      <c r="AJ89" s="655"/>
      <c r="AK89" s="655"/>
      <c r="AL89" s="656"/>
      <c r="AM89" s="655"/>
      <c r="AN89" s="655"/>
      <c r="AO89" s="656"/>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655"/>
      <c r="D90" s="655"/>
      <c r="E90" s="655"/>
      <c r="F90" s="655"/>
      <c r="G90" s="655"/>
      <c r="H90" s="655"/>
      <c r="I90" s="655"/>
      <c r="J90" s="655"/>
      <c r="K90" s="655"/>
      <c r="L90" s="655"/>
      <c r="M90" s="655"/>
      <c r="N90" s="655"/>
      <c r="O90" s="655"/>
      <c r="P90" s="655"/>
      <c r="Q90" s="655"/>
      <c r="R90" s="655"/>
      <c r="S90" s="655"/>
      <c r="T90" s="655"/>
      <c r="U90" s="655"/>
      <c r="V90" s="655"/>
      <c r="W90" s="655"/>
      <c r="X90" s="655"/>
      <c r="Y90" s="655"/>
      <c r="Z90" s="655"/>
      <c r="AA90" s="655"/>
      <c r="AB90" s="655"/>
      <c r="AC90" s="655"/>
      <c r="AD90" s="655"/>
      <c r="AE90" s="655"/>
      <c r="AF90" s="655"/>
      <c r="AG90" s="655"/>
      <c r="AH90" s="655"/>
      <c r="AI90" s="655"/>
      <c r="AJ90" s="655"/>
      <c r="AK90" s="655"/>
      <c r="AL90" s="655"/>
      <c r="AM90" s="655"/>
      <c r="AN90" s="655"/>
      <c r="AO90" s="655"/>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657"/>
      <c r="D91" s="657"/>
      <c r="E91" s="657"/>
      <c r="F91" s="657"/>
      <c r="G91" s="657"/>
      <c r="H91" s="657"/>
      <c r="I91" s="657"/>
      <c r="J91" s="657"/>
      <c r="K91" s="657"/>
      <c r="L91" s="657"/>
      <c r="M91" s="657"/>
      <c r="N91" s="657"/>
      <c r="O91" s="657"/>
      <c r="P91" s="657"/>
      <c r="Q91" s="657"/>
      <c r="R91" s="657"/>
      <c r="S91" s="657"/>
      <c r="T91" s="657"/>
      <c r="U91" s="657"/>
      <c r="V91" s="657"/>
      <c r="W91" s="657"/>
      <c r="X91" s="657"/>
      <c r="Y91" s="657"/>
      <c r="Z91" s="657"/>
      <c r="AA91" s="657"/>
      <c r="AB91" s="657"/>
      <c r="AC91" s="657"/>
      <c r="AD91" s="657"/>
      <c r="AE91" s="657"/>
      <c r="AF91" s="657"/>
      <c r="AG91" s="657"/>
      <c r="AH91" s="657"/>
      <c r="AI91" s="657"/>
      <c r="AJ91" s="657"/>
      <c r="AK91" s="657"/>
      <c r="AL91" s="657"/>
      <c r="AM91" s="657"/>
      <c r="AN91" s="657"/>
      <c r="AO91" s="657"/>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1110</v>
      </c>
      <c r="C92" s="658" t="s">
        <v>148</v>
      </c>
      <c r="D92" s="658"/>
      <c r="E92" s="658"/>
      <c r="F92" s="658"/>
      <c r="G92" s="658"/>
      <c r="H92" s="658"/>
      <c r="I92" s="658"/>
      <c r="J92" s="658"/>
      <c r="K92" s="658"/>
      <c r="L92" s="658"/>
      <c r="M92" s="658"/>
      <c r="N92" s="658"/>
      <c r="O92" s="658"/>
      <c r="P92" s="658"/>
      <c r="Q92" s="658"/>
      <c r="R92" s="658"/>
      <c r="S92" s="658"/>
      <c r="T92" s="658"/>
      <c r="U92" s="658"/>
      <c r="V92" s="658"/>
      <c r="W92" s="658"/>
      <c r="X92" s="658"/>
      <c r="Y92" s="658"/>
      <c r="Z92" s="658"/>
      <c r="AA92" s="658"/>
      <c r="AB92" s="658"/>
      <c r="AC92" s="658"/>
      <c r="AD92" s="658"/>
      <c r="AE92" s="658"/>
      <c r="AF92" s="658"/>
      <c r="AG92" s="658"/>
      <c r="AH92" s="658"/>
      <c r="AI92" s="658"/>
      <c r="AJ92" s="658"/>
      <c r="AK92" s="658"/>
      <c r="AL92" s="658"/>
      <c r="AM92" s="658"/>
      <c r="AN92" s="658"/>
      <c r="AO92" s="658"/>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657"/>
      <c r="D93" s="657"/>
      <c r="E93" s="657"/>
      <c r="F93" s="657"/>
      <c r="G93" s="657"/>
      <c r="H93" s="657"/>
      <c r="I93" s="657"/>
      <c r="J93" s="657"/>
      <c r="K93" s="657"/>
      <c r="L93" s="657"/>
      <c r="M93" s="657"/>
      <c r="N93" s="657"/>
      <c r="O93" s="657"/>
      <c r="P93" s="657"/>
      <c r="Q93" s="657"/>
      <c r="R93" s="657"/>
      <c r="S93" s="657"/>
      <c r="T93" s="657"/>
      <c r="U93" s="657"/>
      <c r="V93" s="657"/>
      <c r="W93" s="657"/>
      <c r="X93" s="657"/>
      <c r="Y93" s="657"/>
      <c r="Z93" s="657"/>
      <c r="AA93" s="657"/>
      <c r="AB93" s="657"/>
      <c r="AC93" s="657"/>
      <c r="AD93" s="657"/>
      <c r="AE93" s="657"/>
      <c r="AF93" s="657"/>
      <c r="AG93" s="657"/>
      <c r="AH93" s="657"/>
      <c r="AI93" s="657"/>
      <c r="AJ93" s="657"/>
      <c r="AK93" s="657"/>
      <c r="AL93" s="657"/>
      <c r="AM93" s="657"/>
      <c r="AN93" s="657"/>
      <c r="AO93" s="657"/>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2</v>
      </c>
      <c r="C94" s="603">
        <v>2025</v>
      </c>
      <c r="D94" s="604"/>
      <c r="E94" s="605"/>
      <c r="F94" s="603" t="s">
        <v>6</v>
      </c>
      <c r="G94" s="604"/>
      <c r="H94" s="605"/>
      <c r="I94" s="603" t="s">
        <v>8</v>
      </c>
      <c r="J94" s="604"/>
      <c r="K94" s="605"/>
      <c r="L94" s="603" t="s">
        <v>9</v>
      </c>
      <c r="M94" s="604"/>
      <c r="N94" s="605"/>
      <c r="O94" s="603" t="s">
        <v>10</v>
      </c>
      <c r="P94" s="604"/>
      <c r="Q94" s="605"/>
      <c r="R94" s="603" t="s">
        <v>11</v>
      </c>
      <c r="S94" s="604"/>
      <c r="T94" s="605"/>
      <c r="U94" s="603" t="s">
        <v>12</v>
      </c>
      <c r="V94" s="604"/>
      <c r="W94" s="605"/>
      <c r="X94" s="603" t="s">
        <v>14</v>
      </c>
      <c r="Y94" s="604"/>
      <c r="Z94" s="605"/>
      <c r="AA94" s="603" t="s">
        <v>15</v>
      </c>
      <c r="AB94" s="604"/>
      <c r="AC94" s="605"/>
      <c r="AD94" s="603" t="s">
        <v>17</v>
      </c>
      <c r="AE94" s="604"/>
      <c r="AF94" s="605"/>
      <c r="AG94" s="603" t="s">
        <v>18</v>
      </c>
      <c r="AH94" s="604"/>
      <c r="AI94" s="605"/>
      <c r="AJ94" s="603" t="s">
        <v>19</v>
      </c>
      <c r="AK94" s="604"/>
      <c r="AL94" s="605"/>
      <c r="AM94" s="603" t="s">
        <v>5</v>
      </c>
      <c r="AN94" s="604"/>
      <c r="AO94" s="605"/>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659" t="s">
        <v>89</v>
      </c>
      <c r="D95" s="636" t="s">
        <v>90</v>
      </c>
      <c r="E95" s="660" t="s">
        <v>91</v>
      </c>
      <c r="F95" s="659" t="s">
        <v>89</v>
      </c>
      <c r="G95" s="636" t="s">
        <v>90</v>
      </c>
      <c r="H95" s="660" t="s">
        <v>91</v>
      </c>
      <c r="I95" s="659" t="s">
        <v>89</v>
      </c>
      <c r="J95" s="636" t="s">
        <v>90</v>
      </c>
      <c r="K95" s="660" t="s">
        <v>91</v>
      </c>
      <c r="L95" s="659" t="s">
        <v>89</v>
      </c>
      <c r="M95" s="636" t="s">
        <v>90</v>
      </c>
      <c r="N95" s="660" t="s">
        <v>91</v>
      </c>
      <c r="O95" s="659" t="s">
        <v>89</v>
      </c>
      <c r="P95" s="636" t="s">
        <v>90</v>
      </c>
      <c r="Q95" s="660" t="s">
        <v>91</v>
      </c>
      <c r="R95" s="659" t="s">
        <v>89</v>
      </c>
      <c r="S95" s="636" t="s">
        <v>90</v>
      </c>
      <c r="T95" s="660" t="s">
        <v>91</v>
      </c>
      <c r="U95" s="659" t="s">
        <v>89</v>
      </c>
      <c r="V95" s="636" t="s">
        <v>90</v>
      </c>
      <c r="W95" s="660" t="s">
        <v>91</v>
      </c>
      <c r="X95" s="659" t="s">
        <v>89</v>
      </c>
      <c r="Y95" s="636" t="s">
        <v>90</v>
      </c>
      <c r="Z95" s="660" t="s">
        <v>91</v>
      </c>
      <c r="AA95" s="659" t="s">
        <v>89</v>
      </c>
      <c r="AB95" s="636" t="s">
        <v>90</v>
      </c>
      <c r="AC95" s="660" t="s">
        <v>91</v>
      </c>
      <c r="AD95" s="659" t="s">
        <v>89</v>
      </c>
      <c r="AE95" s="636" t="s">
        <v>90</v>
      </c>
      <c r="AF95" s="660" t="s">
        <v>91</v>
      </c>
      <c r="AG95" s="659" t="s">
        <v>89</v>
      </c>
      <c r="AH95" s="636" t="s">
        <v>90</v>
      </c>
      <c r="AI95" s="660" t="s">
        <v>91</v>
      </c>
      <c r="AJ95" s="659" t="s">
        <v>89</v>
      </c>
      <c r="AK95" s="636" t="s">
        <v>90</v>
      </c>
      <c r="AL95" s="660" t="s">
        <v>91</v>
      </c>
      <c r="AM95" s="659" t="s">
        <v>89</v>
      </c>
      <c r="AN95" s="636" t="s">
        <v>90</v>
      </c>
      <c r="AO95" s="660" t="s">
        <v>91</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92</v>
      </c>
      <c r="C96" s="609"/>
      <c r="D96" s="610"/>
      <c r="E96" s="661"/>
      <c r="F96" s="609"/>
      <c r="G96" s="610"/>
      <c r="H96" s="661"/>
      <c r="I96" s="609"/>
      <c r="J96" s="610"/>
      <c r="K96" s="661"/>
      <c r="L96" s="609"/>
      <c r="M96" s="610"/>
      <c r="N96" s="661"/>
      <c r="O96" s="609"/>
      <c r="P96" s="610"/>
      <c r="Q96" s="661"/>
      <c r="R96" s="609"/>
      <c r="S96" s="610"/>
      <c r="T96" s="661"/>
      <c r="U96" s="609"/>
      <c r="V96" s="610"/>
      <c r="W96" s="661"/>
      <c r="X96" s="609"/>
      <c r="Y96" s="610"/>
      <c r="Z96" s="661"/>
      <c r="AA96" s="609"/>
      <c r="AB96" s="610"/>
      <c r="AC96" s="661"/>
      <c r="AD96" s="609"/>
      <c r="AE96" s="610"/>
      <c r="AF96" s="661"/>
      <c r="AG96" s="609"/>
      <c r="AH96" s="610"/>
      <c r="AI96" s="661"/>
      <c r="AJ96" s="609"/>
      <c r="AK96" s="610"/>
      <c r="AL96" s="661"/>
      <c r="AM96" s="609"/>
      <c r="AN96" s="610"/>
      <c r="AO96" s="661"/>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149</v>
      </c>
      <c r="C97" s="616"/>
      <c r="D97" s="614"/>
      <c r="E97" s="617"/>
      <c r="F97" s="616"/>
      <c r="G97" s="614"/>
      <c r="H97" s="617"/>
      <c r="I97" s="616"/>
      <c r="J97" s="614"/>
      <c r="K97" s="617"/>
      <c r="L97" s="616"/>
      <c r="M97" s="614"/>
      <c r="N97" s="617"/>
      <c r="O97" s="616"/>
      <c r="P97" s="614"/>
      <c r="Q97" s="617"/>
      <c r="R97" s="616"/>
      <c r="S97" s="614"/>
      <c r="T97" s="617"/>
      <c r="U97" s="616"/>
      <c r="V97" s="614"/>
      <c r="W97" s="617"/>
      <c r="X97" s="616"/>
      <c r="Y97" s="614"/>
      <c r="Z97" s="617"/>
      <c r="AA97" s="616"/>
      <c r="AB97" s="614"/>
      <c r="AC97" s="617"/>
      <c r="AD97" s="616"/>
      <c r="AE97" s="614"/>
      <c r="AF97" s="617"/>
      <c r="AG97" s="616"/>
      <c r="AH97" s="614"/>
      <c r="AI97" s="617"/>
      <c r="AJ97" s="616"/>
      <c r="AK97" s="614"/>
      <c r="AL97" s="617"/>
      <c r="AM97" s="616"/>
      <c r="AN97" s="614"/>
      <c r="AO97" s="617"/>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150</v>
      </c>
      <c r="C98" s="616"/>
      <c r="D98" s="614"/>
      <c r="E98" s="617"/>
      <c r="F98" s="616"/>
      <c r="G98" s="614"/>
      <c r="H98" s="617"/>
      <c r="I98" s="616"/>
      <c r="J98" s="614"/>
      <c r="K98" s="617"/>
      <c r="L98" s="616"/>
      <c r="M98" s="614"/>
      <c r="N98" s="617"/>
      <c r="O98" s="616"/>
      <c r="P98" s="614"/>
      <c r="Q98" s="617"/>
      <c r="R98" s="616"/>
      <c r="S98" s="614"/>
      <c r="T98" s="617"/>
      <c r="U98" s="616"/>
      <c r="V98" s="614"/>
      <c r="W98" s="617"/>
      <c r="X98" s="616"/>
      <c r="Y98" s="614"/>
      <c r="Z98" s="617"/>
      <c r="AA98" s="616"/>
      <c r="AB98" s="614"/>
      <c r="AC98" s="617"/>
      <c r="AD98" s="616"/>
      <c r="AE98" s="614"/>
      <c r="AF98" s="617"/>
      <c r="AG98" s="616"/>
      <c r="AH98" s="614"/>
      <c r="AI98" s="617"/>
      <c r="AJ98" s="616"/>
      <c r="AK98" s="614"/>
      <c r="AL98" s="617"/>
      <c r="AM98" s="616"/>
      <c r="AN98" s="614"/>
      <c r="AO98" s="617"/>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1094</v>
      </c>
      <c r="C99" s="616"/>
      <c r="D99" s="614"/>
      <c r="E99" s="617"/>
      <c r="F99" s="616"/>
      <c r="G99" s="614"/>
      <c r="H99" s="617"/>
      <c r="I99" s="616"/>
      <c r="J99" s="614"/>
      <c r="K99" s="617"/>
      <c r="L99" s="616"/>
      <c r="M99" s="614"/>
      <c r="N99" s="617"/>
      <c r="O99" s="616"/>
      <c r="P99" s="614"/>
      <c r="Q99" s="617"/>
      <c r="R99" s="616"/>
      <c r="S99" s="614"/>
      <c r="T99" s="617"/>
      <c r="U99" s="616"/>
      <c r="V99" s="614"/>
      <c r="W99" s="617"/>
      <c r="X99" s="616"/>
      <c r="Y99" s="614"/>
      <c r="Z99" s="617"/>
      <c r="AA99" s="616"/>
      <c r="AB99" s="614"/>
      <c r="AC99" s="617"/>
      <c r="AD99" s="616"/>
      <c r="AE99" s="614"/>
      <c r="AF99" s="617"/>
      <c r="AG99" s="616"/>
      <c r="AH99" s="614"/>
      <c r="AI99" s="617"/>
      <c r="AJ99" s="616"/>
      <c r="AK99" s="614"/>
      <c r="AL99" s="617"/>
      <c r="AM99" s="616"/>
      <c r="AN99" s="614"/>
      <c r="AO99" s="617"/>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151</v>
      </c>
      <c r="C100" s="892"/>
      <c r="D100" s="893"/>
      <c r="E100" s="894"/>
      <c r="F100" s="892"/>
      <c r="G100" s="893"/>
      <c r="H100" s="894"/>
      <c r="I100" s="892"/>
      <c r="J100" s="893"/>
      <c r="K100" s="894"/>
      <c r="L100" s="892"/>
      <c r="M100" s="893"/>
      <c r="N100" s="894"/>
      <c r="O100" s="892"/>
      <c r="P100" s="893"/>
      <c r="Q100" s="894"/>
      <c r="R100" s="892"/>
      <c r="S100" s="893"/>
      <c r="T100" s="894"/>
      <c r="U100" s="892"/>
      <c r="V100" s="893"/>
      <c r="W100" s="894"/>
      <c r="X100" s="892"/>
      <c r="Y100" s="893"/>
      <c r="Z100" s="894"/>
      <c r="AA100" s="892"/>
      <c r="AB100" s="893"/>
      <c r="AC100" s="894"/>
      <c r="AD100" s="892"/>
      <c r="AE100" s="893"/>
      <c r="AF100" s="894"/>
      <c r="AG100" s="892"/>
      <c r="AH100" s="893"/>
      <c r="AI100" s="894"/>
      <c r="AJ100" s="892"/>
      <c r="AK100" s="893"/>
      <c r="AL100" s="894"/>
      <c r="AM100" s="892"/>
      <c r="AN100" s="893"/>
      <c r="AO100" s="894"/>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997"/>
      <c r="D101" s="998"/>
      <c r="E101" s="999"/>
      <c r="F101" s="997"/>
      <c r="G101" s="998"/>
      <c r="H101" s="999"/>
      <c r="I101" s="997"/>
      <c r="J101" s="998"/>
      <c r="K101" s="999"/>
      <c r="L101" s="997"/>
      <c r="M101" s="998"/>
      <c r="N101" s="999"/>
      <c r="O101" s="997"/>
      <c r="P101" s="998"/>
      <c r="Q101" s="999"/>
      <c r="R101" s="997"/>
      <c r="S101" s="998"/>
      <c r="T101" s="999"/>
      <c r="U101" s="997"/>
      <c r="V101" s="998"/>
      <c r="W101" s="999"/>
      <c r="X101" s="997"/>
      <c r="Y101" s="998"/>
      <c r="Z101" s="999"/>
      <c r="AA101" s="997"/>
      <c r="AB101" s="998"/>
      <c r="AC101" s="999"/>
      <c r="AD101" s="997"/>
      <c r="AE101" s="998"/>
      <c r="AF101" s="999"/>
      <c r="AG101" s="997"/>
      <c r="AH101" s="998"/>
      <c r="AI101" s="999"/>
      <c r="AJ101" s="997"/>
      <c r="AK101" s="998"/>
      <c r="AL101" s="999"/>
      <c r="AM101" s="997"/>
      <c r="AN101" s="998"/>
      <c r="AO101" s="999"/>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618"/>
      <c r="D102" s="625"/>
      <c r="E102" s="619"/>
      <c r="F102" s="613"/>
      <c r="G102" s="625"/>
      <c r="H102" s="615"/>
      <c r="I102" s="613"/>
      <c r="J102" s="625"/>
      <c r="K102" s="615"/>
      <c r="L102" s="613"/>
      <c r="M102" s="625"/>
      <c r="N102" s="615"/>
      <c r="O102" s="613"/>
      <c r="P102" s="625"/>
      <c r="Q102" s="615"/>
      <c r="R102" s="613"/>
      <c r="S102" s="625"/>
      <c r="T102" s="615"/>
      <c r="U102" s="613"/>
      <c r="V102" s="625"/>
      <c r="W102" s="615"/>
      <c r="X102" s="613"/>
      <c r="Y102" s="625"/>
      <c r="Z102" s="615"/>
      <c r="AA102" s="613"/>
      <c r="AB102" s="625"/>
      <c r="AC102" s="615"/>
      <c r="AD102" s="613"/>
      <c r="AE102" s="625"/>
      <c r="AF102" s="615"/>
      <c r="AG102" s="613"/>
      <c r="AH102" s="625"/>
      <c r="AI102" s="615"/>
      <c r="AJ102" s="613"/>
      <c r="AK102" s="625"/>
      <c r="AL102" s="615"/>
      <c r="AM102" s="613"/>
      <c r="AN102" s="625"/>
      <c r="AO102" s="615"/>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152</v>
      </c>
      <c r="C103" s="616"/>
      <c r="D103" s="614"/>
      <c r="E103" s="617"/>
      <c r="F103" s="616"/>
      <c r="G103" s="614"/>
      <c r="H103" s="617"/>
      <c r="I103" s="616"/>
      <c r="J103" s="614"/>
      <c r="K103" s="617"/>
      <c r="L103" s="616"/>
      <c r="M103" s="614"/>
      <c r="N103" s="617"/>
      <c r="O103" s="616"/>
      <c r="P103" s="614"/>
      <c r="Q103" s="617"/>
      <c r="R103" s="616"/>
      <c r="S103" s="614"/>
      <c r="T103" s="617"/>
      <c r="U103" s="616"/>
      <c r="V103" s="614"/>
      <c r="W103" s="617"/>
      <c r="X103" s="616"/>
      <c r="Y103" s="614"/>
      <c r="Z103" s="617"/>
      <c r="AA103" s="616"/>
      <c r="AB103" s="614"/>
      <c r="AC103" s="617"/>
      <c r="AD103" s="616"/>
      <c r="AE103" s="614"/>
      <c r="AF103" s="617"/>
      <c r="AG103" s="616"/>
      <c r="AH103" s="614"/>
      <c r="AI103" s="617"/>
      <c r="AJ103" s="616"/>
      <c r="AK103" s="614"/>
      <c r="AL103" s="617"/>
      <c r="AM103" s="616"/>
      <c r="AN103" s="614"/>
      <c r="AO103" s="617"/>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662"/>
      <c r="D104" s="663"/>
      <c r="E104" s="664"/>
      <c r="F104" s="662"/>
      <c r="G104" s="663"/>
      <c r="H104" s="664"/>
      <c r="I104" s="662"/>
      <c r="J104" s="663"/>
      <c r="K104" s="664"/>
      <c r="L104" s="662"/>
      <c r="M104" s="663"/>
      <c r="N104" s="664"/>
      <c r="O104" s="662"/>
      <c r="P104" s="663"/>
      <c r="Q104" s="664"/>
      <c r="R104" s="662"/>
      <c r="S104" s="663"/>
      <c r="T104" s="664"/>
      <c r="U104" s="662"/>
      <c r="V104" s="663"/>
      <c r="W104" s="664"/>
      <c r="X104" s="662"/>
      <c r="Y104" s="663"/>
      <c r="Z104" s="664"/>
      <c r="AA104" s="662"/>
      <c r="AB104" s="663"/>
      <c r="AC104" s="664"/>
      <c r="AD104" s="662"/>
      <c r="AE104" s="663"/>
      <c r="AF104" s="664"/>
      <c r="AG104" s="662"/>
      <c r="AH104" s="663"/>
      <c r="AI104" s="664"/>
      <c r="AJ104" s="662"/>
      <c r="AK104" s="663"/>
      <c r="AL104" s="664"/>
      <c r="AM104" s="662"/>
      <c r="AN104" s="663"/>
      <c r="AO104" s="664"/>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101</v>
      </c>
      <c r="C105" s="616"/>
      <c r="D105" s="614"/>
      <c r="E105" s="617"/>
      <c r="F105" s="616"/>
      <c r="G105" s="614"/>
      <c r="H105" s="617"/>
      <c r="I105" s="616"/>
      <c r="J105" s="614"/>
      <c r="K105" s="617"/>
      <c r="L105" s="616"/>
      <c r="M105" s="614"/>
      <c r="N105" s="617"/>
      <c r="O105" s="616"/>
      <c r="P105" s="614"/>
      <c r="Q105" s="617"/>
      <c r="R105" s="616"/>
      <c r="S105" s="614"/>
      <c r="T105" s="617"/>
      <c r="U105" s="616"/>
      <c r="V105" s="614"/>
      <c r="W105" s="617"/>
      <c r="X105" s="616"/>
      <c r="Y105" s="614"/>
      <c r="Z105" s="617"/>
      <c r="AA105" s="616"/>
      <c r="AB105" s="614"/>
      <c r="AC105" s="617"/>
      <c r="AD105" s="616"/>
      <c r="AE105" s="614"/>
      <c r="AF105" s="617"/>
      <c r="AG105" s="616"/>
      <c r="AH105" s="614"/>
      <c r="AI105" s="617"/>
      <c r="AJ105" s="616"/>
      <c r="AK105" s="614"/>
      <c r="AL105" s="617"/>
      <c r="AM105" s="616"/>
      <c r="AN105" s="614"/>
      <c r="AO105" s="617"/>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102</v>
      </c>
      <c r="C106" s="616"/>
      <c r="D106" s="614"/>
      <c r="E106" s="617"/>
      <c r="F106" s="616"/>
      <c r="G106" s="614"/>
      <c r="H106" s="617"/>
      <c r="I106" s="616"/>
      <c r="J106" s="614"/>
      <c r="K106" s="617"/>
      <c r="L106" s="616"/>
      <c r="M106" s="614"/>
      <c r="N106" s="617"/>
      <c r="O106" s="616"/>
      <c r="P106" s="614"/>
      <c r="Q106" s="617"/>
      <c r="R106" s="616"/>
      <c r="S106" s="614"/>
      <c r="T106" s="617"/>
      <c r="U106" s="616"/>
      <c r="V106" s="614"/>
      <c r="W106" s="617"/>
      <c r="X106" s="616"/>
      <c r="Y106" s="614"/>
      <c r="Z106" s="617"/>
      <c r="AA106" s="616"/>
      <c r="AB106" s="614"/>
      <c r="AC106" s="617"/>
      <c r="AD106" s="616"/>
      <c r="AE106" s="614"/>
      <c r="AF106" s="617"/>
      <c r="AG106" s="616"/>
      <c r="AH106" s="614"/>
      <c r="AI106" s="617"/>
      <c r="AJ106" s="616"/>
      <c r="AK106" s="614"/>
      <c r="AL106" s="617"/>
      <c r="AM106" s="616"/>
      <c r="AN106" s="614"/>
      <c r="AO106" s="617"/>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103</v>
      </c>
      <c r="C107" s="616"/>
      <c r="D107" s="663"/>
      <c r="E107" s="617"/>
      <c r="F107" s="616"/>
      <c r="G107" s="663"/>
      <c r="H107" s="617"/>
      <c r="I107" s="616"/>
      <c r="J107" s="663"/>
      <c r="K107" s="617"/>
      <c r="L107" s="616"/>
      <c r="M107" s="663"/>
      <c r="N107" s="617"/>
      <c r="O107" s="616"/>
      <c r="P107" s="663"/>
      <c r="Q107" s="617"/>
      <c r="R107" s="616"/>
      <c r="S107" s="663"/>
      <c r="T107" s="617"/>
      <c r="U107" s="616"/>
      <c r="V107" s="663"/>
      <c r="W107" s="617"/>
      <c r="X107" s="616"/>
      <c r="Y107" s="663"/>
      <c r="Z107" s="617"/>
      <c r="AA107" s="616"/>
      <c r="AB107" s="663"/>
      <c r="AC107" s="617"/>
      <c r="AD107" s="616"/>
      <c r="AE107" s="663"/>
      <c r="AF107" s="617"/>
      <c r="AG107" s="616"/>
      <c r="AH107" s="663"/>
      <c r="AI107" s="617"/>
      <c r="AJ107" s="616"/>
      <c r="AK107" s="663"/>
      <c r="AL107" s="617"/>
      <c r="AM107" s="616"/>
      <c r="AN107" s="663"/>
      <c r="AO107" s="617"/>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104</v>
      </c>
      <c r="C108" s="892"/>
      <c r="D108" s="893"/>
      <c r="E108" s="894"/>
      <c r="F108" s="892"/>
      <c r="G108" s="893"/>
      <c r="H108" s="894"/>
      <c r="I108" s="892"/>
      <c r="J108" s="893"/>
      <c r="K108" s="894"/>
      <c r="L108" s="892"/>
      <c r="M108" s="893"/>
      <c r="N108" s="894"/>
      <c r="O108" s="892"/>
      <c r="P108" s="893"/>
      <c r="Q108" s="894"/>
      <c r="R108" s="892"/>
      <c r="S108" s="893"/>
      <c r="T108" s="894"/>
      <c r="U108" s="892"/>
      <c r="V108" s="893"/>
      <c r="W108" s="894"/>
      <c r="X108" s="892"/>
      <c r="Y108" s="893"/>
      <c r="Z108" s="894"/>
      <c r="AA108" s="892"/>
      <c r="AB108" s="893"/>
      <c r="AC108" s="894"/>
      <c r="AD108" s="892"/>
      <c r="AE108" s="893"/>
      <c r="AF108" s="894"/>
      <c r="AG108" s="892"/>
      <c r="AH108" s="893"/>
      <c r="AI108" s="894"/>
      <c r="AJ108" s="892"/>
      <c r="AK108" s="893"/>
      <c r="AL108" s="894"/>
      <c r="AM108" s="892"/>
      <c r="AN108" s="893"/>
      <c r="AO108" s="894"/>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618"/>
      <c r="D109" s="625"/>
      <c r="E109" s="626"/>
      <c r="F109" s="618"/>
      <c r="G109" s="625"/>
      <c r="H109" s="626"/>
      <c r="I109" s="618"/>
      <c r="J109" s="625"/>
      <c r="K109" s="626"/>
      <c r="L109" s="618"/>
      <c r="M109" s="625"/>
      <c r="N109" s="626"/>
      <c r="O109" s="618"/>
      <c r="P109" s="625"/>
      <c r="Q109" s="626"/>
      <c r="R109" s="618"/>
      <c r="S109" s="625"/>
      <c r="T109" s="626"/>
      <c r="U109" s="618"/>
      <c r="V109" s="625"/>
      <c r="W109" s="626"/>
      <c r="X109" s="618"/>
      <c r="Y109" s="625"/>
      <c r="Z109" s="626"/>
      <c r="AA109" s="618"/>
      <c r="AB109" s="625"/>
      <c r="AC109" s="626"/>
      <c r="AD109" s="618"/>
      <c r="AE109" s="625"/>
      <c r="AF109" s="626"/>
      <c r="AG109" s="618"/>
      <c r="AH109" s="625"/>
      <c r="AI109" s="626"/>
      <c r="AJ109" s="618"/>
      <c r="AK109" s="625"/>
      <c r="AL109" s="626"/>
      <c r="AM109" s="618"/>
      <c r="AN109" s="625"/>
      <c r="AO109" s="626"/>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618"/>
      <c r="D110" s="625"/>
      <c r="E110" s="626"/>
      <c r="F110" s="618"/>
      <c r="G110" s="625"/>
      <c r="H110" s="626"/>
      <c r="I110" s="618"/>
      <c r="J110" s="625"/>
      <c r="K110" s="626"/>
      <c r="L110" s="618"/>
      <c r="M110" s="625"/>
      <c r="N110" s="626"/>
      <c r="O110" s="618"/>
      <c r="P110" s="625"/>
      <c r="Q110" s="626"/>
      <c r="R110" s="618"/>
      <c r="S110" s="625"/>
      <c r="T110" s="626"/>
      <c r="U110" s="618"/>
      <c r="V110" s="625"/>
      <c r="W110" s="626"/>
      <c r="X110" s="618"/>
      <c r="Y110" s="625"/>
      <c r="Z110" s="626"/>
      <c r="AA110" s="618"/>
      <c r="AB110" s="625"/>
      <c r="AC110" s="626"/>
      <c r="AD110" s="618"/>
      <c r="AE110" s="625"/>
      <c r="AF110" s="626"/>
      <c r="AG110" s="618"/>
      <c r="AH110" s="625"/>
      <c r="AI110" s="626"/>
      <c r="AJ110" s="618"/>
      <c r="AK110" s="625"/>
      <c r="AL110" s="626"/>
      <c r="AM110" s="618"/>
      <c r="AN110" s="625"/>
      <c r="AO110" s="626"/>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153</v>
      </c>
      <c r="C111" s="627"/>
      <c r="D111" s="628"/>
      <c r="E111" s="629"/>
      <c r="F111" s="627"/>
      <c r="G111" s="628"/>
      <c r="H111" s="629"/>
      <c r="I111" s="627"/>
      <c r="J111" s="628"/>
      <c r="K111" s="629"/>
      <c r="L111" s="627"/>
      <c r="M111" s="628"/>
      <c r="N111" s="629"/>
      <c r="O111" s="627"/>
      <c r="P111" s="628"/>
      <c r="Q111" s="629"/>
      <c r="R111" s="627"/>
      <c r="S111" s="628"/>
      <c r="T111" s="629"/>
      <c r="U111" s="627"/>
      <c r="V111" s="628"/>
      <c r="W111" s="986"/>
      <c r="X111" s="627"/>
      <c r="Y111" s="628"/>
      <c r="Z111" s="986"/>
      <c r="AA111" s="627"/>
      <c r="AB111" s="628"/>
      <c r="AC111" s="986"/>
      <c r="AD111" s="627"/>
      <c r="AE111" s="628"/>
      <c r="AF111" s="986"/>
      <c r="AG111" s="627"/>
      <c r="AH111" s="628"/>
      <c r="AI111" s="629"/>
      <c r="AJ111" s="627"/>
      <c r="AK111" s="628"/>
      <c r="AL111" s="629"/>
      <c r="AM111" s="627"/>
      <c r="AN111" s="628"/>
      <c r="AO111" s="629"/>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630"/>
      <c r="D112" s="631"/>
      <c r="E112" s="632"/>
      <c r="F112" s="630"/>
      <c r="G112" s="631"/>
      <c r="H112" s="632"/>
      <c r="I112" s="630"/>
      <c r="J112" s="631"/>
      <c r="K112" s="632"/>
      <c r="L112" s="630"/>
      <c r="M112" s="631"/>
      <c r="N112" s="632"/>
      <c r="O112" s="630"/>
      <c r="P112" s="631"/>
      <c r="Q112" s="632"/>
      <c r="R112" s="630"/>
      <c r="S112" s="631"/>
      <c r="T112" s="632"/>
      <c r="U112" s="630"/>
      <c r="V112" s="631"/>
      <c r="W112" s="987"/>
      <c r="X112" s="630"/>
      <c r="Y112" s="631"/>
      <c r="Z112" s="987"/>
      <c r="AA112" s="630"/>
      <c r="AB112" s="631"/>
      <c r="AC112" s="987"/>
      <c r="AD112" s="630"/>
      <c r="AE112" s="631"/>
      <c r="AF112" s="987"/>
      <c r="AG112" s="630"/>
      <c r="AH112" s="631"/>
      <c r="AI112" s="632"/>
      <c r="AJ112" s="630"/>
      <c r="AK112" s="631"/>
      <c r="AL112" s="632"/>
      <c r="AM112" s="630"/>
      <c r="AN112" s="631"/>
      <c r="AO112" s="632"/>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665"/>
      <c r="D113" s="666"/>
      <c r="E113" s="667"/>
      <c r="F113" s="665"/>
      <c r="G113" s="666"/>
      <c r="H113" s="667"/>
      <c r="I113" s="665"/>
      <c r="J113" s="666"/>
      <c r="K113" s="667"/>
      <c r="L113" s="665"/>
      <c r="M113" s="666"/>
      <c r="N113" s="667"/>
      <c r="O113" s="665"/>
      <c r="P113" s="666"/>
      <c r="Q113" s="667"/>
      <c r="R113" s="665"/>
      <c r="S113" s="666"/>
      <c r="T113" s="667"/>
      <c r="U113" s="665"/>
      <c r="V113" s="666"/>
      <c r="W113" s="667"/>
      <c r="X113" s="665"/>
      <c r="Y113" s="666"/>
      <c r="Z113" s="667"/>
      <c r="AA113" s="665"/>
      <c r="AB113" s="666"/>
      <c r="AC113" s="667"/>
      <c r="AD113" s="665"/>
      <c r="AE113" s="666"/>
      <c r="AF113" s="667"/>
      <c r="AG113" s="665"/>
      <c r="AH113" s="666"/>
      <c r="AI113" s="667"/>
      <c r="AJ113" s="665"/>
      <c r="AK113" s="666"/>
      <c r="AL113" s="667"/>
      <c r="AM113" s="665"/>
      <c r="AN113" s="666"/>
      <c r="AO113" s="667"/>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106</v>
      </c>
      <c r="C114" s="618"/>
      <c r="D114" s="636"/>
      <c r="E114" s="619"/>
      <c r="F114" s="618"/>
      <c r="G114" s="636"/>
      <c r="H114" s="615"/>
      <c r="I114" s="618"/>
      <c r="J114" s="636"/>
      <c r="K114" s="615"/>
      <c r="L114" s="618"/>
      <c r="M114" s="636"/>
      <c r="N114" s="619"/>
      <c r="O114" s="618"/>
      <c r="P114" s="636"/>
      <c r="Q114" s="619"/>
      <c r="R114" s="618"/>
      <c r="S114" s="636"/>
      <c r="T114" s="619"/>
      <c r="U114" s="618"/>
      <c r="V114" s="636"/>
      <c r="W114" s="619"/>
      <c r="X114" s="618"/>
      <c r="Y114" s="636"/>
      <c r="Z114" s="619"/>
      <c r="AA114" s="618"/>
      <c r="AB114" s="636"/>
      <c r="AC114" s="619"/>
      <c r="AD114" s="618"/>
      <c r="AE114" s="636"/>
      <c r="AF114" s="619"/>
      <c r="AG114" s="618"/>
      <c r="AH114" s="636"/>
      <c r="AI114" s="619"/>
      <c r="AJ114" s="618"/>
      <c r="AK114" s="636"/>
      <c r="AL114" s="619"/>
      <c r="AM114" s="618"/>
      <c r="AN114" s="636"/>
      <c r="AO114" s="619"/>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107</v>
      </c>
      <c r="C115" s="1000"/>
      <c r="D115" s="638"/>
      <c r="E115" s="639"/>
      <c r="F115" s="1000"/>
      <c r="G115" s="638"/>
      <c r="H115" s="639"/>
      <c r="I115" s="1000"/>
      <c r="J115" s="638"/>
      <c r="K115" s="639"/>
      <c r="L115" s="1000"/>
      <c r="M115" s="638"/>
      <c r="N115" s="639"/>
      <c r="O115" s="1000"/>
      <c r="P115" s="638"/>
      <c r="Q115" s="639"/>
      <c r="R115" s="1000"/>
      <c r="S115" s="638"/>
      <c r="T115" s="639"/>
      <c r="U115" s="1000"/>
      <c r="V115" s="638"/>
      <c r="W115" s="639"/>
      <c r="X115" s="1000"/>
      <c r="Y115" s="638"/>
      <c r="Z115" s="639"/>
      <c r="AA115" s="1000"/>
      <c r="AB115" s="638"/>
      <c r="AC115" s="639"/>
      <c r="AD115" s="1000"/>
      <c r="AE115" s="638"/>
      <c r="AF115" s="639"/>
      <c r="AG115" s="1000"/>
      <c r="AH115" s="638"/>
      <c r="AI115" s="639"/>
      <c r="AJ115" s="1000"/>
      <c r="AK115" s="638"/>
      <c r="AL115" s="639"/>
      <c r="AM115" s="1000"/>
      <c r="AN115" s="638"/>
      <c r="AO115" s="988"/>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108</v>
      </c>
      <c r="C116" s="640"/>
      <c r="D116" s="641"/>
      <c r="E116" s="643"/>
      <c r="F116" s="640"/>
      <c r="G116" s="641"/>
      <c r="H116" s="643"/>
      <c r="I116" s="640"/>
      <c r="J116" s="641"/>
      <c r="K116" s="643"/>
      <c r="L116" s="640"/>
      <c r="M116" s="641"/>
      <c r="N116" s="643"/>
      <c r="O116" s="640"/>
      <c r="P116" s="641"/>
      <c r="Q116" s="643"/>
      <c r="R116" s="640"/>
      <c r="S116" s="641"/>
      <c r="T116" s="643"/>
      <c r="U116" s="640"/>
      <c r="V116" s="641"/>
      <c r="W116" s="643"/>
      <c r="X116" s="640"/>
      <c r="Y116" s="641"/>
      <c r="Z116" s="643"/>
      <c r="AA116" s="640"/>
      <c r="AB116" s="641"/>
      <c r="AC116" s="643"/>
      <c r="AD116" s="640"/>
      <c r="AE116" s="641"/>
      <c r="AF116" s="643"/>
      <c r="AG116" s="1001"/>
      <c r="AH116" s="641"/>
      <c r="AI116" s="643"/>
      <c r="AJ116" s="1001"/>
      <c r="AK116" s="641"/>
      <c r="AL116" s="643"/>
      <c r="AM116" s="1001"/>
      <c r="AN116" s="641"/>
      <c r="AO116" s="989"/>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109</v>
      </c>
      <c r="C117" s="618"/>
      <c r="D117" s="638"/>
      <c r="E117" s="639"/>
      <c r="F117" s="618"/>
      <c r="G117" s="638"/>
      <c r="H117" s="639"/>
      <c r="I117" s="618"/>
      <c r="J117" s="638"/>
      <c r="K117" s="639"/>
      <c r="L117" s="618"/>
      <c r="M117" s="638"/>
      <c r="N117" s="639"/>
      <c r="O117" s="618"/>
      <c r="P117" s="638"/>
      <c r="Q117" s="639"/>
      <c r="R117" s="618"/>
      <c r="S117" s="638"/>
      <c r="T117" s="639"/>
      <c r="U117" s="618"/>
      <c r="V117" s="638"/>
      <c r="W117" s="639"/>
      <c r="X117" s="618"/>
      <c r="Y117" s="638"/>
      <c r="Z117" s="639"/>
      <c r="AA117" s="618"/>
      <c r="AB117" s="638"/>
      <c r="AC117" s="639"/>
      <c r="AD117" s="618"/>
      <c r="AE117" s="638"/>
      <c r="AF117" s="639"/>
      <c r="AG117" s="618"/>
      <c r="AH117" s="638"/>
      <c r="AI117" s="639"/>
      <c r="AJ117" s="618"/>
      <c r="AK117" s="638"/>
      <c r="AL117" s="639"/>
      <c r="AM117" s="618"/>
      <c r="AN117" s="638"/>
      <c r="AO117" s="988"/>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110</v>
      </c>
      <c r="C118" s="618"/>
      <c r="D118" s="638"/>
      <c r="E118" s="639"/>
      <c r="F118" s="618"/>
      <c r="G118" s="638"/>
      <c r="H118" s="639"/>
      <c r="I118" s="618"/>
      <c r="J118" s="638"/>
      <c r="K118" s="639"/>
      <c r="L118" s="618"/>
      <c r="M118" s="638"/>
      <c r="N118" s="639"/>
      <c r="O118" s="618"/>
      <c r="P118" s="638"/>
      <c r="Q118" s="639"/>
      <c r="R118" s="618"/>
      <c r="S118" s="638"/>
      <c r="T118" s="639"/>
      <c r="U118" s="618"/>
      <c r="V118" s="638"/>
      <c r="W118" s="639"/>
      <c r="X118" s="618"/>
      <c r="Y118" s="638"/>
      <c r="Z118" s="639"/>
      <c r="AA118" s="618"/>
      <c r="AB118" s="638"/>
      <c r="AC118" s="639"/>
      <c r="AD118" s="618"/>
      <c r="AE118" s="638"/>
      <c r="AF118" s="639"/>
      <c r="AG118" s="618"/>
      <c r="AH118" s="638"/>
      <c r="AI118" s="639"/>
      <c r="AJ118" s="618"/>
      <c r="AK118" s="638"/>
      <c r="AL118" s="639"/>
      <c r="AM118" s="618"/>
      <c r="AN118" s="638"/>
      <c r="AO118" s="988"/>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111</v>
      </c>
      <c r="C119" s="644"/>
      <c r="D119" s="641"/>
      <c r="E119" s="643"/>
      <c r="F119" s="644"/>
      <c r="G119" s="641"/>
      <c r="H119" s="643"/>
      <c r="I119" s="644"/>
      <c r="J119" s="641"/>
      <c r="K119" s="643"/>
      <c r="L119" s="644"/>
      <c r="M119" s="641"/>
      <c r="N119" s="643"/>
      <c r="O119" s="644"/>
      <c r="P119" s="641"/>
      <c r="Q119" s="643"/>
      <c r="R119" s="644"/>
      <c r="S119" s="641"/>
      <c r="T119" s="643"/>
      <c r="U119" s="644"/>
      <c r="V119" s="641"/>
      <c r="W119" s="643"/>
      <c r="X119" s="644"/>
      <c r="Y119" s="641"/>
      <c r="Z119" s="643"/>
      <c r="AA119" s="644"/>
      <c r="AB119" s="641"/>
      <c r="AC119" s="643"/>
      <c r="AD119" s="644"/>
      <c r="AE119" s="641"/>
      <c r="AF119" s="643"/>
      <c r="AG119" s="644"/>
      <c r="AH119" s="641"/>
      <c r="AI119" s="643"/>
      <c r="AJ119" s="644"/>
      <c r="AK119" s="641"/>
      <c r="AL119" s="643"/>
      <c r="AM119" s="644"/>
      <c r="AN119" s="641"/>
      <c r="AO119" s="989"/>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112</v>
      </c>
      <c r="C120" s="618"/>
      <c r="D120" s="638"/>
      <c r="E120" s="639"/>
      <c r="F120" s="618"/>
      <c r="G120" s="638"/>
      <c r="H120" s="639"/>
      <c r="I120" s="618"/>
      <c r="J120" s="638"/>
      <c r="K120" s="639"/>
      <c r="L120" s="618"/>
      <c r="M120" s="638"/>
      <c r="N120" s="639"/>
      <c r="O120" s="618"/>
      <c r="P120" s="638"/>
      <c r="Q120" s="639"/>
      <c r="R120" s="618"/>
      <c r="S120" s="638"/>
      <c r="T120" s="639"/>
      <c r="U120" s="618"/>
      <c r="V120" s="638"/>
      <c r="W120" s="639"/>
      <c r="X120" s="618"/>
      <c r="Y120" s="638"/>
      <c r="Z120" s="639"/>
      <c r="AA120" s="618"/>
      <c r="AB120" s="638"/>
      <c r="AC120" s="639"/>
      <c r="AD120" s="618"/>
      <c r="AE120" s="638"/>
      <c r="AF120" s="639"/>
      <c r="AG120" s="618"/>
      <c r="AH120" s="638"/>
      <c r="AI120" s="639"/>
      <c r="AJ120" s="618"/>
      <c r="AK120" s="638"/>
      <c r="AL120" s="639"/>
      <c r="AM120" s="618"/>
      <c r="AN120" s="638"/>
      <c r="AO120" s="988"/>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113</v>
      </c>
      <c r="C121" s="618"/>
      <c r="D121" s="638"/>
      <c r="E121" s="639"/>
      <c r="F121" s="618"/>
      <c r="G121" s="638"/>
      <c r="H121" s="639"/>
      <c r="I121" s="618"/>
      <c r="J121" s="638"/>
      <c r="K121" s="639"/>
      <c r="L121" s="618"/>
      <c r="M121" s="638"/>
      <c r="N121" s="639"/>
      <c r="O121" s="618"/>
      <c r="P121" s="638"/>
      <c r="Q121" s="639"/>
      <c r="R121" s="618"/>
      <c r="S121" s="638"/>
      <c r="T121" s="639"/>
      <c r="U121" s="618"/>
      <c r="V121" s="638"/>
      <c r="W121" s="639"/>
      <c r="X121" s="618"/>
      <c r="Y121" s="638"/>
      <c r="Z121" s="639"/>
      <c r="AA121" s="618"/>
      <c r="AB121" s="638"/>
      <c r="AC121" s="639"/>
      <c r="AD121" s="618"/>
      <c r="AE121" s="638"/>
      <c r="AF121" s="639"/>
      <c r="AG121" s="618"/>
      <c r="AH121" s="638"/>
      <c r="AI121" s="639"/>
      <c r="AJ121" s="618"/>
      <c r="AK121" s="638"/>
      <c r="AL121" s="639"/>
      <c r="AM121" s="618"/>
      <c r="AN121" s="638"/>
      <c r="AO121" s="988"/>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55</v>
      </c>
      <c r="C122" s="668"/>
      <c r="D122" s="638"/>
      <c r="E122" s="626"/>
      <c r="F122" s="668"/>
      <c r="G122" s="638"/>
      <c r="H122" s="626"/>
      <c r="I122" s="668"/>
      <c r="J122" s="638"/>
      <c r="K122" s="626"/>
      <c r="L122" s="668"/>
      <c r="M122" s="638"/>
      <c r="N122" s="626"/>
      <c r="O122" s="668"/>
      <c r="P122" s="638"/>
      <c r="Q122" s="626"/>
      <c r="R122" s="668"/>
      <c r="S122" s="638"/>
      <c r="T122" s="626"/>
      <c r="U122" s="668"/>
      <c r="V122" s="638"/>
      <c r="W122" s="626"/>
      <c r="X122" s="668"/>
      <c r="Y122" s="638"/>
      <c r="Z122" s="626"/>
      <c r="AA122" s="668"/>
      <c r="AB122" s="638"/>
      <c r="AC122" s="626"/>
      <c r="AD122" s="668"/>
      <c r="AE122" s="638"/>
      <c r="AF122" s="626"/>
      <c r="AG122" s="668"/>
      <c r="AH122" s="638"/>
      <c r="AI122" s="626"/>
      <c r="AJ122" s="668"/>
      <c r="AK122" s="638"/>
      <c r="AL122" s="626"/>
      <c r="AM122" s="668"/>
      <c r="AN122" s="638"/>
      <c r="AO122" s="626"/>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55</v>
      </c>
      <c r="C123" s="668"/>
      <c r="D123" s="638"/>
      <c r="E123" s="626"/>
      <c r="F123" s="668"/>
      <c r="G123" s="638"/>
      <c r="H123" s="626"/>
      <c r="I123" s="668"/>
      <c r="J123" s="638"/>
      <c r="K123" s="626"/>
      <c r="L123" s="668"/>
      <c r="M123" s="638"/>
      <c r="N123" s="626"/>
      <c r="O123" s="668"/>
      <c r="P123" s="638"/>
      <c r="Q123" s="626"/>
      <c r="R123" s="668"/>
      <c r="S123" s="638"/>
      <c r="T123" s="626"/>
      <c r="U123" s="668"/>
      <c r="V123" s="638"/>
      <c r="W123" s="626"/>
      <c r="X123" s="668"/>
      <c r="Y123" s="638"/>
      <c r="Z123" s="626"/>
      <c r="AA123" s="668"/>
      <c r="AB123" s="638"/>
      <c r="AC123" s="626"/>
      <c r="AD123" s="668"/>
      <c r="AE123" s="638"/>
      <c r="AF123" s="626"/>
      <c r="AG123" s="668"/>
      <c r="AH123" s="638"/>
      <c r="AI123" s="626"/>
      <c r="AJ123" s="668"/>
      <c r="AK123" s="638"/>
      <c r="AL123" s="626"/>
      <c r="AM123" s="668"/>
      <c r="AN123" s="638"/>
      <c r="AO123" s="626"/>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55</v>
      </c>
      <c r="C124" s="668"/>
      <c r="D124" s="638"/>
      <c r="E124" s="626"/>
      <c r="F124" s="668"/>
      <c r="G124" s="638"/>
      <c r="H124" s="626"/>
      <c r="I124" s="668"/>
      <c r="J124" s="638"/>
      <c r="K124" s="626"/>
      <c r="L124" s="668"/>
      <c r="M124" s="638"/>
      <c r="N124" s="626"/>
      <c r="O124" s="668"/>
      <c r="P124" s="638"/>
      <c r="Q124" s="626"/>
      <c r="R124" s="668"/>
      <c r="S124" s="638"/>
      <c r="T124" s="626"/>
      <c r="U124" s="668"/>
      <c r="V124" s="638"/>
      <c r="W124" s="626"/>
      <c r="X124" s="668"/>
      <c r="Y124" s="638"/>
      <c r="Z124" s="626"/>
      <c r="AA124" s="668"/>
      <c r="AB124" s="638"/>
      <c r="AC124" s="626"/>
      <c r="AD124" s="668"/>
      <c r="AE124" s="638"/>
      <c r="AF124" s="626"/>
      <c r="AG124" s="668"/>
      <c r="AH124" s="638"/>
      <c r="AI124" s="626"/>
      <c r="AJ124" s="668"/>
      <c r="AK124" s="638"/>
      <c r="AL124" s="626"/>
      <c r="AM124" s="668"/>
      <c r="AN124" s="638"/>
      <c r="AO124" s="626"/>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114</v>
      </c>
      <c r="C125" s="903"/>
      <c r="D125" s="904"/>
      <c r="E125" s="905"/>
      <c r="F125" s="903"/>
      <c r="G125" s="904"/>
      <c r="H125" s="905"/>
      <c r="I125" s="903"/>
      <c r="J125" s="904"/>
      <c r="K125" s="905"/>
      <c r="L125" s="903"/>
      <c r="M125" s="904"/>
      <c r="N125" s="905"/>
      <c r="O125" s="903"/>
      <c r="P125" s="904"/>
      <c r="Q125" s="905"/>
      <c r="R125" s="1002"/>
      <c r="S125" s="904"/>
      <c r="T125" s="905"/>
      <c r="U125" s="1002"/>
      <c r="V125" s="904"/>
      <c r="W125" s="990"/>
      <c r="X125" s="1002"/>
      <c r="Y125" s="904"/>
      <c r="Z125" s="990"/>
      <c r="AA125" s="1002"/>
      <c r="AB125" s="904"/>
      <c r="AC125" s="990"/>
      <c r="AD125" s="1002"/>
      <c r="AE125" s="904"/>
      <c r="AF125" s="990"/>
      <c r="AG125" s="903"/>
      <c r="AH125" s="904"/>
      <c r="AI125" s="905"/>
      <c r="AJ125" s="903"/>
      <c r="AK125" s="904"/>
      <c r="AL125" s="905"/>
      <c r="AM125" s="903"/>
      <c r="AN125" s="904"/>
      <c r="AO125" s="905"/>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116</v>
      </c>
      <c r="C126" s="618"/>
      <c r="D126" s="625"/>
      <c r="E126" s="639"/>
      <c r="F126" s="618"/>
      <c r="G126" s="625"/>
      <c r="H126" s="639"/>
      <c r="I126" s="618"/>
      <c r="J126" s="625"/>
      <c r="K126" s="639"/>
      <c r="L126" s="618"/>
      <c r="M126" s="625"/>
      <c r="N126" s="639"/>
      <c r="O126" s="618"/>
      <c r="P126" s="625"/>
      <c r="Q126" s="639"/>
      <c r="R126" s="618"/>
      <c r="S126" s="625"/>
      <c r="T126" s="639"/>
      <c r="U126" s="618"/>
      <c r="V126" s="625"/>
      <c r="W126" s="639"/>
      <c r="X126" s="618"/>
      <c r="Y126" s="625"/>
      <c r="Z126" s="639"/>
      <c r="AA126" s="618"/>
      <c r="AB126" s="625"/>
      <c r="AC126" s="639"/>
      <c r="AD126" s="618"/>
      <c r="AE126" s="625"/>
      <c r="AF126" s="639"/>
      <c r="AG126" s="618"/>
      <c r="AH126" s="625"/>
      <c r="AI126" s="639"/>
      <c r="AJ126" s="618"/>
      <c r="AK126" s="625"/>
      <c r="AL126" s="639"/>
      <c r="AM126" s="618"/>
      <c r="AN126" s="625"/>
      <c r="AO126" s="988"/>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117</v>
      </c>
      <c r="C127" s="618"/>
      <c r="D127" s="625"/>
      <c r="E127" s="639"/>
      <c r="F127" s="618"/>
      <c r="G127" s="625"/>
      <c r="H127" s="639"/>
      <c r="I127" s="618"/>
      <c r="J127" s="625"/>
      <c r="K127" s="639"/>
      <c r="L127" s="618"/>
      <c r="M127" s="625"/>
      <c r="N127" s="639"/>
      <c r="O127" s="618"/>
      <c r="P127" s="625"/>
      <c r="Q127" s="639"/>
      <c r="R127" s="618"/>
      <c r="S127" s="625"/>
      <c r="T127" s="639"/>
      <c r="U127" s="618"/>
      <c r="V127" s="625"/>
      <c r="W127" s="639"/>
      <c r="X127" s="618"/>
      <c r="Y127" s="625"/>
      <c r="Z127" s="639"/>
      <c r="AA127" s="618"/>
      <c r="AB127" s="625"/>
      <c r="AC127" s="639"/>
      <c r="AD127" s="618"/>
      <c r="AE127" s="625"/>
      <c r="AF127" s="639"/>
      <c r="AG127" s="618"/>
      <c r="AH127" s="625"/>
      <c r="AI127" s="639"/>
      <c r="AJ127" s="618"/>
      <c r="AK127" s="625"/>
      <c r="AL127" s="639"/>
      <c r="AM127" s="618"/>
      <c r="AN127" s="625"/>
      <c r="AO127" s="988"/>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118</v>
      </c>
      <c r="C128" s="890"/>
      <c r="D128" s="908"/>
      <c r="E128" s="910"/>
      <c r="F128" s="890"/>
      <c r="G128" s="908"/>
      <c r="H128" s="910"/>
      <c r="I128" s="890"/>
      <c r="J128" s="908"/>
      <c r="K128" s="910"/>
      <c r="L128" s="890"/>
      <c r="M128" s="908"/>
      <c r="N128" s="910"/>
      <c r="O128" s="890"/>
      <c r="P128" s="908"/>
      <c r="Q128" s="910"/>
      <c r="R128" s="890"/>
      <c r="S128" s="908"/>
      <c r="T128" s="910"/>
      <c r="U128" s="890"/>
      <c r="V128" s="908"/>
      <c r="W128" s="910"/>
      <c r="X128" s="890"/>
      <c r="Y128" s="908"/>
      <c r="Z128" s="910"/>
      <c r="AA128" s="890"/>
      <c r="AB128" s="908"/>
      <c r="AC128" s="910"/>
      <c r="AD128" s="890"/>
      <c r="AE128" s="908"/>
      <c r="AF128" s="910"/>
      <c r="AG128" s="890"/>
      <c r="AH128" s="908"/>
      <c r="AI128" s="910"/>
      <c r="AJ128" s="890"/>
      <c r="AK128" s="908"/>
      <c r="AL128" s="910"/>
      <c r="AM128" s="890"/>
      <c r="AN128" s="908"/>
      <c r="AO128" s="991"/>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119</v>
      </c>
      <c r="C129" s="618"/>
      <c r="D129" s="625"/>
      <c r="E129" s="639"/>
      <c r="F129" s="618"/>
      <c r="G129" s="625"/>
      <c r="H129" s="639"/>
      <c r="I129" s="618"/>
      <c r="J129" s="625"/>
      <c r="K129" s="639"/>
      <c r="L129" s="618"/>
      <c r="M129" s="625"/>
      <c r="N129" s="639"/>
      <c r="O129" s="618"/>
      <c r="P129" s="625"/>
      <c r="Q129" s="639"/>
      <c r="R129" s="618"/>
      <c r="S129" s="625"/>
      <c r="T129" s="639"/>
      <c r="U129" s="618"/>
      <c r="V129" s="625"/>
      <c r="W129" s="639"/>
      <c r="X129" s="618"/>
      <c r="Y129" s="625"/>
      <c r="Z129" s="639"/>
      <c r="AA129" s="618"/>
      <c r="AB129" s="625"/>
      <c r="AC129" s="639"/>
      <c r="AD129" s="618"/>
      <c r="AE129" s="625"/>
      <c r="AF129" s="639"/>
      <c r="AG129" s="618"/>
      <c r="AH129" s="625"/>
      <c r="AI129" s="639"/>
      <c r="AJ129" s="618"/>
      <c r="AK129" s="625"/>
      <c r="AL129" s="639"/>
      <c r="AM129" s="618"/>
      <c r="AN129" s="625"/>
      <c r="AO129" s="988"/>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55</v>
      </c>
      <c r="C130" s="618"/>
      <c r="D130" s="625"/>
      <c r="E130" s="639"/>
      <c r="F130" s="618"/>
      <c r="G130" s="625"/>
      <c r="H130" s="639"/>
      <c r="I130" s="618"/>
      <c r="J130" s="625"/>
      <c r="K130" s="639"/>
      <c r="L130" s="618"/>
      <c r="M130" s="625"/>
      <c r="N130" s="639"/>
      <c r="O130" s="618"/>
      <c r="P130" s="625"/>
      <c r="Q130" s="639"/>
      <c r="R130" s="618"/>
      <c r="S130" s="625"/>
      <c r="T130" s="639"/>
      <c r="U130" s="618"/>
      <c r="V130" s="625"/>
      <c r="W130" s="639"/>
      <c r="X130" s="618"/>
      <c r="Y130" s="625"/>
      <c r="Z130" s="639"/>
      <c r="AA130" s="618"/>
      <c r="AB130" s="625"/>
      <c r="AC130" s="639"/>
      <c r="AD130" s="618"/>
      <c r="AE130" s="625"/>
      <c r="AF130" s="639"/>
      <c r="AG130" s="618"/>
      <c r="AH130" s="625"/>
      <c r="AI130" s="639"/>
      <c r="AJ130" s="618"/>
      <c r="AK130" s="625"/>
      <c r="AL130" s="639"/>
      <c r="AM130" s="618"/>
      <c r="AN130" s="625"/>
      <c r="AO130" s="988"/>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55</v>
      </c>
      <c r="C131" s="618"/>
      <c r="D131" s="625"/>
      <c r="E131" s="639"/>
      <c r="F131" s="618"/>
      <c r="G131" s="625"/>
      <c r="H131" s="639"/>
      <c r="I131" s="618"/>
      <c r="J131" s="625"/>
      <c r="K131" s="639"/>
      <c r="L131" s="618"/>
      <c r="M131" s="625"/>
      <c r="N131" s="639"/>
      <c r="O131" s="618"/>
      <c r="P131" s="625"/>
      <c r="Q131" s="639"/>
      <c r="R131" s="618"/>
      <c r="S131" s="625"/>
      <c r="T131" s="639"/>
      <c r="U131" s="618"/>
      <c r="V131" s="625"/>
      <c r="W131" s="639"/>
      <c r="X131" s="618"/>
      <c r="Y131" s="625"/>
      <c r="Z131" s="639"/>
      <c r="AA131" s="618"/>
      <c r="AB131" s="625"/>
      <c r="AC131" s="639"/>
      <c r="AD131" s="618"/>
      <c r="AE131" s="625"/>
      <c r="AF131" s="639"/>
      <c r="AG131" s="618"/>
      <c r="AH131" s="625"/>
      <c r="AI131" s="639"/>
      <c r="AJ131" s="618"/>
      <c r="AK131" s="625"/>
      <c r="AL131" s="639"/>
      <c r="AM131" s="618"/>
      <c r="AN131" s="625"/>
      <c r="AO131" s="988"/>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55</v>
      </c>
      <c r="C132" s="618"/>
      <c r="D132" s="625"/>
      <c r="E132" s="639"/>
      <c r="F132" s="618"/>
      <c r="G132" s="625"/>
      <c r="H132" s="639"/>
      <c r="I132" s="618"/>
      <c r="J132" s="625"/>
      <c r="K132" s="639"/>
      <c r="L132" s="618"/>
      <c r="M132" s="625"/>
      <c r="N132" s="639"/>
      <c r="O132" s="618"/>
      <c r="P132" s="625"/>
      <c r="Q132" s="639"/>
      <c r="R132" s="618"/>
      <c r="S132" s="625"/>
      <c r="T132" s="639"/>
      <c r="U132" s="618"/>
      <c r="V132" s="625"/>
      <c r="W132" s="639"/>
      <c r="X132" s="618"/>
      <c r="Y132" s="625"/>
      <c r="Z132" s="639"/>
      <c r="AA132" s="618"/>
      <c r="AB132" s="625"/>
      <c r="AC132" s="639"/>
      <c r="AD132" s="618"/>
      <c r="AE132" s="625"/>
      <c r="AF132" s="639"/>
      <c r="AG132" s="618"/>
      <c r="AH132" s="625"/>
      <c r="AI132" s="639"/>
      <c r="AJ132" s="618"/>
      <c r="AK132" s="625"/>
      <c r="AL132" s="639"/>
      <c r="AM132" s="618"/>
      <c r="AN132" s="625"/>
      <c r="AO132" s="988"/>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120</v>
      </c>
      <c r="C133" s="618"/>
      <c r="D133" s="625"/>
      <c r="E133" s="639"/>
      <c r="F133" s="618"/>
      <c r="G133" s="625"/>
      <c r="H133" s="639"/>
      <c r="I133" s="618"/>
      <c r="J133" s="625"/>
      <c r="K133" s="639"/>
      <c r="L133" s="618"/>
      <c r="M133" s="625"/>
      <c r="N133" s="639"/>
      <c r="O133" s="618"/>
      <c r="P133" s="625"/>
      <c r="Q133" s="639"/>
      <c r="R133" s="618"/>
      <c r="S133" s="625"/>
      <c r="T133" s="639"/>
      <c r="U133" s="618"/>
      <c r="V133" s="625"/>
      <c r="W133" s="639"/>
      <c r="X133" s="618"/>
      <c r="Y133" s="625"/>
      <c r="Z133" s="639"/>
      <c r="AA133" s="618"/>
      <c r="AB133" s="625"/>
      <c r="AC133" s="639"/>
      <c r="AD133" s="618"/>
      <c r="AE133" s="625"/>
      <c r="AF133" s="639"/>
      <c r="AG133" s="618"/>
      <c r="AH133" s="625"/>
      <c r="AI133" s="639"/>
      <c r="AJ133" s="618"/>
      <c r="AK133" s="625"/>
      <c r="AL133" s="639"/>
      <c r="AM133" s="618"/>
      <c r="AN133" s="625"/>
      <c r="AO133" s="988"/>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121</v>
      </c>
      <c r="C134" s="890"/>
      <c r="D134" s="908"/>
      <c r="E134" s="910"/>
      <c r="F134" s="890"/>
      <c r="G134" s="908"/>
      <c r="H134" s="910"/>
      <c r="I134" s="890"/>
      <c r="J134" s="908"/>
      <c r="K134" s="910"/>
      <c r="L134" s="890"/>
      <c r="M134" s="908"/>
      <c r="N134" s="910"/>
      <c r="O134" s="890"/>
      <c r="P134" s="908"/>
      <c r="Q134" s="910"/>
      <c r="R134" s="890"/>
      <c r="S134" s="908"/>
      <c r="T134" s="910"/>
      <c r="U134" s="890"/>
      <c r="V134" s="908"/>
      <c r="W134" s="910"/>
      <c r="X134" s="890"/>
      <c r="Y134" s="908"/>
      <c r="Z134" s="910"/>
      <c r="AA134" s="890"/>
      <c r="AB134" s="908"/>
      <c r="AC134" s="910"/>
      <c r="AD134" s="890"/>
      <c r="AE134" s="908"/>
      <c r="AF134" s="910"/>
      <c r="AG134" s="890"/>
      <c r="AH134" s="908"/>
      <c r="AI134" s="910"/>
      <c r="AJ134" s="890"/>
      <c r="AK134" s="908"/>
      <c r="AL134" s="910"/>
      <c r="AM134" s="890"/>
      <c r="AN134" s="908"/>
      <c r="AO134" s="991"/>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122</v>
      </c>
      <c r="C135" s="618"/>
      <c r="D135" s="625"/>
      <c r="E135" s="639"/>
      <c r="F135" s="618"/>
      <c r="G135" s="625"/>
      <c r="H135" s="639"/>
      <c r="I135" s="618"/>
      <c r="J135" s="625"/>
      <c r="K135" s="639"/>
      <c r="L135" s="618"/>
      <c r="M135" s="625"/>
      <c r="N135" s="639"/>
      <c r="O135" s="618"/>
      <c r="P135" s="625"/>
      <c r="Q135" s="639"/>
      <c r="R135" s="618"/>
      <c r="S135" s="625"/>
      <c r="T135" s="639"/>
      <c r="U135" s="618"/>
      <c r="V135" s="625"/>
      <c r="W135" s="639"/>
      <c r="X135" s="618"/>
      <c r="Y135" s="625"/>
      <c r="Z135" s="639"/>
      <c r="AA135" s="618"/>
      <c r="AB135" s="625"/>
      <c r="AC135" s="639"/>
      <c r="AD135" s="618"/>
      <c r="AE135" s="625"/>
      <c r="AF135" s="639"/>
      <c r="AG135" s="618"/>
      <c r="AH135" s="625"/>
      <c r="AI135" s="639"/>
      <c r="AJ135" s="618"/>
      <c r="AK135" s="625"/>
      <c r="AL135" s="639"/>
      <c r="AM135" s="618"/>
      <c r="AN135" s="625"/>
      <c r="AO135" s="988"/>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123</v>
      </c>
      <c r="C136" s="618"/>
      <c r="D136" s="625"/>
      <c r="E136" s="639"/>
      <c r="F136" s="618"/>
      <c r="G136" s="625"/>
      <c r="H136" s="639"/>
      <c r="I136" s="618"/>
      <c r="J136" s="625"/>
      <c r="K136" s="639"/>
      <c r="L136" s="618"/>
      <c r="M136" s="625"/>
      <c r="N136" s="639"/>
      <c r="O136" s="618"/>
      <c r="P136" s="625"/>
      <c r="Q136" s="639"/>
      <c r="R136" s="618"/>
      <c r="S136" s="625"/>
      <c r="T136" s="639"/>
      <c r="U136" s="618"/>
      <c r="V136" s="625"/>
      <c r="W136" s="639"/>
      <c r="X136" s="618"/>
      <c r="Y136" s="625"/>
      <c r="Z136" s="639"/>
      <c r="AA136" s="618"/>
      <c r="AB136" s="625"/>
      <c r="AC136" s="639"/>
      <c r="AD136" s="618"/>
      <c r="AE136" s="625"/>
      <c r="AF136" s="639"/>
      <c r="AG136" s="618"/>
      <c r="AH136" s="625"/>
      <c r="AI136" s="639"/>
      <c r="AJ136" s="618"/>
      <c r="AK136" s="625"/>
      <c r="AL136" s="639"/>
      <c r="AM136" s="618"/>
      <c r="AN136" s="625"/>
      <c r="AO136" s="988"/>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644"/>
      <c r="D137" s="645"/>
      <c r="E137" s="642"/>
      <c r="F137" s="644"/>
      <c r="G137" s="645"/>
      <c r="H137" s="642"/>
      <c r="I137" s="644"/>
      <c r="J137" s="645"/>
      <c r="K137" s="642"/>
      <c r="L137" s="644"/>
      <c r="M137" s="645"/>
      <c r="N137" s="642"/>
      <c r="O137" s="644"/>
      <c r="P137" s="645"/>
      <c r="Q137" s="642"/>
      <c r="R137" s="644"/>
      <c r="S137" s="645"/>
      <c r="T137" s="642"/>
      <c r="U137" s="644"/>
      <c r="V137" s="645"/>
      <c r="W137" s="642"/>
      <c r="X137" s="644"/>
      <c r="Y137" s="645"/>
      <c r="Z137" s="642"/>
      <c r="AA137" s="644"/>
      <c r="AB137" s="645"/>
      <c r="AC137" s="642"/>
      <c r="AD137" s="644"/>
      <c r="AE137" s="645"/>
      <c r="AF137" s="642"/>
      <c r="AG137" s="644"/>
      <c r="AH137" s="645"/>
      <c r="AI137" s="642"/>
      <c r="AJ137" s="644"/>
      <c r="AK137" s="645"/>
      <c r="AL137" s="642"/>
      <c r="AM137" s="644"/>
      <c r="AN137" s="645"/>
      <c r="AO137" s="642"/>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124</v>
      </c>
      <c r="C138" s="903"/>
      <c r="D138" s="904"/>
      <c r="E138" s="905"/>
      <c r="F138" s="903"/>
      <c r="G138" s="904"/>
      <c r="H138" s="905"/>
      <c r="I138" s="903"/>
      <c r="J138" s="904"/>
      <c r="K138" s="905"/>
      <c r="L138" s="903"/>
      <c r="M138" s="904"/>
      <c r="N138" s="905"/>
      <c r="O138" s="903"/>
      <c r="P138" s="904"/>
      <c r="Q138" s="905"/>
      <c r="R138" s="903"/>
      <c r="S138" s="904"/>
      <c r="T138" s="905"/>
      <c r="U138" s="903"/>
      <c r="V138" s="904"/>
      <c r="W138" s="990"/>
      <c r="X138" s="903"/>
      <c r="Y138" s="904"/>
      <c r="Z138" s="990"/>
      <c r="AA138" s="903"/>
      <c r="AB138" s="904"/>
      <c r="AC138" s="990"/>
      <c r="AD138" s="903"/>
      <c r="AE138" s="904"/>
      <c r="AF138" s="990"/>
      <c r="AG138" s="903"/>
      <c r="AH138" s="904"/>
      <c r="AI138" s="905"/>
      <c r="AJ138" s="903"/>
      <c r="AK138" s="904"/>
      <c r="AL138" s="905"/>
      <c r="AM138" s="903"/>
      <c r="AN138" s="904"/>
      <c r="AO138" s="905"/>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125</v>
      </c>
      <c r="C139" s="618"/>
      <c r="D139" s="625"/>
      <c r="E139" s="639"/>
      <c r="F139" s="618"/>
      <c r="G139" s="625"/>
      <c r="H139" s="639"/>
      <c r="I139" s="618"/>
      <c r="J139" s="625"/>
      <c r="K139" s="639"/>
      <c r="L139" s="618"/>
      <c r="M139" s="625"/>
      <c r="N139" s="639"/>
      <c r="O139" s="618"/>
      <c r="P139" s="625"/>
      <c r="Q139" s="639"/>
      <c r="R139" s="618"/>
      <c r="S139" s="625"/>
      <c r="T139" s="639"/>
      <c r="U139" s="618"/>
      <c r="V139" s="625"/>
      <c r="W139" s="639"/>
      <c r="X139" s="618"/>
      <c r="Y139" s="625"/>
      <c r="Z139" s="639"/>
      <c r="AA139" s="618"/>
      <c r="AB139" s="625"/>
      <c r="AC139" s="639"/>
      <c r="AD139" s="618"/>
      <c r="AE139" s="625"/>
      <c r="AF139" s="639"/>
      <c r="AG139" s="618"/>
      <c r="AH139" s="625"/>
      <c r="AI139" s="639"/>
      <c r="AJ139" s="618"/>
      <c r="AK139" s="625"/>
      <c r="AL139" s="639"/>
      <c r="AM139" s="618"/>
      <c r="AN139" s="625"/>
      <c r="AO139" s="988"/>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126</v>
      </c>
      <c r="C140" s="618"/>
      <c r="D140" s="625"/>
      <c r="E140" s="639"/>
      <c r="F140" s="618"/>
      <c r="G140" s="625"/>
      <c r="H140" s="639"/>
      <c r="I140" s="618"/>
      <c r="J140" s="625"/>
      <c r="K140" s="639"/>
      <c r="L140" s="618"/>
      <c r="M140" s="625"/>
      <c r="N140" s="639"/>
      <c r="O140" s="618"/>
      <c r="P140" s="625"/>
      <c r="Q140" s="639"/>
      <c r="R140" s="618"/>
      <c r="S140" s="625"/>
      <c r="T140" s="639"/>
      <c r="U140" s="618"/>
      <c r="V140" s="625"/>
      <c r="W140" s="639"/>
      <c r="X140" s="618"/>
      <c r="Y140" s="625"/>
      <c r="Z140" s="639"/>
      <c r="AA140" s="618"/>
      <c r="AB140" s="625"/>
      <c r="AC140" s="639"/>
      <c r="AD140" s="618"/>
      <c r="AE140" s="625"/>
      <c r="AF140" s="639"/>
      <c r="AG140" s="618"/>
      <c r="AH140" s="625"/>
      <c r="AI140" s="639"/>
      <c r="AJ140" s="618"/>
      <c r="AK140" s="625"/>
      <c r="AL140" s="639"/>
      <c r="AM140" s="618"/>
      <c r="AN140" s="625"/>
      <c r="AO140" s="988"/>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127</v>
      </c>
      <c r="C141" s="646"/>
      <c r="D141" s="647"/>
      <c r="E141" s="649"/>
      <c r="F141" s="646"/>
      <c r="G141" s="647"/>
      <c r="H141" s="649"/>
      <c r="I141" s="646"/>
      <c r="J141" s="647"/>
      <c r="K141" s="649"/>
      <c r="L141" s="646"/>
      <c r="M141" s="647"/>
      <c r="N141" s="649"/>
      <c r="O141" s="646"/>
      <c r="P141" s="647"/>
      <c r="Q141" s="649"/>
      <c r="R141" s="646"/>
      <c r="S141" s="647"/>
      <c r="T141" s="649"/>
      <c r="U141" s="646"/>
      <c r="V141" s="647"/>
      <c r="W141" s="649"/>
      <c r="X141" s="646"/>
      <c r="Y141" s="647"/>
      <c r="Z141" s="649"/>
      <c r="AA141" s="646"/>
      <c r="AB141" s="647"/>
      <c r="AC141" s="649"/>
      <c r="AD141" s="646"/>
      <c r="AE141" s="647"/>
      <c r="AF141" s="649"/>
      <c r="AG141" s="646"/>
      <c r="AH141" s="647"/>
      <c r="AI141" s="649"/>
      <c r="AJ141" s="646"/>
      <c r="AK141" s="647"/>
      <c r="AL141" s="649"/>
      <c r="AM141" s="646"/>
      <c r="AN141" s="647"/>
      <c r="AO141" s="992"/>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128</v>
      </c>
      <c r="C142" s="618"/>
      <c r="D142" s="625"/>
      <c r="E142" s="639"/>
      <c r="F142" s="618"/>
      <c r="G142" s="625"/>
      <c r="H142" s="639"/>
      <c r="I142" s="618"/>
      <c r="J142" s="625"/>
      <c r="K142" s="639"/>
      <c r="L142" s="618"/>
      <c r="M142" s="625"/>
      <c r="N142" s="639"/>
      <c r="O142" s="618"/>
      <c r="P142" s="625"/>
      <c r="Q142" s="639"/>
      <c r="R142" s="618"/>
      <c r="S142" s="625"/>
      <c r="T142" s="639"/>
      <c r="U142" s="618"/>
      <c r="V142" s="625"/>
      <c r="W142" s="639"/>
      <c r="X142" s="618"/>
      <c r="Y142" s="625"/>
      <c r="Z142" s="639"/>
      <c r="AA142" s="618"/>
      <c r="AB142" s="625"/>
      <c r="AC142" s="639"/>
      <c r="AD142" s="618"/>
      <c r="AE142" s="625"/>
      <c r="AF142" s="639"/>
      <c r="AG142" s="618"/>
      <c r="AH142" s="625"/>
      <c r="AI142" s="639"/>
      <c r="AJ142" s="618"/>
      <c r="AK142" s="625"/>
      <c r="AL142" s="639"/>
      <c r="AM142" s="618"/>
      <c r="AN142" s="625"/>
      <c r="AO142" s="988"/>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129</v>
      </c>
      <c r="C143" s="618"/>
      <c r="D143" s="625"/>
      <c r="E143" s="639"/>
      <c r="F143" s="618"/>
      <c r="G143" s="625"/>
      <c r="H143" s="639"/>
      <c r="I143" s="618"/>
      <c r="J143" s="625"/>
      <c r="K143" s="639"/>
      <c r="L143" s="618"/>
      <c r="M143" s="625"/>
      <c r="N143" s="639"/>
      <c r="O143" s="618"/>
      <c r="P143" s="625"/>
      <c r="Q143" s="639"/>
      <c r="R143" s="618"/>
      <c r="S143" s="625"/>
      <c r="T143" s="639"/>
      <c r="U143" s="618"/>
      <c r="V143" s="625"/>
      <c r="W143" s="639"/>
      <c r="X143" s="618"/>
      <c r="Y143" s="625"/>
      <c r="Z143" s="639"/>
      <c r="AA143" s="618"/>
      <c r="AB143" s="625"/>
      <c r="AC143" s="639"/>
      <c r="AD143" s="618"/>
      <c r="AE143" s="625"/>
      <c r="AF143" s="639"/>
      <c r="AG143" s="618"/>
      <c r="AH143" s="625"/>
      <c r="AI143" s="639"/>
      <c r="AJ143" s="618"/>
      <c r="AK143" s="625"/>
      <c r="AL143" s="639"/>
      <c r="AM143" s="618"/>
      <c r="AN143" s="625"/>
      <c r="AO143" s="988"/>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130</v>
      </c>
      <c r="C144" s="646"/>
      <c r="D144" s="647"/>
      <c r="E144" s="649"/>
      <c r="F144" s="646"/>
      <c r="G144" s="647"/>
      <c r="H144" s="649"/>
      <c r="I144" s="646"/>
      <c r="J144" s="647"/>
      <c r="K144" s="649"/>
      <c r="L144" s="646"/>
      <c r="M144" s="647"/>
      <c r="N144" s="649"/>
      <c r="O144" s="646"/>
      <c r="P144" s="647"/>
      <c r="Q144" s="649"/>
      <c r="R144" s="646"/>
      <c r="S144" s="647"/>
      <c r="T144" s="649"/>
      <c r="U144" s="646"/>
      <c r="V144" s="647"/>
      <c r="W144" s="649"/>
      <c r="X144" s="646"/>
      <c r="Y144" s="647"/>
      <c r="Z144" s="649"/>
      <c r="AA144" s="646"/>
      <c r="AB144" s="647"/>
      <c r="AC144" s="649"/>
      <c r="AD144" s="646"/>
      <c r="AE144" s="647"/>
      <c r="AF144" s="649"/>
      <c r="AG144" s="646"/>
      <c r="AH144" s="647"/>
      <c r="AI144" s="649"/>
      <c r="AJ144" s="646"/>
      <c r="AK144" s="647"/>
      <c r="AL144" s="649"/>
      <c r="AM144" s="646"/>
      <c r="AN144" s="647"/>
      <c r="AO144" s="992"/>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131</v>
      </c>
      <c r="C145" s="618"/>
      <c r="D145" s="625"/>
      <c r="E145" s="639"/>
      <c r="F145" s="618"/>
      <c r="G145" s="625"/>
      <c r="H145" s="639"/>
      <c r="I145" s="618"/>
      <c r="J145" s="625"/>
      <c r="K145" s="639"/>
      <c r="L145" s="618"/>
      <c r="M145" s="625"/>
      <c r="N145" s="639"/>
      <c r="O145" s="618"/>
      <c r="P145" s="625"/>
      <c r="Q145" s="639"/>
      <c r="R145" s="618"/>
      <c r="S145" s="625"/>
      <c r="T145" s="639"/>
      <c r="U145" s="618"/>
      <c r="V145" s="625"/>
      <c r="W145" s="639"/>
      <c r="X145" s="618"/>
      <c r="Y145" s="625"/>
      <c r="Z145" s="639"/>
      <c r="AA145" s="618"/>
      <c r="AB145" s="625"/>
      <c r="AC145" s="639"/>
      <c r="AD145" s="618"/>
      <c r="AE145" s="625"/>
      <c r="AF145" s="639"/>
      <c r="AG145" s="618"/>
      <c r="AH145" s="625"/>
      <c r="AI145" s="639"/>
      <c r="AJ145" s="618"/>
      <c r="AK145" s="625"/>
      <c r="AL145" s="639"/>
      <c r="AM145" s="618"/>
      <c r="AN145" s="625"/>
      <c r="AO145" s="988"/>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132</v>
      </c>
      <c r="C146" s="618"/>
      <c r="D146" s="625"/>
      <c r="E146" s="639"/>
      <c r="F146" s="618"/>
      <c r="G146" s="625"/>
      <c r="H146" s="639"/>
      <c r="I146" s="618"/>
      <c r="J146" s="625"/>
      <c r="K146" s="639"/>
      <c r="L146" s="618"/>
      <c r="M146" s="625"/>
      <c r="N146" s="639"/>
      <c r="O146" s="618"/>
      <c r="P146" s="625"/>
      <c r="Q146" s="639"/>
      <c r="R146" s="618"/>
      <c r="S146" s="625"/>
      <c r="T146" s="639"/>
      <c r="U146" s="618"/>
      <c r="V146" s="625"/>
      <c r="W146" s="639"/>
      <c r="X146" s="618"/>
      <c r="Y146" s="625"/>
      <c r="Z146" s="639"/>
      <c r="AA146" s="618"/>
      <c r="AB146" s="625"/>
      <c r="AC146" s="639"/>
      <c r="AD146" s="618"/>
      <c r="AE146" s="625"/>
      <c r="AF146" s="639"/>
      <c r="AG146" s="618"/>
      <c r="AH146" s="625"/>
      <c r="AI146" s="639"/>
      <c r="AJ146" s="618"/>
      <c r="AK146" s="625"/>
      <c r="AL146" s="639"/>
      <c r="AM146" s="618"/>
      <c r="AN146" s="625"/>
      <c r="AO146" s="988"/>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133</v>
      </c>
      <c r="C147" s="618"/>
      <c r="D147" s="625"/>
      <c r="E147" s="639"/>
      <c r="F147" s="618"/>
      <c r="G147" s="625"/>
      <c r="H147" s="639"/>
      <c r="I147" s="618"/>
      <c r="J147" s="625"/>
      <c r="K147" s="639"/>
      <c r="L147" s="618"/>
      <c r="M147" s="625"/>
      <c r="N147" s="639"/>
      <c r="O147" s="618"/>
      <c r="P147" s="625"/>
      <c r="Q147" s="639"/>
      <c r="R147" s="618"/>
      <c r="S147" s="625"/>
      <c r="T147" s="639"/>
      <c r="U147" s="618"/>
      <c r="V147" s="625"/>
      <c r="W147" s="639"/>
      <c r="X147" s="618"/>
      <c r="Y147" s="625"/>
      <c r="Z147" s="639"/>
      <c r="AA147" s="618"/>
      <c r="AB147" s="625"/>
      <c r="AC147" s="639"/>
      <c r="AD147" s="618"/>
      <c r="AE147" s="625"/>
      <c r="AF147" s="639"/>
      <c r="AG147" s="618"/>
      <c r="AH147" s="625"/>
      <c r="AI147" s="639"/>
      <c r="AJ147" s="618"/>
      <c r="AK147" s="625"/>
      <c r="AL147" s="639"/>
      <c r="AM147" s="618"/>
      <c r="AN147" s="625"/>
      <c r="AO147" s="988"/>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134</v>
      </c>
      <c r="C148" s="618"/>
      <c r="D148" s="625"/>
      <c r="E148" s="639"/>
      <c r="F148" s="618"/>
      <c r="G148" s="625"/>
      <c r="H148" s="639"/>
      <c r="I148" s="618"/>
      <c r="J148" s="625"/>
      <c r="K148" s="639"/>
      <c r="L148" s="618"/>
      <c r="M148" s="625"/>
      <c r="N148" s="639"/>
      <c r="O148" s="618"/>
      <c r="P148" s="625"/>
      <c r="Q148" s="639"/>
      <c r="R148" s="618"/>
      <c r="S148" s="625"/>
      <c r="T148" s="639"/>
      <c r="U148" s="618"/>
      <c r="V148" s="625"/>
      <c r="W148" s="639"/>
      <c r="X148" s="618"/>
      <c r="Y148" s="625"/>
      <c r="Z148" s="639"/>
      <c r="AA148" s="618"/>
      <c r="AB148" s="625"/>
      <c r="AC148" s="639"/>
      <c r="AD148" s="618"/>
      <c r="AE148" s="625"/>
      <c r="AF148" s="639"/>
      <c r="AG148" s="618"/>
      <c r="AH148" s="625"/>
      <c r="AI148" s="639"/>
      <c r="AJ148" s="618"/>
      <c r="AK148" s="625"/>
      <c r="AL148" s="639"/>
      <c r="AM148" s="618"/>
      <c r="AN148" s="625"/>
      <c r="AO148" s="988"/>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135</v>
      </c>
      <c r="C149" s="618"/>
      <c r="D149" s="625"/>
      <c r="E149" s="639"/>
      <c r="F149" s="618"/>
      <c r="G149" s="625"/>
      <c r="H149" s="639"/>
      <c r="I149" s="618"/>
      <c r="J149" s="625"/>
      <c r="K149" s="639"/>
      <c r="L149" s="618"/>
      <c r="M149" s="625"/>
      <c r="N149" s="639"/>
      <c r="O149" s="618"/>
      <c r="P149" s="625"/>
      <c r="Q149" s="639"/>
      <c r="R149" s="618"/>
      <c r="S149" s="625"/>
      <c r="T149" s="639"/>
      <c r="U149" s="618"/>
      <c r="V149" s="625"/>
      <c r="W149" s="639"/>
      <c r="X149" s="618"/>
      <c r="Y149" s="625"/>
      <c r="Z149" s="639"/>
      <c r="AA149" s="618"/>
      <c r="AB149" s="625"/>
      <c r="AC149" s="639"/>
      <c r="AD149" s="618"/>
      <c r="AE149" s="625"/>
      <c r="AF149" s="639"/>
      <c r="AG149" s="618"/>
      <c r="AH149" s="625"/>
      <c r="AI149" s="639"/>
      <c r="AJ149" s="618"/>
      <c r="AK149" s="625"/>
      <c r="AL149" s="639"/>
      <c r="AM149" s="618"/>
      <c r="AN149" s="625"/>
      <c r="AO149" s="988"/>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136</v>
      </c>
      <c r="C150" s="618"/>
      <c r="D150" s="625"/>
      <c r="E150" s="639"/>
      <c r="F150" s="618"/>
      <c r="G150" s="625"/>
      <c r="H150" s="639"/>
      <c r="I150" s="618"/>
      <c r="J150" s="625"/>
      <c r="K150" s="639"/>
      <c r="L150" s="618"/>
      <c r="M150" s="625"/>
      <c r="N150" s="639"/>
      <c r="O150" s="618"/>
      <c r="P150" s="625"/>
      <c r="Q150" s="639"/>
      <c r="R150" s="618"/>
      <c r="S150" s="625"/>
      <c r="T150" s="639"/>
      <c r="U150" s="618"/>
      <c r="V150" s="625"/>
      <c r="W150" s="639"/>
      <c r="X150" s="618"/>
      <c r="Y150" s="625"/>
      <c r="Z150" s="639"/>
      <c r="AA150" s="618"/>
      <c r="AB150" s="625"/>
      <c r="AC150" s="639"/>
      <c r="AD150" s="618"/>
      <c r="AE150" s="625"/>
      <c r="AF150" s="639"/>
      <c r="AG150" s="618"/>
      <c r="AH150" s="625"/>
      <c r="AI150" s="639"/>
      <c r="AJ150" s="618"/>
      <c r="AK150" s="625"/>
      <c r="AL150" s="639"/>
      <c r="AM150" s="618"/>
      <c r="AN150" s="625"/>
      <c r="AO150" s="988"/>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137</v>
      </c>
      <c r="C151" s="618"/>
      <c r="D151" s="625"/>
      <c r="E151" s="639"/>
      <c r="F151" s="618"/>
      <c r="G151" s="625"/>
      <c r="H151" s="639"/>
      <c r="I151" s="618"/>
      <c r="J151" s="625"/>
      <c r="K151" s="639"/>
      <c r="L151" s="618"/>
      <c r="M151" s="625"/>
      <c r="N151" s="639"/>
      <c r="O151" s="618"/>
      <c r="P151" s="625"/>
      <c r="Q151" s="639"/>
      <c r="R151" s="618"/>
      <c r="S151" s="625"/>
      <c r="T151" s="639"/>
      <c r="U151" s="618"/>
      <c r="V151" s="625"/>
      <c r="W151" s="639"/>
      <c r="X151" s="618"/>
      <c r="Y151" s="625"/>
      <c r="Z151" s="639"/>
      <c r="AA151" s="618"/>
      <c r="AB151" s="625"/>
      <c r="AC151" s="639"/>
      <c r="AD151" s="618"/>
      <c r="AE151" s="625"/>
      <c r="AF151" s="639"/>
      <c r="AG151" s="618"/>
      <c r="AH151" s="625"/>
      <c r="AI151" s="639"/>
      <c r="AJ151" s="618"/>
      <c r="AK151" s="625"/>
      <c r="AL151" s="639"/>
      <c r="AM151" s="618"/>
      <c r="AN151" s="625"/>
      <c r="AO151" s="988"/>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138</v>
      </c>
      <c r="C152" s="618"/>
      <c r="D152" s="625"/>
      <c r="E152" s="639"/>
      <c r="F152" s="618"/>
      <c r="G152" s="625"/>
      <c r="H152" s="639"/>
      <c r="I152" s="618"/>
      <c r="J152" s="625"/>
      <c r="K152" s="639"/>
      <c r="L152" s="618"/>
      <c r="M152" s="625"/>
      <c r="N152" s="639"/>
      <c r="O152" s="618"/>
      <c r="P152" s="625"/>
      <c r="Q152" s="639"/>
      <c r="R152" s="618"/>
      <c r="S152" s="625"/>
      <c r="T152" s="639"/>
      <c r="U152" s="618"/>
      <c r="V152" s="625"/>
      <c r="W152" s="639"/>
      <c r="X152" s="618"/>
      <c r="Y152" s="625"/>
      <c r="Z152" s="639"/>
      <c r="AA152" s="618"/>
      <c r="AB152" s="625"/>
      <c r="AC152" s="639"/>
      <c r="AD152" s="618"/>
      <c r="AE152" s="625"/>
      <c r="AF152" s="639"/>
      <c r="AG152" s="618"/>
      <c r="AH152" s="625"/>
      <c r="AI152" s="639"/>
      <c r="AJ152" s="618"/>
      <c r="AK152" s="625"/>
      <c r="AL152" s="639"/>
      <c r="AM152" s="618"/>
      <c r="AN152" s="625"/>
      <c r="AO152" s="988"/>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55</v>
      </c>
      <c r="C153" s="618"/>
      <c r="D153" s="625"/>
      <c r="E153" s="626"/>
      <c r="F153" s="618"/>
      <c r="G153" s="625"/>
      <c r="H153" s="626"/>
      <c r="I153" s="618"/>
      <c r="J153" s="625"/>
      <c r="K153" s="626"/>
      <c r="L153" s="618"/>
      <c r="M153" s="625"/>
      <c r="N153" s="626"/>
      <c r="O153" s="618"/>
      <c r="P153" s="625"/>
      <c r="Q153" s="626"/>
      <c r="R153" s="618"/>
      <c r="S153" s="625"/>
      <c r="T153" s="626"/>
      <c r="U153" s="618"/>
      <c r="V153" s="625"/>
      <c r="W153" s="626"/>
      <c r="X153" s="618"/>
      <c r="Y153" s="625"/>
      <c r="Z153" s="626"/>
      <c r="AA153" s="618"/>
      <c r="AB153" s="625"/>
      <c r="AC153" s="626"/>
      <c r="AD153" s="618"/>
      <c r="AE153" s="625"/>
      <c r="AF153" s="626"/>
      <c r="AG153" s="618"/>
      <c r="AH153" s="625"/>
      <c r="AI153" s="626"/>
      <c r="AJ153" s="618"/>
      <c r="AK153" s="625"/>
      <c r="AL153" s="626"/>
      <c r="AM153" s="618"/>
      <c r="AN153" s="625"/>
      <c r="AO153" s="626"/>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55</v>
      </c>
      <c r="C154" s="618"/>
      <c r="D154" s="625"/>
      <c r="E154" s="626"/>
      <c r="F154" s="618"/>
      <c r="G154" s="625"/>
      <c r="H154" s="626"/>
      <c r="I154" s="618"/>
      <c r="J154" s="625"/>
      <c r="K154" s="626"/>
      <c r="L154" s="618"/>
      <c r="M154" s="625"/>
      <c r="N154" s="626"/>
      <c r="O154" s="618"/>
      <c r="P154" s="625"/>
      <c r="Q154" s="626"/>
      <c r="R154" s="618"/>
      <c r="S154" s="625"/>
      <c r="T154" s="626"/>
      <c r="U154" s="618"/>
      <c r="V154" s="625"/>
      <c r="W154" s="626"/>
      <c r="X154" s="618"/>
      <c r="Y154" s="625"/>
      <c r="Z154" s="626"/>
      <c r="AA154" s="618"/>
      <c r="AB154" s="625"/>
      <c r="AC154" s="626"/>
      <c r="AD154" s="618"/>
      <c r="AE154" s="625"/>
      <c r="AF154" s="626"/>
      <c r="AG154" s="618"/>
      <c r="AH154" s="625"/>
      <c r="AI154" s="626"/>
      <c r="AJ154" s="618"/>
      <c r="AK154" s="625"/>
      <c r="AL154" s="626"/>
      <c r="AM154" s="618"/>
      <c r="AN154" s="625"/>
      <c r="AO154" s="626"/>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55</v>
      </c>
      <c r="C155" s="644"/>
      <c r="D155" s="645"/>
      <c r="E155" s="626"/>
      <c r="F155" s="644"/>
      <c r="G155" s="645"/>
      <c r="H155" s="626"/>
      <c r="I155" s="644"/>
      <c r="J155" s="645"/>
      <c r="K155" s="626"/>
      <c r="L155" s="644"/>
      <c r="M155" s="645"/>
      <c r="N155" s="626"/>
      <c r="O155" s="644"/>
      <c r="P155" s="645"/>
      <c r="Q155" s="626"/>
      <c r="R155" s="644"/>
      <c r="S155" s="645"/>
      <c r="T155" s="626"/>
      <c r="U155" s="644"/>
      <c r="V155" s="645"/>
      <c r="W155" s="626"/>
      <c r="X155" s="644"/>
      <c r="Y155" s="645"/>
      <c r="Z155" s="626"/>
      <c r="AA155" s="644"/>
      <c r="AB155" s="645"/>
      <c r="AC155" s="626"/>
      <c r="AD155" s="644"/>
      <c r="AE155" s="645"/>
      <c r="AF155" s="626"/>
      <c r="AG155" s="644"/>
      <c r="AH155" s="645"/>
      <c r="AI155" s="626"/>
      <c r="AJ155" s="644"/>
      <c r="AK155" s="645"/>
      <c r="AL155" s="626"/>
      <c r="AM155" s="644"/>
      <c r="AN155" s="645"/>
      <c r="AO155" s="626"/>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139</v>
      </c>
      <c r="C156" s="903"/>
      <c r="D156" s="904"/>
      <c r="E156" s="905"/>
      <c r="F156" s="903"/>
      <c r="G156" s="904"/>
      <c r="H156" s="905"/>
      <c r="I156" s="903"/>
      <c r="J156" s="904"/>
      <c r="K156" s="905"/>
      <c r="L156" s="903"/>
      <c r="M156" s="904"/>
      <c r="N156" s="905"/>
      <c r="O156" s="903"/>
      <c r="P156" s="904"/>
      <c r="Q156" s="905"/>
      <c r="R156" s="903"/>
      <c r="S156" s="904"/>
      <c r="T156" s="905"/>
      <c r="U156" s="903"/>
      <c r="V156" s="904"/>
      <c r="W156" s="990"/>
      <c r="X156" s="903"/>
      <c r="Y156" s="904"/>
      <c r="Z156" s="990"/>
      <c r="AA156" s="903"/>
      <c r="AB156" s="904"/>
      <c r="AC156" s="990"/>
      <c r="AD156" s="903"/>
      <c r="AE156" s="904"/>
      <c r="AF156" s="990"/>
      <c r="AG156" s="903"/>
      <c r="AH156" s="904"/>
      <c r="AI156" s="905"/>
      <c r="AJ156" s="903"/>
      <c r="AK156" s="904"/>
      <c r="AL156" s="905"/>
      <c r="AM156" s="903"/>
      <c r="AN156" s="904"/>
      <c r="AO156" s="905"/>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644"/>
      <c r="D157" s="645"/>
      <c r="E157" s="642"/>
      <c r="F157" s="644"/>
      <c r="G157" s="645"/>
      <c r="H157" s="642"/>
      <c r="I157" s="644"/>
      <c r="J157" s="645"/>
      <c r="K157" s="642"/>
      <c r="L157" s="644"/>
      <c r="M157" s="645"/>
      <c r="N157" s="642"/>
      <c r="O157" s="644"/>
      <c r="P157" s="645"/>
      <c r="Q157" s="642"/>
      <c r="R157" s="644"/>
      <c r="S157" s="645"/>
      <c r="T157" s="642"/>
      <c r="U157" s="644"/>
      <c r="V157" s="645"/>
      <c r="W157" s="642"/>
      <c r="X157" s="644"/>
      <c r="Y157" s="645"/>
      <c r="Z157" s="642"/>
      <c r="AA157" s="644"/>
      <c r="AB157" s="645"/>
      <c r="AC157" s="642"/>
      <c r="AD157" s="644"/>
      <c r="AE157" s="645"/>
      <c r="AF157" s="642"/>
      <c r="AG157" s="644"/>
      <c r="AH157" s="645"/>
      <c r="AI157" s="642"/>
      <c r="AJ157" s="644"/>
      <c r="AK157" s="645"/>
      <c r="AL157" s="642"/>
      <c r="AM157" s="644"/>
      <c r="AN157" s="645"/>
      <c r="AO157" s="642"/>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140</v>
      </c>
      <c r="C158" s="903"/>
      <c r="D158" s="904"/>
      <c r="E158" s="913"/>
      <c r="F158" s="903"/>
      <c r="G158" s="904"/>
      <c r="H158" s="913"/>
      <c r="I158" s="903"/>
      <c r="J158" s="904"/>
      <c r="K158" s="913"/>
      <c r="L158" s="903"/>
      <c r="M158" s="904"/>
      <c r="N158" s="913"/>
      <c r="O158" s="903"/>
      <c r="P158" s="904"/>
      <c r="Q158" s="913"/>
      <c r="R158" s="903"/>
      <c r="S158" s="904"/>
      <c r="T158" s="913"/>
      <c r="U158" s="903"/>
      <c r="V158" s="904"/>
      <c r="W158" s="993"/>
      <c r="X158" s="903"/>
      <c r="Y158" s="904"/>
      <c r="Z158" s="993"/>
      <c r="AA158" s="903"/>
      <c r="AB158" s="904"/>
      <c r="AC158" s="993"/>
      <c r="AD158" s="903"/>
      <c r="AE158" s="904"/>
      <c r="AF158" s="993"/>
      <c r="AG158" s="903"/>
      <c r="AH158" s="904"/>
      <c r="AI158" s="913"/>
      <c r="AJ158" s="903"/>
      <c r="AK158" s="904"/>
      <c r="AL158" s="913"/>
      <c r="AM158" s="903"/>
      <c r="AN158" s="904"/>
      <c r="AO158" s="913"/>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154</v>
      </c>
      <c r="C159" s="659"/>
      <c r="D159" s="669"/>
      <c r="E159" s="639"/>
      <c r="F159" s="659"/>
      <c r="G159" s="669"/>
      <c r="H159" s="639"/>
      <c r="I159" s="659"/>
      <c r="J159" s="669"/>
      <c r="K159" s="639"/>
      <c r="L159" s="659"/>
      <c r="M159" s="669"/>
      <c r="N159" s="639"/>
      <c r="O159" s="659"/>
      <c r="P159" s="669"/>
      <c r="Q159" s="639"/>
      <c r="R159" s="659"/>
      <c r="S159" s="669"/>
      <c r="T159" s="639"/>
      <c r="U159" s="659"/>
      <c r="V159" s="669"/>
      <c r="W159" s="639"/>
      <c r="X159" s="659"/>
      <c r="Y159" s="669"/>
      <c r="Z159" s="639"/>
      <c r="AA159" s="659"/>
      <c r="AB159" s="669"/>
      <c r="AC159" s="639"/>
      <c r="AD159" s="659"/>
      <c r="AE159" s="669"/>
      <c r="AF159" s="639"/>
      <c r="AG159" s="659"/>
      <c r="AH159" s="669"/>
      <c r="AI159" s="639"/>
      <c r="AJ159" s="659"/>
      <c r="AK159" s="669"/>
      <c r="AL159" s="639"/>
      <c r="AM159" s="659"/>
      <c r="AN159" s="669"/>
      <c r="AO159" s="639"/>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155</v>
      </c>
      <c r="C160" s="659"/>
      <c r="D160" s="669"/>
      <c r="E160" s="639"/>
      <c r="F160" s="659"/>
      <c r="G160" s="669"/>
      <c r="H160" s="639"/>
      <c r="I160" s="659"/>
      <c r="J160" s="669"/>
      <c r="K160" s="639"/>
      <c r="L160" s="659"/>
      <c r="M160" s="669"/>
      <c r="N160" s="639"/>
      <c r="O160" s="659"/>
      <c r="P160" s="669"/>
      <c r="Q160" s="639"/>
      <c r="R160" s="659"/>
      <c r="S160" s="669"/>
      <c r="T160" s="639"/>
      <c r="U160" s="659"/>
      <c r="V160" s="669"/>
      <c r="W160" s="639"/>
      <c r="X160" s="659"/>
      <c r="Y160" s="669"/>
      <c r="Z160" s="639"/>
      <c r="AA160" s="659"/>
      <c r="AB160" s="669"/>
      <c r="AC160" s="639"/>
      <c r="AD160" s="659"/>
      <c r="AE160" s="669"/>
      <c r="AF160" s="639"/>
      <c r="AG160" s="659"/>
      <c r="AH160" s="669"/>
      <c r="AI160" s="639"/>
      <c r="AJ160" s="659"/>
      <c r="AK160" s="669"/>
      <c r="AL160" s="639"/>
      <c r="AM160" s="659"/>
      <c r="AN160" s="669"/>
      <c r="AO160" s="639"/>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156</v>
      </c>
      <c r="C161" s="618"/>
      <c r="D161" s="625"/>
      <c r="E161" s="639"/>
      <c r="F161" s="618"/>
      <c r="G161" s="625"/>
      <c r="H161" s="639"/>
      <c r="I161" s="618"/>
      <c r="J161" s="625"/>
      <c r="K161" s="639"/>
      <c r="L161" s="618"/>
      <c r="M161" s="625"/>
      <c r="N161" s="639"/>
      <c r="O161" s="618"/>
      <c r="P161" s="625"/>
      <c r="Q161" s="639"/>
      <c r="R161" s="618"/>
      <c r="S161" s="625"/>
      <c r="T161" s="639"/>
      <c r="U161" s="618"/>
      <c r="V161" s="625"/>
      <c r="W161" s="639"/>
      <c r="X161" s="618"/>
      <c r="Y161" s="625"/>
      <c r="Z161" s="639"/>
      <c r="AA161" s="618"/>
      <c r="AB161" s="625"/>
      <c r="AC161" s="639"/>
      <c r="AD161" s="618"/>
      <c r="AE161" s="625"/>
      <c r="AF161" s="639"/>
      <c r="AG161" s="618"/>
      <c r="AH161" s="625"/>
      <c r="AI161" s="639"/>
      <c r="AJ161" s="618"/>
      <c r="AK161" s="625"/>
      <c r="AL161" s="639"/>
      <c r="AM161" s="618"/>
      <c r="AN161" s="625"/>
      <c r="AO161" s="639"/>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618"/>
      <c r="D162" s="625"/>
      <c r="E162" s="639"/>
      <c r="F162" s="618"/>
      <c r="G162" s="625"/>
      <c r="H162" s="639"/>
      <c r="I162" s="618"/>
      <c r="J162" s="625"/>
      <c r="K162" s="639"/>
      <c r="L162" s="618"/>
      <c r="M162" s="625"/>
      <c r="N162" s="639"/>
      <c r="O162" s="618"/>
      <c r="P162" s="625"/>
      <c r="Q162" s="639"/>
      <c r="R162" s="618"/>
      <c r="S162" s="625"/>
      <c r="T162" s="639"/>
      <c r="U162" s="618"/>
      <c r="V162" s="625"/>
      <c r="W162" s="639"/>
      <c r="X162" s="618"/>
      <c r="Y162" s="625"/>
      <c r="Z162" s="639"/>
      <c r="AA162" s="618"/>
      <c r="AB162" s="625"/>
      <c r="AC162" s="639"/>
      <c r="AD162" s="618"/>
      <c r="AE162" s="625"/>
      <c r="AF162" s="639"/>
      <c r="AG162" s="618"/>
      <c r="AH162" s="625"/>
      <c r="AI162" s="639"/>
      <c r="AJ162" s="618"/>
      <c r="AK162" s="625"/>
      <c r="AL162" s="639"/>
      <c r="AM162" s="618"/>
      <c r="AN162" s="625"/>
      <c r="AO162" s="639"/>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55</v>
      </c>
      <c r="C163" s="618"/>
      <c r="D163" s="625"/>
      <c r="E163" s="639"/>
      <c r="F163" s="618"/>
      <c r="G163" s="625"/>
      <c r="H163" s="639"/>
      <c r="I163" s="618"/>
      <c r="J163" s="625"/>
      <c r="K163" s="639"/>
      <c r="L163" s="618"/>
      <c r="M163" s="625"/>
      <c r="N163" s="639"/>
      <c r="O163" s="618"/>
      <c r="P163" s="625"/>
      <c r="Q163" s="639"/>
      <c r="R163" s="618"/>
      <c r="S163" s="625"/>
      <c r="T163" s="639"/>
      <c r="U163" s="618"/>
      <c r="V163" s="625"/>
      <c r="W163" s="639"/>
      <c r="X163" s="618"/>
      <c r="Y163" s="625"/>
      <c r="Z163" s="639"/>
      <c r="AA163" s="618"/>
      <c r="AB163" s="625"/>
      <c r="AC163" s="639"/>
      <c r="AD163" s="618"/>
      <c r="AE163" s="625"/>
      <c r="AF163" s="639"/>
      <c r="AG163" s="618"/>
      <c r="AH163" s="625"/>
      <c r="AI163" s="639"/>
      <c r="AJ163" s="618"/>
      <c r="AK163" s="625"/>
      <c r="AL163" s="639"/>
      <c r="AM163" s="618"/>
      <c r="AN163" s="625"/>
      <c r="AO163" s="639"/>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55</v>
      </c>
      <c r="C164" s="618"/>
      <c r="D164" s="625"/>
      <c r="E164" s="639"/>
      <c r="F164" s="618"/>
      <c r="G164" s="625"/>
      <c r="H164" s="639"/>
      <c r="I164" s="618"/>
      <c r="J164" s="625"/>
      <c r="K164" s="639"/>
      <c r="L164" s="618"/>
      <c r="M164" s="625"/>
      <c r="N164" s="639"/>
      <c r="O164" s="618"/>
      <c r="P164" s="625"/>
      <c r="Q164" s="639"/>
      <c r="R164" s="618"/>
      <c r="S164" s="625"/>
      <c r="T164" s="639"/>
      <c r="U164" s="618"/>
      <c r="V164" s="625"/>
      <c r="W164" s="639"/>
      <c r="X164" s="618"/>
      <c r="Y164" s="625"/>
      <c r="Z164" s="639"/>
      <c r="AA164" s="618"/>
      <c r="AB164" s="625"/>
      <c r="AC164" s="639"/>
      <c r="AD164" s="618"/>
      <c r="AE164" s="625"/>
      <c r="AF164" s="639"/>
      <c r="AG164" s="618"/>
      <c r="AH164" s="625"/>
      <c r="AI164" s="639"/>
      <c r="AJ164" s="618"/>
      <c r="AK164" s="625"/>
      <c r="AL164" s="639"/>
      <c r="AM164" s="618"/>
      <c r="AN164" s="625"/>
      <c r="AO164" s="639"/>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145</v>
      </c>
      <c r="C165" s="618"/>
      <c r="D165" s="625"/>
      <c r="E165" s="639"/>
      <c r="F165" s="618"/>
      <c r="G165" s="625"/>
      <c r="H165" s="639"/>
      <c r="I165" s="618"/>
      <c r="J165" s="625"/>
      <c r="K165" s="639"/>
      <c r="L165" s="618"/>
      <c r="M165" s="625"/>
      <c r="N165" s="639"/>
      <c r="O165" s="618"/>
      <c r="P165" s="625"/>
      <c r="Q165" s="639"/>
      <c r="R165" s="618"/>
      <c r="S165" s="625"/>
      <c r="T165" s="639"/>
      <c r="U165" s="618"/>
      <c r="V165" s="625"/>
      <c r="W165" s="639"/>
      <c r="X165" s="618"/>
      <c r="Y165" s="625"/>
      <c r="Z165" s="639"/>
      <c r="AA165" s="618"/>
      <c r="AB165" s="625"/>
      <c r="AC165" s="639"/>
      <c r="AD165" s="618"/>
      <c r="AE165" s="625"/>
      <c r="AF165" s="639"/>
      <c r="AG165" s="618"/>
      <c r="AH165" s="625"/>
      <c r="AI165" s="639"/>
      <c r="AJ165" s="618"/>
      <c r="AK165" s="625"/>
      <c r="AL165" s="639"/>
      <c r="AM165" s="618"/>
      <c r="AN165" s="625"/>
      <c r="AO165" s="639"/>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146</v>
      </c>
      <c r="C166" s="924"/>
      <c r="D166" s="925"/>
      <c r="E166" s="913"/>
      <c r="F166" s="924"/>
      <c r="G166" s="925"/>
      <c r="H166" s="913"/>
      <c r="I166" s="924"/>
      <c r="J166" s="925"/>
      <c r="K166" s="913"/>
      <c r="L166" s="924"/>
      <c r="M166" s="925"/>
      <c r="N166" s="913"/>
      <c r="O166" s="924"/>
      <c r="P166" s="925"/>
      <c r="Q166" s="913"/>
      <c r="R166" s="924"/>
      <c r="S166" s="925"/>
      <c r="T166" s="913"/>
      <c r="U166" s="924"/>
      <c r="V166" s="925"/>
      <c r="W166" s="993"/>
      <c r="X166" s="924"/>
      <c r="Y166" s="925"/>
      <c r="Z166" s="993"/>
      <c r="AA166" s="924"/>
      <c r="AB166" s="925"/>
      <c r="AC166" s="993"/>
      <c r="AD166" s="924"/>
      <c r="AE166" s="925"/>
      <c r="AF166" s="993"/>
      <c r="AG166" s="924"/>
      <c r="AH166" s="925"/>
      <c r="AI166" s="913"/>
      <c r="AJ166" s="924"/>
      <c r="AK166" s="925"/>
      <c r="AL166" s="913"/>
      <c r="AM166" s="924"/>
      <c r="AN166" s="925"/>
      <c r="AO166" s="913"/>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618"/>
      <c r="D167" s="625"/>
      <c r="E167" s="626"/>
      <c r="F167" s="618"/>
      <c r="G167" s="625"/>
      <c r="H167" s="626"/>
      <c r="I167" s="618"/>
      <c r="J167" s="625"/>
      <c r="K167" s="626"/>
      <c r="L167" s="618"/>
      <c r="M167" s="625"/>
      <c r="N167" s="626"/>
      <c r="O167" s="618"/>
      <c r="P167" s="625"/>
      <c r="Q167" s="626"/>
      <c r="R167" s="618"/>
      <c r="S167" s="625"/>
      <c r="T167" s="626"/>
      <c r="U167" s="618"/>
      <c r="V167" s="625"/>
      <c r="W167" s="626"/>
      <c r="X167" s="618"/>
      <c r="Y167" s="625"/>
      <c r="Z167" s="626"/>
      <c r="AA167" s="618"/>
      <c r="AB167" s="625"/>
      <c r="AC167" s="626"/>
      <c r="AD167" s="618"/>
      <c r="AE167" s="625"/>
      <c r="AF167" s="626"/>
      <c r="AG167" s="618"/>
      <c r="AH167" s="625"/>
      <c r="AI167" s="626"/>
      <c r="AJ167" s="618"/>
      <c r="AK167" s="625"/>
      <c r="AL167" s="626"/>
      <c r="AM167" s="618"/>
      <c r="AN167" s="625"/>
      <c r="AO167" s="626"/>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147</v>
      </c>
      <c r="C168" s="916"/>
      <c r="D168" s="927"/>
      <c r="E168" s="919"/>
      <c r="F168" s="916"/>
      <c r="G168" s="927"/>
      <c r="H168" s="919"/>
      <c r="I168" s="916"/>
      <c r="J168" s="927"/>
      <c r="K168" s="919"/>
      <c r="L168" s="916"/>
      <c r="M168" s="927"/>
      <c r="N168" s="919"/>
      <c r="O168" s="916"/>
      <c r="P168" s="927"/>
      <c r="Q168" s="919"/>
      <c r="R168" s="916"/>
      <c r="S168" s="927"/>
      <c r="T168" s="919"/>
      <c r="U168" s="916"/>
      <c r="V168" s="927"/>
      <c r="W168" s="996"/>
      <c r="X168" s="916"/>
      <c r="Y168" s="927"/>
      <c r="Z168" s="996"/>
      <c r="AA168" s="916"/>
      <c r="AB168" s="927"/>
      <c r="AC168" s="996"/>
      <c r="AD168" s="916"/>
      <c r="AE168" s="927"/>
      <c r="AF168" s="996"/>
      <c r="AG168" s="916"/>
      <c r="AH168" s="927"/>
      <c r="AI168" s="919"/>
      <c r="AJ168" s="916"/>
      <c r="AK168" s="927"/>
      <c r="AL168" s="919"/>
      <c r="AM168" s="916"/>
      <c r="AN168" s="927"/>
      <c r="AO168" s="919"/>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657"/>
      <c r="D169" s="657"/>
      <c r="E169" s="670"/>
      <c r="F169" s="657"/>
      <c r="G169" s="657"/>
      <c r="H169" s="670"/>
      <c r="I169" s="657"/>
      <c r="J169" s="657"/>
      <c r="K169" s="670"/>
      <c r="L169" s="657"/>
      <c r="M169" s="657"/>
      <c r="N169" s="670"/>
      <c r="O169" s="657"/>
      <c r="P169" s="657"/>
      <c r="Q169" s="670"/>
      <c r="R169" s="657"/>
      <c r="S169" s="657"/>
      <c r="T169" s="670"/>
      <c r="U169" s="657"/>
      <c r="V169" s="657"/>
      <c r="W169" s="670"/>
      <c r="X169" s="657"/>
      <c r="Y169" s="657"/>
      <c r="Z169" s="670"/>
      <c r="AA169" s="657"/>
      <c r="AB169" s="657"/>
      <c r="AC169" s="670"/>
      <c r="AD169" s="657"/>
      <c r="AE169" s="657"/>
      <c r="AF169" s="670"/>
      <c r="AG169" s="657"/>
      <c r="AH169" s="657"/>
      <c r="AI169" s="670"/>
      <c r="AJ169" s="657"/>
      <c r="AK169" s="657"/>
      <c r="AL169" s="670"/>
      <c r="AM169" s="657"/>
      <c r="AN169" s="657"/>
      <c r="AO169" s="670"/>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657"/>
      <c r="D170" s="657"/>
      <c r="E170" s="657"/>
      <c r="F170" s="657"/>
      <c r="G170" s="657"/>
      <c r="H170" s="657"/>
      <c r="I170" s="657"/>
      <c r="J170" s="657"/>
      <c r="K170" s="657"/>
      <c r="L170" s="657"/>
      <c r="M170" s="657"/>
      <c r="N170" s="657"/>
      <c r="O170" s="657"/>
      <c r="P170" s="657"/>
      <c r="Q170" s="657"/>
      <c r="R170" s="657"/>
      <c r="S170" s="657"/>
      <c r="T170" s="657"/>
      <c r="U170" s="657"/>
      <c r="V170" s="657"/>
      <c r="W170" s="657"/>
      <c r="X170" s="657"/>
      <c r="Y170" s="657"/>
      <c r="Z170" s="657"/>
      <c r="AA170" s="657"/>
      <c r="AB170" s="657"/>
      <c r="AC170" s="657"/>
      <c r="AD170" s="657"/>
      <c r="AE170" s="657"/>
      <c r="AF170" s="657"/>
      <c r="AG170" s="657"/>
      <c r="AH170" s="657"/>
      <c r="AI170" s="657"/>
      <c r="AJ170" s="657"/>
      <c r="AK170" s="657"/>
      <c r="AL170" s="657"/>
      <c r="AM170" s="657"/>
      <c r="AN170" s="657"/>
      <c r="AO170" s="657"/>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1110</v>
      </c>
      <c r="C171" s="658" t="s">
        <v>157</v>
      </c>
      <c r="D171" s="658"/>
      <c r="E171" s="658"/>
      <c r="F171" s="658"/>
      <c r="G171" s="658"/>
      <c r="H171" s="658"/>
      <c r="I171" s="658"/>
      <c r="J171" s="658"/>
      <c r="K171" s="658"/>
      <c r="L171" s="658"/>
      <c r="M171" s="658"/>
      <c r="N171" s="658"/>
      <c r="O171" s="658"/>
      <c r="P171" s="658"/>
      <c r="Q171" s="658"/>
      <c r="R171" s="658"/>
      <c r="S171" s="658"/>
      <c r="T171" s="658"/>
      <c r="U171" s="658"/>
      <c r="V171" s="658"/>
      <c r="W171" s="658"/>
      <c r="X171" s="658"/>
      <c r="Y171" s="658"/>
      <c r="Z171" s="658"/>
      <c r="AA171" s="658"/>
      <c r="AB171" s="658"/>
      <c r="AC171" s="658"/>
      <c r="AD171" s="658"/>
      <c r="AE171" s="658"/>
      <c r="AF171" s="658"/>
      <c r="AG171" s="658"/>
      <c r="AH171" s="658"/>
      <c r="AI171" s="658"/>
      <c r="AJ171" s="658"/>
      <c r="AK171" s="658"/>
      <c r="AL171" s="658"/>
      <c r="AM171" s="658"/>
      <c r="AN171" s="658"/>
      <c r="AO171" s="658"/>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657"/>
      <c r="D172" s="657"/>
      <c r="E172" s="657"/>
      <c r="F172" s="657"/>
      <c r="G172" s="657"/>
      <c r="H172" s="657"/>
      <c r="I172" s="657"/>
      <c r="J172" s="657"/>
      <c r="K172" s="657"/>
      <c r="L172" s="657"/>
      <c r="M172" s="657"/>
      <c r="N172" s="657"/>
      <c r="O172" s="657"/>
      <c r="P172" s="657"/>
      <c r="Q172" s="657"/>
      <c r="R172" s="657"/>
      <c r="S172" s="657"/>
      <c r="T172" s="657"/>
      <c r="U172" s="657"/>
      <c r="V172" s="657"/>
      <c r="W172" s="657"/>
      <c r="X172" s="657"/>
      <c r="Y172" s="657"/>
      <c r="Z172" s="657"/>
      <c r="AA172" s="657"/>
      <c r="AB172" s="657"/>
      <c r="AC172" s="657"/>
      <c r="AD172" s="657"/>
      <c r="AE172" s="657"/>
      <c r="AF172" s="657"/>
      <c r="AG172" s="657"/>
      <c r="AH172" s="657"/>
      <c r="AI172" s="657"/>
      <c r="AJ172" s="657"/>
      <c r="AK172" s="657"/>
      <c r="AL172" s="657"/>
      <c r="AM172" s="657"/>
      <c r="AN172" s="657"/>
      <c r="AO172" s="657"/>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2</v>
      </c>
      <c r="C173" s="603">
        <v>2025</v>
      </c>
      <c r="D173" s="604"/>
      <c r="E173" s="605"/>
      <c r="F173" s="603" t="s">
        <v>6</v>
      </c>
      <c r="G173" s="604"/>
      <c r="H173" s="605"/>
      <c r="I173" s="603" t="s">
        <v>8</v>
      </c>
      <c r="J173" s="604"/>
      <c r="K173" s="605"/>
      <c r="L173" s="603" t="s">
        <v>9</v>
      </c>
      <c r="M173" s="604"/>
      <c r="N173" s="605"/>
      <c r="O173" s="603" t="s">
        <v>10</v>
      </c>
      <c r="P173" s="604"/>
      <c r="Q173" s="605"/>
      <c r="R173" s="603" t="s">
        <v>11</v>
      </c>
      <c r="S173" s="604"/>
      <c r="T173" s="605"/>
      <c r="U173" s="603" t="s">
        <v>12</v>
      </c>
      <c r="V173" s="604"/>
      <c r="W173" s="605"/>
      <c r="X173" s="603" t="s">
        <v>14</v>
      </c>
      <c r="Y173" s="604"/>
      <c r="Z173" s="605"/>
      <c r="AA173" s="603" t="s">
        <v>15</v>
      </c>
      <c r="AB173" s="604"/>
      <c r="AC173" s="605"/>
      <c r="AD173" s="603" t="s">
        <v>17</v>
      </c>
      <c r="AE173" s="604"/>
      <c r="AF173" s="605"/>
      <c r="AG173" s="603" t="s">
        <v>18</v>
      </c>
      <c r="AH173" s="604"/>
      <c r="AI173" s="605"/>
      <c r="AJ173" s="603" t="s">
        <v>19</v>
      </c>
      <c r="AK173" s="604"/>
      <c r="AL173" s="605"/>
      <c r="AM173" s="603" t="s">
        <v>5</v>
      </c>
      <c r="AN173" s="604"/>
      <c r="AO173" s="605"/>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659" t="s">
        <v>158</v>
      </c>
      <c r="D174" s="636" t="s">
        <v>159</v>
      </c>
      <c r="E174" s="660" t="s">
        <v>91</v>
      </c>
      <c r="F174" s="659" t="s">
        <v>158</v>
      </c>
      <c r="G174" s="636" t="s">
        <v>159</v>
      </c>
      <c r="H174" s="660" t="s">
        <v>91</v>
      </c>
      <c r="I174" s="659" t="s">
        <v>158</v>
      </c>
      <c r="J174" s="636" t="s">
        <v>159</v>
      </c>
      <c r="K174" s="660" t="s">
        <v>91</v>
      </c>
      <c r="L174" s="659" t="s">
        <v>158</v>
      </c>
      <c r="M174" s="636" t="s">
        <v>159</v>
      </c>
      <c r="N174" s="660" t="s">
        <v>91</v>
      </c>
      <c r="O174" s="659" t="s">
        <v>158</v>
      </c>
      <c r="P174" s="636" t="s">
        <v>159</v>
      </c>
      <c r="Q174" s="660" t="s">
        <v>91</v>
      </c>
      <c r="R174" s="659" t="s">
        <v>158</v>
      </c>
      <c r="S174" s="636" t="s">
        <v>159</v>
      </c>
      <c r="T174" s="660" t="s">
        <v>91</v>
      </c>
      <c r="U174" s="659" t="s">
        <v>158</v>
      </c>
      <c r="V174" s="636" t="s">
        <v>159</v>
      </c>
      <c r="W174" s="660" t="s">
        <v>91</v>
      </c>
      <c r="X174" s="659" t="s">
        <v>158</v>
      </c>
      <c r="Y174" s="636" t="s">
        <v>159</v>
      </c>
      <c r="Z174" s="660" t="s">
        <v>91</v>
      </c>
      <c r="AA174" s="659" t="s">
        <v>158</v>
      </c>
      <c r="AB174" s="636" t="s">
        <v>159</v>
      </c>
      <c r="AC174" s="660" t="s">
        <v>91</v>
      </c>
      <c r="AD174" s="659" t="s">
        <v>158</v>
      </c>
      <c r="AE174" s="636" t="s">
        <v>159</v>
      </c>
      <c r="AF174" s="660" t="s">
        <v>91</v>
      </c>
      <c r="AG174" s="659" t="s">
        <v>158</v>
      </c>
      <c r="AH174" s="636" t="s">
        <v>159</v>
      </c>
      <c r="AI174" s="660" t="s">
        <v>91</v>
      </c>
      <c r="AJ174" s="659" t="s">
        <v>158</v>
      </c>
      <c r="AK174" s="636" t="s">
        <v>159</v>
      </c>
      <c r="AL174" s="660" t="s">
        <v>91</v>
      </c>
      <c r="AM174" s="659" t="s">
        <v>158</v>
      </c>
      <c r="AN174" s="636" t="s">
        <v>159</v>
      </c>
      <c r="AO174" s="660" t="s">
        <v>91</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160</v>
      </c>
      <c r="C175" s="672"/>
      <c r="D175" s="673"/>
      <c r="E175" s="639"/>
      <c r="F175" s="672"/>
      <c r="G175" s="673"/>
      <c r="H175" s="639"/>
      <c r="I175" s="672"/>
      <c r="J175" s="673"/>
      <c r="K175" s="639"/>
      <c r="L175" s="672"/>
      <c r="M175" s="673"/>
      <c r="N175" s="639"/>
      <c r="O175" s="672"/>
      <c r="P175" s="673"/>
      <c r="Q175" s="639"/>
      <c r="R175" s="672"/>
      <c r="S175" s="673"/>
      <c r="T175" s="639"/>
      <c r="U175" s="672"/>
      <c r="V175" s="673"/>
      <c r="W175" s="639"/>
      <c r="X175" s="672"/>
      <c r="Y175" s="673"/>
      <c r="Z175" s="639"/>
      <c r="AA175" s="672"/>
      <c r="AB175" s="673"/>
      <c r="AC175" s="639"/>
      <c r="AD175" s="672"/>
      <c r="AE175" s="673"/>
      <c r="AF175" s="639"/>
      <c r="AG175" s="672"/>
      <c r="AH175" s="673"/>
      <c r="AI175" s="639"/>
      <c r="AJ175" s="672"/>
      <c r="AK175" s="673"/>
      <c r="AL175" s="639"/>
      <c r="AM175" s="672"/>
      <c r="AN175" s="673"/>
      <c r="AO175" s="639"/>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161</v>
      </c>
      <c r="C176" s="671"/>
      <c r="D176" s="625"/>
      <c r="E176" s="674"/>
      <c r="F176" s="671"/>
      <c r="G176" s="625"/>
      <c r="H176" s="674"/>
      <c r="I176" s="671"/>
      <c r="J176" s="625"/>
      <c r="K176" s="674"/>
      <c r="L176" s="671"/>
      <c r="M176" s="625"/>
      <c r="N176" s="674"/>
      <c r="O176" s="671"/>
      <c r="P176" s="625"/>
      <c r="Q176" s="674"/>
      <c r="R176" s="671"/>
      <c r="S176" s="625"/>
      <c r="T176" s="674"/>
      <c r="U176" s="671"/>
      <c r="V176" s="625"/>
      <c r="W176" s="674"/>
      <c r="X176" s="671"/>
      <c r="Y176" s="625"/>
      <c r="Z176" s="674"/>
      <c r="AA176" s="671"/>
      <c r="AB176" s="625"/>
      <c r="AC176" s="674"/>
      <c r="AD176" s="671"/>
      <c r="AE176" s="625"/>
      <c r="AF176" s="674"/>
      <c r="AG176" s="671"/>
      <c r="AH176" s="625"/>
      <c r="AI176" s="674"/>
      <c r="AJ176" s="671"/>
      <c r="AK176" s="625"/>
      <c r="AL176" s="674"/>
      <c r="AM176" s="671"/>
      <c r="AN176" s="625"/>
      <c r="AO176" s="674"/>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675"/>
      <c r="D177" s="676"/>
      <c r="E177" s="677"/>
      <c r="F177" s="675"/>
      <c r="G177" s="676"/>
      <c r="H177" s="677"/>
      <c r="I177" s="675"/>
      <c r="J177" s="676"/>
      <c r="K177" s="677"/>
      <c r="L177" s="675"/>
      <c r="M177" s="676"/>
      <c r="N177" s="677"/>
      <c r="O177" s="675"/>
      <c r="P177" s="676"/>
      <c r="Q177" s="677"/>
      <c r="R177" s="675"/>
      <c r="S177" s="676"/>
      <c r="T177" s="677"/>
      <c r="U177" s="675"/>
      <c r="V177" s="676"/>
      <c r="W177" s="677"/>
      <c r="X177" s="675"/>
      <c r="Y177" s="676"/>
      <c r="Z177" s="677"/>
      <c r="AA177" s="675"/>
      <c r="AB177" s="676"/>
      <c r="AC177" s="677"/>
      <c r="AD177" s="675"/>
      <c r="AE177" s="676"/>
      <c r="AF177" s="677"/>
      <c r="AG177" s="675"/>
      <c r="AH177" s="676"/>
      <c r="AI177" s="677"/>
      <c r="AJ177" s="675"/>
      <c r="AK177" s="676"/>
      <c r="AL177" s="677"/>
      <c r="AM177" s="675"/>
      <c r="AN177" s="676"/>
      <c r="AO177" s="677"/>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162</v>
      </c>
      <c r="C178" s="930"/>
      <c r="D178" s="931"/>
      <c r="E178" s="910"/>
      <c r="F178" s="930"/>
      <c r="G178" s="931"/>
      <c r="H178" s="910"/>
      <c r="I178" s="930"/>
      <c r="J178" s="931"/>
      <c r="K178" s="910"/>
      <c r="L178" s="930"/>
      <c r="M178" s="931"/>
      <c r="N178" s="910"/>
      <c r="O178" s="930"/>
      <c r="P178" s="931"/>
      <c r="Q178" s="910"/>
      <c r="R178" s="930"/>
      <c r="S178" s="931"/>
      <c r="T178" s="910"/>
      <c r="U178" s="930"/>
      <c r="V178" s="931"/>
      <c r="W178" s="910"/>
      <c r="X178" s="930"/>
      <c r="Y178" s="931"/>
      <c r="Z178" s="910"/>
      <c r="AA178" s="930"/>
      <c r="AB178" s="931"/>
      <c r="AC178" s="910"/>
      <c r="AD178" s="930"/>
      <c r="AE178" s="931"/>
      <c r="AF178" s="910"/>
      <c r="AG178" s="930"/>
      <c r="AH178" s="931"/>
      <c r="AI178" s="910"/>
      <c r="AJ178" s="930"/>
      <c r="AK178" s="931"/>
      <c r="AL178" s="910"/>
      <c r="AM178" s="930"/>
      <c r="AN178" s="931"/>
      <c r="AO178" s="910"/>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161</v>
      </c>
      <c r="C179" s="618"/>
      <c r="D179" s="625"/>
      <c r="E179" s="674"/>
      <c r="F179" s="618"/>
      <c r="G179" s="625"/>
      <c r="H179" s="674"/>
      <c r="I179" s="618"/>
      <c r="J179" s="625"/>
      <c r="K179" s="674"/>
      <c r="L179" s="618"/>
      <c r="M179" s="625"/>
      <c r="N179" s="674"/>
      <c r="O179" s="618"/>
      <c r="P179" s="625"/>
      <c r="Q179" s="674"/>
      <c r="R179" s="618"/>
      <c r="S179" s="625"/>
      <c r="T179" s="674"/>
      <c r="U179" s="618"/>
      <c r="V179" s="625"/>
      <c r="W179" s="674"/>
      <c r="X179" s="618"/>
      <c r="Y179" s="625"/>
      <c r="Z179" s="674"/>
      <c r="AA179" s="618"/>
      <c r="AB179" s="625"/>
      <c r="AC179" s="674"/>
      <c r="AD179" s="618"/>
      <c r="AE179" s="625"/>
      <c r="AF179" s="674"/>
      <c r="AG179" s="618"/>
      <c r="AH179" s="625"/>
      <c r="AI179" s="674"/>
      <c r="AJ179" s="618"/>
      <c r="AK179" s="625"/>
      <c r="AL179" s="674"/>
      <c r="AM179" s="618"/>
      <c r="AN179" s="625"/>
      <c r="AO179" s="674"/>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644"/>
      <c r="D180" s="676"/>
      <c r="E180" s="677"/>
      <c r="F180" s="644"/>
      <c r="G180" s="676"/>
      <c r="H180" s="677"/>
      <c r="I180" s="644"/>
      <c r="J180" s="676"/>
      <c r="K180" s="677"/>
      <c r="L180" s="644"/>
      <c r="M180" s="676"/>
      <c r="N180" s="677"/>
      <c r="O180" s="644"/>
      <c r="P180" s="676"/>
      <c r="Q180" s="677"/>
      <c r="R180" s="644"/>
      <c r="S180" s="676"/>
      <c r="T180" s="677"/>
      <c r="U180" s="644"/>
      <c r="V180" s="676"/>
      <c r="W180" s="677"/>
      <c r="X180" s="644"/>
      <c r="Y180" s="676"/>
      <c r="Z180" s="677"/>
      <c r="AA180" s="644"/>
      <c r="AB180" s="676"/>
      <c r="AC180" s="677"/>
      <c r="AD180" s="644"/>
      <c r="AE180" s="676"/>
      <c r="AF180" s="677"/>
      <c r="AG180" s="644"/>
      <c r="AH180" s="676"/>
      <c r="AI180" s="677"/>
      <c r="AJ180" s="644"/>
      <c r="AK180" s="676"/>
      <c r="AL180" s="677"/>
      <c r="AM180" s="644"/>
      <c r="AN180" s="676"/>
      <c r="AO180" s="677"/>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163</v>
      </c>
      <c r="C181" s="672"/>
      <c r="D181" s="673"/>
      <c r="E181" s="639"/>
      <c r="F181" s="672"/>
      <c r="G181" s="673"/>
      <c r="H181" s="639"/>
      <c r="I181" s="672"/>
      <c r="J181" s="673"/>
      <c r="K181" s="639"/>
      <c r="L181" s="672"/>
      <c r="M181" s="673"/>
      <c r="N181" s="639"/>
      <c r="O181" s="672"/>
      <c r="P181" s="673"/>
      <c r="Q181" s="639"/>
      <c r="R181" s="672"/>
      <c r="S181" s="1003"/>
      <c r="T181" s="1004"/>
      <c r="U181" s="672"/>
      <c r="V181" s="1003"/>
      <c r="W181" s="639"/>
      <c r="X181" s="672"/>
      <c r="Y181" s="1003"/>
      <c r="Z181" s="639"/>
      <c r="AA181" s="672"/>
      <c r="AB181" s="1003"/>
      <c r="AC181" s="639"/>
      <c r="AD181" s="672"/>
      <c r="AE181" s="1003"/>
      <c r="AF181" s="639"/>
      <c r="AG181" s="672"/>
      <c r="AH181" s="673"/>
      <c r="AI181" s="639"/>
      <c r="AJ181" s="672"/>
      <c r="AK181" s="673"/>
      <c r="AL181" s="639"/>
      <c r="AM181" s="672"/>
      <c r="AN181" s="673"/>
      <c r="AO181" s="639"/>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161</v>
      </c>
      <c r="C182" s="671"/>
      <c r="D182" s="678"/>
      <c r="E182" s="674"/>
      <c r="F182" s="671"/>
      <c r="G182" s="678"/>
      <c r="H182" s="674"/>
      <c r="I182" s="671"/>
      <c r="J182" s="678"/>
      <c r="K182" s="674"/>
      <c r="L182" s="671"/>
      <c r="M182" s="678"/>
      <c r="N182" s="674"/>
      <c r="O182" s="671"/>
      <c r="P182" s="678"/>
      <c r="Q182" s="674"/>
      <c r="R182" s="671"/>
      <c r="S182" s="678"/>
      <c r="T182" s="674"/>
      <c r="U182" s="671"/>
      <c r="V182" s="678"/>
      <c r="W182" s="674"/>
      <c r="X182" s="671"/>
      <c r="Y182" s="678"/>
      <c r="Z182" s="674"/>
      <c r="AA182" s="671"/>
      <c r="AB182" s="678"/>
      <c r="AC182" s="674"/>
      <c r="AD182" s="671"/>
      <c r="AE182" s="678"/>
      <c r="AF182" s="674"/>
      <c r="AG182" s="671"/>
      <c r="AH182" s="678"/>
      <c r="AI182" s="674"/>
      <c r="AJ182" s="671"/>
      <c r="AK182" s="678"/>
      <c r="AL182" s="674"/>
      <c r="AM182" s="671"/>
      <c r="AN182" s="678"/>
      <c r="AO182" s="674"/>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671"/>
      <c r="D183" s="679"/>
      <c r="E183" s="674"/>
      <c r="F183" s="671"/>
      <c r="G183" s="679"/>
      <c r="H183" s="674"/>
      <c r="I183" s="671"/>
      <c r="J183" s="679"/>
      <c r="K183" s="674"/>
      <c r="L183" s="671"/>
      <c r="M183" s="679"/>
      <c r="N183" s="674"/>
      <c r="O183" s="671"/>
      <c r="P183" s="679"/>
      <c r="Q183" s="674"/>
      <c r="R183" s="671"/>
      <c r="S183" s="679"/>
      <c r="T183" s="674"/>
      <c r="U183" s="671"/>
      <c r="V183" s="679"/>
      <c r="W183" s="674"/>
      <c r="X183" s="671"/>
      <c r="Y183" s="679"/>
      <c r="Z183" s="674"/>
      <c r="AA183" s="671"/>
      <c r="AB183" s="679"/>
      <c r="AC183" s="674"/>
      <c r="AD183" s="671"/>
      <c r="AE183" s="679"/>
      <c r="AF183" s="674"/>
      <c r="AG183" s="671"/>
      <c r="AH183" s="679"/>
      <c r="AI183" s="674"/>
      <c r="AJ183" s="671"/>
      <c r="AK183" s="679"/>
      <c r="AL183" s="674"/>
      <c r="AM183" s="671"/>
      <c r="AN183" s="679"/>
      <c r="AO183" s="674"/>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164</v>
      </c>
      <c r="C184" s="930"/>
      <c r="D184" s="931"/>
      <c r="E184" s="910"/>
      <c r="F184" s="930"/>
      <c r="G184" s="931"/>
      <c r="H184" s="910"/>
      <c r="I184" s="930"/>
      <c r="J184" s="931"/>
      <c r="K184" s="910"/>
      <c r="L184" s="930"/>
      <c r="M184" s="931"/>
      <c r="N184" s="910"/>
      <c r="O184" s="930"/>
      <c r="P184" s="931"/>
      <c r="Q184" s="910"/>
      <c r="R184" s="930"/>
      <c r="S184" s="931"/>
      <c r="T184" s="910"/>
      <c r="U184" s="930"/>
      <c r="V184" s="931"/>
      <c r="W184" s="910"/>
      <c r="X184" s="930"/>
      <c r="Y184" s="931"/>
      <c r="Z184" s="910"/>
      <c r="AA184" s="930"/>
      <c r="AB184" s="931"/>
      <c r="AC184" s="910"/>
      <c r="AD184" s="930"/>
      <c r="AE184" s="931"/>
      <c r="AF184" s="910"/>
      <c r="AG184" s="930"/>
      <c r="AH184" s="931"/>
      <c r="AI184" s="910"/>
      <c r="AJ184" s="930"/>
      <c r="AK184" s="931"/>
      <c r="AL184" s="910"/>
      <c r="AM184" s="930"/>
      <c r="AN184" s="931"/>
      <c r="AO184" s="910"/>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161</v>
      </c>
      <c r="C185" s="680"/>
      <c r="D185" s="681"/>
      <c r="E185" s="674"/>
      <c r="F185" s="680"/>
      <c r="G185" s="681"/>
      <c r="H185" s="674"/>
      <c r="I185" s="680"/>
      <c r="J185" s="681"/>
      <c r="K185" s="674"/>
      <c r="L185" s="680"/>
      <c r="M185" s="681"/>
      <c r="N185" s="674"/>
      <c r="O185" s="680"/>
      <c r="P185" s="681"/>
      <c r="Q185" s="674"/>
      <c r="R185" s="680"/>
      <c r="S185" s="681"/>
      <c r="T185" s="674"/>
      <c r="U185" s="680"/>
      <c r="V185" s="681"/>
      <c r="W185" s="674"/>
      <c r="X185" s="680"/>
      <c r="Y185" s="681"/>
      <c r="Z185" s="674"/>
      <c r="AA185" s="680"/>
      <c r="AB185" s="681"/>
      <c r="AC185" s="674"/>
      <c r="AD185" s="680"/>
      <c r="AE185" s="681"/>
      <c r="AF185" s="674"/>
      <c r="AG185" s="680"/>
      <c r="AH185" s="681"/>
      <c r="AI185" s="674"/>
      <c r="AJ185" s="680"/>
      <c r="AK185" s="681"/>
      <c r="AL185" s="674"/>
      <c r="AM185" s="680"/>
      <c r="AN185" s="681"/>
      <c r="AO185" s="674"/>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682"/>
      <c r="D186" s="683"/>
      <c r="E186" s="677"/>
      <c r="F186" s="682"/>
      <c r="G186" s="683"/>
      <c r="H186" s="677"/>
      <c r="I186" s="682"/>
      <c r="J186" s="683"/>
      <c r="K186" s="677"/>
      <c r="L186" s="682"/>
      <c r="M186" s="683"/>
      <c r="N186" s="677"/>
      <c r="O186" s="682"/>
      <c r="P186" s="683"/>
      <c r="Q186" s="677"/>
      <c r="R186" s="682"/>
      <c r="S186" s="683"/>
      <c r="T186" s="677"/>
      <c r="U186" s="682"/>
      <c r="V186" s="683"/>
      <c r="W186" s="677"/>
      <c r="X186" s="682"/>
      <c r="Y186" s="683"/>
      <c r="Z186" s="677"/>
      <c r="AA186" s="682"/>
      <c r="AB186" s="683"/>
      <c r="AC186" s="677"/>
      <c r="AD186" s="682"/>
      <c r="AE186" s="683"/>
      <c r="AF186" s="677"/>
      <c r="AG186" s="682"/>
      <c r="AH186" s="683"/>
      <c r="AI186" s="677"/>
      <c r="AJ186" s="682"/>
      <c r="AK186" s="683"/>
      <c r="AL186" s="677"/>
      <c r="AM186" s="682"/>
      <c r="AN186" s="683"/>
      <c r="AO186" s="677"/>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165</v>
      </c>
      <c r="C187" s="672"/>
      <c r="D187" s="673"/>
      <c r="E187" s="639"/>
      <c r="F187" s="672"/>
      <c r="G187" s="673"/>
      <c r="H187" s="639"/>
      <c r="I187" s="672"/>
      <c r="J187" s="673"/>
      <c r="K187" s="639"/>
      <c r="L187" s="672"/>
      <c r="M187" s="673"/>
      <c r="N187" s="639"/>
      <c r="O187" s="672"/>
      <c r="P187" s="673"/>
      <c r="Q187" s="639"/>
      <c r="R187" s="672"/>
      <c r="S187" s="673"/>
      <c r="T187" s="639"/>
      <c r="U187" s="672"/>
      <c r="V187" s="673"/>
      <c r="W187" s="639"/>
      <c r="X187" s="672"/>
      <c r="Y187" s="673"/>
      <c r="Z187" s="639"/>
      <c r="AA187" s="672"/>
      <c r="AB187" s="673"/>
      <c r="AC187" s="639"/>
      <c r="AD187" s="672"/>
      <c r="AE187" s="673"/>
      <c r="AF187" s="639"/>
      <c r="AG187" s="672"/>
      <c r="AH187" s="673"/>
      <c r="AI187" s="639"/>
      <c r="AJ187" s="672"/>
      <c r="AK187" s="673"/>
      <c r="AL187" s="639"/>
      <c r="AM187" s="672"/>
      <c r="AN187" s="673"/>
      <c r="AO187" s="639"/>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166</v>
      </c>
      <c r="C188" s="684"/>
      <c r="D188" s="685"/>
      <c r="E188" s="686"/>
      <c r="F188" s="684"/>
      <c r="G188" s="685"/>
      <c r="H188" s="686"/>
      <c r="I188" s="684"/>
      <c r="J188" s="685"/>
      <c r="K188" s="686"/>
      <c r="L188" s="684"/>
      <c r="M188" s="685"/>
      <c r="N188" s="686"/>
      <c r="O188" s="684"/>
      <c r="P188" s="685"/>
      <c r="Q188" s="686"/>
      <c r="R188" s="684"/>
      <c r="S188" s="685"/>
      <c r="T188" s="686"/>
      <c r="U188" s="684"/>
      <c r="V188" s="685"/>
      <c r="W188" s="986"/>
      <c r="X188" s="684"/>
      <c r="Y188" s="685"/>
      <c r="Z188" s="986"/>
      <c r="AA188" s="684"/>
      <c r="AB188" s="685"/>
      <c r="AC188" s="986"/>
      <c r="AD188" s="684"/>
      <c r="AE188" s="685"/>
      <c r="AF188" s="986"/>
      <c r="AG188" s="684"/>
      <c r="AH188" s="685"/>
      <c r="AI188" s="686"/>
      <c r="AJ188" s="684"/>
      <c r="AK188" s="685"/>
      <c r="AL188" s="686"/>
      <c r="AM188" s="684"/>
      <c r="AN188" s="685"/>
      <c r="AO188" s="686"/>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167</v>
      </c>
      <c r="C189" s="687"/>
      <c r="D189" s="688"/>
      <c r="E189" s="689"/>
      <c r="F189" s="687"/>
      <c r="G189" s="688"/>
      <c r="H189" s="689"/>
      <c r="I189" s="687"/>
      <c r="J189" s="688"/>
      <c r="K189" s="689"/>
      <c r="L189" s="687"/>
      <c r="M189" s="688"/>
      <c r="N189" s="689"/>
      <c r="O189" s="687"/>
      <c r="P189" s="688"/>
      <c r="Q189" s="689"/>
      <c r="R189" s="687"/>
      <c r="S189" s="688"/>
      <c r="T189" s="689"/>
      <c r="U189" s="687"/>
      <c r="V189" s="688"/>
      <c r="W189" s="689"/>
      <c r="X189" s="687"/>
      <c r="Y189" s="688"/>
      <c r="Z189" s="689"/>
      <c r="AA189" s="687"/>
      <c r="AB189" s="688"/>
      <c r="AC189" s="689"/>
      <c r="AD189" s="687"/>
      <c r="AE189" s="688"/>
      <c r="AF189" s="689"/>
      <c r="AG189" s="687"/>
      <c r="AH189" s="688"/>
      <c r="AI189" s="689"/>
      <c r="AJ189" s="687"/>
      <c r="AK189" s="688"/>
      <c r="AL189" s="689"/>
      <c r="AM189" s="687"/>
      <c r="AN189" s="688"/>
      <c r="AO189" s="689"/>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671"/>
      <c r="D190" s="638"/>
      <c r="E190" s="935"/>
      <c r="F190" s="671"/>
      <c r="G190" s="638"/>
      <c r="H190" s="935"/>
      <c r="I190" s="671"/>
      <c r="J190" s="638"/>
      <c r="K190" s="935"/>
      <c r="L190" s="671"/>
      <c r="M190" s="638"/>
      <c r="N190" s="935"/>
      <c r="O190" s="671"/>
      <c r="P190" s="638"/>
      <c r="Q190" s="935"/>
      <c r="R190" s="671"/>
      <c r="S190" s="638"/>
      <c r="T190" s="935"/>
      <c r="U190" s="671"/>
      <c r="V190" s="638"/>
      <c r="W190" s="935"/>
      <c r="X190" s="671"/>
      <c r="Y190" s="638"/>
      <c r="Z190" s="935"/>
      <c r="AA190" s="671"/>
      <c r="AB190" s="638"/>
      <c r="AC190" s="935"/>
      <c r="AD190" s="671"/>
      <c r="AE190" s="638"/>
      <c r="AF190" s="935"/>
      <c r="AG190" s="671"/>
      <c r="AH190" s="638"/>
      <c r="AI190" s="935"/>
      <c r="AJ190" s="671"/>
      <c r="AK190" s="638"/>
      <c r="AL190" s="935"/>
      <c r="AM190" s="671"/>
      <c r="AN190" s="638"/>
      <c r="AO190" s="935"/>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168</v>
      </c>
      <c r="C191" s="672"/>
      <c r="D191" s="690"/>
      <c r="E191" s="639"/>
      <c r="F191" s="672"/>
      <c r="G191" s="690"/>
      <c r="H191" s="639"/>
      <c r="I191" s="672"/>
      <c r="J191" s="690"/>
      <c r="K191" s="639"/>
      <c r="L191" s="672"/>
      <c r="M191" s="690"/>
      <c r="N191" s="639"/>
      <c r="O191" s="672"/>
      <c r="P191" s="690"/>
      <c r="Q191" s="639"/>
      <c r="R191" s="672"/>
      <c r="S191" s="690"/>
      <c r="T191" s="639"/>
      <c r="U191" s="672"/>
      <c r="V191" s="690"/>
      <c r="W191" s="639"/>
      <c r="X191" s="672"/>
      <c r="Y191" s="690"/>
      <c r="Z191" s="639"/>
      <c r="AA191" s="672"/>
      <c r="AB191" s="690"/>
      <c r="AC191" s="639"/>
      <c r="AD191" s="672"/>
      <c r="AE191" s="690"/>
      <c r="AF191" s="639"/>
      <c r="AG191" s="672"/>
      <c r="AH191" s="690"/>
      <c r="AI191" s="639"/>
      <c r="AJ191" s="672"/>
      <c r="AK191" s="690"/>
      <c r="AL191" s="639"/>
      <c r="AM191" s="672"/>
      <c r="AN191" s="690"/>
      <c r="AO191" s="639"/>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161</v>
      </c>
      <c r="C192" s="671"/>
      <c r="D192" s="678"/>
      <c r="E192" s="674"/>
      <c r="F192" s="671"/>
      <c r="G192" s="678"/>
      <c r="H192" s="674"/>
      <c r="I192" s="671"/>
      <c r="J192" s="678"/>
      <c r="K192" s="674"/>
      <c r="L192" s="671"/>
      <c r="M192" s="678"/>
      <c r="N192" s="674"/>
      <c r="O192" s="671"/>
      <c r="P192" s="678"/>
      <c r="Q192" s="674"/>
      <c r="R192" s="671"/>
      <c r="S192" s="678"/>
      <c r="T192" s="674"/>
      <c r="U192" s="671"/>
      <c r="V192" s="678"/>
      <c r="W192" s="674"/>
      <c r="X192" s="671"/>
      <c r="Y192" s="678"/>
      <c r="Z192" s="674"/>
      <c r="AA192" s="671"/>
      <c r="AB192" s="678"/>
      <c r="AC192" s="674"/>
      <c r="AD192" s="671"/>
      <c r="AE192" s="678"/>
      <c r="AF192" s="674"/>
      <c r="AG192" s="671"/>
      <c r="AH192" s="678"/>
      <c r="AI192" s="674"/>
      <c r="AJ192" s="671"/>
      <c r="AK192" s="678"/>
      <c r="AL192" s="674"/>
      <c r="AM192" s="671"/>
      <c r="AN192" s="678"/>
      <c r="AO192" s="674"/>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671"/>
      <c r="D193" s="678"/>
      <c r="E193" s="674"/>
      <c r="F193" s="671"/>
      <c r="G193" s="678"/>
      <c r="H193" s="674"/>
      <c r="I193" s="671"/>
      <c r="J193" s="678"/>
      <c r="K193" s="674"/>
      <c r="L193" s="671"/>
      <c r="M193" s="678"/>
      <c r="N193" s="674"/>
      <c r="O193" s="671"/>
      <c r="P193" s="678"/>
      <c r="Q193" s="674"/>
      <c r="R193" s="671"/>
      <c r="S193" s="678"/>
      <c r="T193" s="674"/>
      <c r="U193" s="671"/>
      <c r="V193" s="678"/>
      <c r="W193" s="674"/>
      <c r="X193" s="671"/>
      <c r="Y193" s="678"/>
      <c r="Z193" s="674"/>
      <c r="AA193" s="671"/>
      <c r="AB193" s="678"/>
      <c r="AC193" s="674"/>
      <c r="AD193" s="671"/>
      <c r="AE193" s="678"/>
      <c r="AF193" s="674"/>
      <c r="AG193" s="671"/>
      <c r="AH193" s="678"/>
      <c r="AI193" s="674"/>
      <c r="AJ193" s="671"/>
      <c r="AK193" s="678"/>
      <c r="AL193" s="674"/>
      <c r="AM193" s="671"/>
      <c r="AN193" s="678"/>
      <c r="AO193" s="674"/>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169</v>
      </c>
      <c r="C194" s="930"/>
      <c r="D194" s="1005"/>
      <c r="E194" s="910"/>
      <c r="F194" s="930"/>
      <c r="G194" s="1005"/>
      <c r="H194" s="910"/>
      <c r="I194" s="930"/>
      <c r="J194" s="1005"/>
      <c r="K194" s="910"/>
      <c r="L194" s="930"/>
      <c r="M194" s="1005"/>
      <c r="N194" s="910"/>
      <c r="O194" s="930"/>
      <c r="P194" s="1005"/>
      <c r="Q194" s="910"/>
      <c r="R194" s="1006"/>
      <c r="S194" s="1005"/>
      <c r="T194" s="910"/>
      <c r="U194" s="1006"/>
      <c r="V194" s="1005"/>
      <c r="W194" s="910"/>
      <c r="X194" s="1006"/>
      <c r="Y194" s="1005"/>
      <c r="Z194" s="910"/>
      <c r="AA194" s="1006"/>
      <c r="AB194" s="1005"/>
      <c r="AC194" s="910"/>
      <c r="AD194" s="1006"/>
      <c r="AE194" s="1005"/>
      <c r="AF194" s="910"/>
      <c r="AG194" s="930"/>
      <c r="AH194" s="1005"/>
      <c r="AI194" s="910"/>
      <c r="AJ194" s="930"/>
      <c r="AK194" s="1005"/>
      <c r="AL194" s="910"/>
      <c r="AM194" s="930"/>
      <c r="AN194" s="1005"/>
      <c r="AO194" s="910"/>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161</v>
      </c>
      <c r="C195" s="675"/>
      <c r="D195" s="691"/>
      <c r="E195" s="677"/>
      <c r="F195" s="675"/>
      <c r="G195" s="691"/>
      <c r="H195" s="677"/>
      <c r="I195" s="675"/>
      <c r="J195" s="691"/>
      <c r="K195" s="677"/>
      <c r="L195" s="675"/>
      <c r="M195" s="691"/>
      <c r="N195" s="677"/>
      <c r="O195" s="675"/>
      <c r="P195" s="691"/>
      <c r="Q195" s="677"/>
      <c r="R195" s="675"/>
      <c r="S195" s="691"/>
      <c r="T195" s="677"/>
      <c r="U195" s="675"/>
      <c r="V195" s="691"/>
      <c r="W195" s="677"/>
      <c r="X195" s="675"/>
      <c r="Y195" s="691"/>
      <c r="Z195" s="677"/>
      <c r="AA195" s="675"/>
      <c r="AB195" s="691"/>
      <c r="AC195" s="677"/>
      <c r="AD195" s="675"/>
      <c r="AE195" s="691"/>
      <c r="AF195" s="677"/>
      <c r="AG195" s="675"/>
      <c r="AH195" s="691"/>
      <c r="AI195" s="677"/>
      <c r="AJ195" s="675"/>
      <c r="AK195" s="691"/>
      <c r="AL195" s="677"/>
      <c r="AM195" s="675"/>
      <c r="AN195" s="691"/>
      <c r="AO195" s="677"/>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941"/>
      <c r="D196" s="942"/>
      <c r="E196" s="943"/>
      <c r="F196" s="941"/>
      <c r="G196" s="942"/>
      <c r="H196" s="943"/>
      <c r="I196" s="941"/>
      <c r="J196" s="942"/>
      <c r="K196" s="943"/>
      <c r="L196" s="941"/>
      <c r="M196" s="942"/>
      <c r="N196" s="943"/>
      <c r="O196" s="941"/>
      <c r="P196" s="942"/>
      <c r="Q196" s="943"/>
      <c r="R196" s="941"/>
      <c r="S196" s="942"/>
      <c r="T196" s="943"/>
      <c r="U196" s="941"/>
      <c r="V196" s="942"/>
      <c r="W196" s="949"/>
      <c r="X196" s="941"/>
      <c r="Y196" s="942"/>
      <c r="Z196" s="949"/>
      <c r="AA196" s="941"/>
      <c r="AB196" s="942"/>
      <c r="AC196" s="949"/>
      <c r="AD196" s="941"/>
      <c r="AE196" s="942"/>
      <c r="AF196" s="949"/>
      <c r="AG196" s="941"/>
      <c r="AH196" s="942"/>
      <c r="AI196" s="943"/>
      <c r="AJ196" s="941"/>
      <c r="AK196" s="942"/>
      <c r="AL196" s="943"/>
      <c r="AM196" s="941"/>
      <c r="AN196" s="942"/>
      <c r="AO196" s="943"/>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170</v>
      </c>
      <c r="C197" s="627"/>
      <c r="D197" s="692"/>
      <c r="E197" s="629"/>
      <c r="F197" s="627"/>
      <c r="G197" s="692"/>
      <c r="H197" s="629"/>
      <c r="I197" s="627"/>
      <c r="J197" s="692"/>
      <c r="K197" s="629"/>
      <c r="L197" s="627"/>
      <c r="M197" s="692"/>
      <c r="N197" s="629"/>
      <c r="O197" s="627"/>
      <c r="P197" s="692"/>
      <c r="Q197" s="629"/>
      <c r="R197" s="627"/>
      <c r="S197" s="692"/>
      <c r="T197" s="629"/>
      <c r="U197" s="627"/>
      <c r="V197" s="692"/>
      <c r="W197" s="986"/>
      <c r="X197" s="627"/>
      <c r="Y197" s="692"/>
      <c r="Z197" s="986"/>
      <c r="AA197" s="627"/>
      <c r="AB197" s="692"/>
      <c r="AC197" s="986"/>
      <c r="AD197" s="627"/>
      <c r="AE197" s="692"/>
      <c r="AF197" s="986"/>
      <c r="AG197" s="627"/>
      <c r="AH197" s="692"/>
      <c r="AI197" s="629"/>
      <c r="AJ197" s="627"/>
      <c r="AK197" s="692"/>
      <c r="AL197" s="629"/>
      <c r="AM197" s="627"/>
      <c r="AN197" s="692"/>
      <c r="AO197" s="629"/>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630"/>
      <c r="D198" s="631"/>
      <c r="E198" s="693"/>
      <c r="F198" s="630"/>
      <c r="G198" s="631"/>
      <c r="H198" s="693"/>
      <c r="I198" s="630"/>
      <c r="J198" s="631"/>
      <c r="K198" s="693"/>
      <c r="L198" s="630"/>
      <c r="M198" s="631"/>
      <c r="N198" s="693"/>
      <c r="O198" s="630"/>
      <c r="P198" s="631"/>
      <c r="Q198" s="693"/>
      <c r="R198" s="630"/>
      <c r="S198" s="631"/>
      <c r="T198" s="693"/>
      <c r="U198" s="630"/>
      <c r="V198" s="631"/>
      <c r="W198" s="1007"/>
      <c r="X198" s="630"/>
      <c r="Y198" s="631"/>
      <c r="Z198" s="1007"/>
      <c r="AA198" s="630"/>
      <c r="AB198" s="631"/>
      <c r="AC198" s="1007"/>
      <c r="AD198" s="630"/>
      <c r="AE198" s="631"/>
      <c r="AF198" s="1007"/>
      <c r="AG198" s="630"/>
      <c r="AH198" s="631"/>
      <c r="AI198" s="693"/>
      <c r="AJ198" s="630"/>
      <c r="AK198" s="631"/>
      <c r="AL198" s="693"/>
      <c r="AM198" s="630"/>
      <c r="AN198" s="631"/>
      <c r="AO198" s="693"/>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633"/>
      <c r="D199" s="634"/>
      <c r="E199" s="694"/>
      <c r="F199" s="633"/>
      <c r="G199" s="634"/>
      <c r="H199" s="694"/>
      <c r="I199" s="633"/>
      <c r="J199" s="634"/>
      <c r="K199" s="694"/>
      <c r="L199" s="633"/>
      <c r="M199" s="634"/>
      <c r="N199" s="694"/>
      <c r="O199" s="633"/>
      <c r="P199" s="634"/>
      <c r="Q199" s="694"/>
      <c r="R199" s="633"/>
      <c r="S199" s="634"/>
      <c r="T199" s="694"/>
      <c r="U199" s="633"/>
      <c r="V199" s="634"/>
      <c r="W199" s="689"/>
      <c r="X199" s="633"/>
      <c r="Y199" s="634"/>
      <c r="Z199" s="689"/>
      <c r="AA199" s="633"/>
      <c r="AB199" s="634"/>
      <c r="AC199" s="689"/>
      <c r="AD199" s="633"/>
      <c r="AE199" s="634"/>
      <c r="AF199" s="689"/>
      <c r="AG199" s="633"/>
      <c r="AH199" s="634"/>
      <c r="AI199" s="694"/>
      <c r="AJ199" s="633"/>
      <c r="AK199" s="634"/>
      <c r="AL199" s="694"/>
      <c r="AM199" s="633"/>
      <c r="AN199" s="634"/>
      <c r="AO199" s="694"/>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106</v>
      </c>
      <c r="C200" s="618"/>
      <c r="D200" s="625"/>
      <c r="E200" s="619"/>
      <c r="F200" s="618"/>
      <c r="G200" s="625"/>
      <c r="H200" s="619"/>
      <c r="I200" s="618"/>
      <c r="J200" s="625"/>
      <c r="K200" s="619"/>
      <c r="L200" s="618"/>
      <c r="M200" s="625"/>
      <c r="N200" s="619"/>
      <c r="O200" s="618"/>
      <c r="P200" s="625"/>
      <c r="Q200" s="619"/>
      <c r="R200" s="618"/>
      <c r="S200" s="625"/>
      <c r="T200" s="619"/>
      <c r="U200" s="618"/>
      <c r="V200" s="625"/>
      <c r="W200" s="619"/>
      <c r="X200" s="618"/>
      <c r="Y200" s="625"/>
      <c r="Z200" s="619"/>
      <c r="AA200" s="618"/>
      <c r="AB200" s="625"/>
      <c r="AC200" s="619"/>
      <c r="AD200" s="618"/>
      <c r="AE200" s="625"/>
      <c r="AF200" s="619"/>
      <c r="AG200" s="618"/>
      <c r="AH200" s="625"/>
      <c r="AI200" s="619"/>
      <c r="AJ200" s="618"/>
      <c r="AK200" s="625"/>
      <c r="AL200" s="619"/>
      <c r="AM200" s="618"/>
      <c r="AN200" s="625"/>
      <c r="AO200" s="619"/>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116</v>
      </c>
      <c r="C201" s="618"/>
      <c r="D201" s="625"/>
      <c r="E201" s="639"/>
      <c r="F201" s="618"/>
      <c r="G201" s="625"/>
      <c r="H201" s="639"/>
      <c r="I201" s="618"/>
      <c r="J201" s="625"/>
      <c r="K201" s="639"/>
      <c r="L201" s="618"/>
      <c r="M201" s="625"/>
      <c r="N201" s="639"/>
      <c r="O201" s="618"/>
      <c r="P201" s="625"/>
      <c r="Q201" s="639"/>
      <c r="R201" s="618"/>
      <c r="S201" s="625"/>
      <c r="T201" s="639"/>
      <c r="U201" s="618"/>
      <c r="V201" s="625"/>
      <c r="W201" s="639"/>
      <c r="X201" s="618"/>
      <c r="Y201" s="625"/>
      <c r="Z201" s="639"/>
      <c r="AA201" s="618"/>
      <c r="AB201" s="625"/>
      <c r="AC201" s="639"/>
      <c r="AD201" s="618"/>
      <c r="AE201" s="625"/>
      <c r="AF201" s="639"/>
      <c r="AG201" s="618"/>
      <c r="AH201" s="625"/>
      <c r="AI201" s="639"/>
      <c r="AJ201" s="618"/>
      <c r="AK201" s="625"/>
      <c r="AL201" s="639"/>
      <c r="AM201" s="618"/>
      <c r="AN201" s="625"/>
      <c r="AO201" s="988"/>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117</v>
      </c>
      <c r="C202" s="618"/>
      <c r="D202" s="625"/>
      <c r="E202" s="639"/>
      <c r="F202" s="618"/>
      <c r="G202" s="625"/>
      <c r="H202" s="639"/>
      <c r="I202" s="618"/>
      <c r="J202" s="625"/>
      <c r="K202" s="639"/>
      <c r="L202" s="618"/>
      <c r="M202" s="625"/>
      <c r="N202" s="639"/>
      <c r="O202" s="618"/>
      <c r="P202" s="625"/>
      <c r="Q202" s="639"/>
      <c r="R202" s="618"/>
      <c r="S202" s="625"/>
      <c r="T202" s="639"/>
      <c r="U202" s="618"/>
      <c r="V202" s="625"/>
      <c r="W202" s="639"/>
      <c r="X202" s="618"/>
      <c r="Y202" s="625"/>
      <c r="Z202" s="639"/>
      <c r="AA202" s="618"/>
      <c r="AB202" s="625"/>
      <c r="AC202" s="639"/>
      <c r="AD202" s="618"/>
      <c r="AE202" s="625"/>
      <c r="AF202" s="639"/>
      <c r="AG202" s="618"/>
      <c r="AH202" s="625"/>
      <c r="AI202" s="639"/>
      <c r="AJ202" s="618"/>
      <c r="AK202" s="625"/>
      <c r="AL202" s="639"/>
      <c r="AM202" s="618"/>
      <c r="AN202" s="625"/>
      <c r="AO202" s="988"/>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118</v>
      </c>
      <c r="C203" s="890"/>
      <c r="D203" s="908"/>
      <c r="E203" s="910"/>
      <c r="F203" s="890"/>
      <c r="G203" s="908"/>
      <c r="H203" s="910"/>
      <c r="I203" s="890"/>
      <c r="J203" s="908"/>
      <c r="K203" s="910"/>
      <c r="L203" s="890"/>
      <c r="M203" s="908"/>
      <c r="N203" s="910"/>
      <c r="O203" s="890"/>
      <c r="P203" s="908"/>
      <c r="Q203" s="910"/>
      <c r="R203" s="890"/>
      <c r="S203" s="908"/>
      <c r="T203" s="910"/>
      <c r="U203" s="890"/>
      <c r="V203" s="908"/>
      <c r="W203" s="910"/>
      <c r="X203" s="890"/>
      <c r="Y203" s="908"/>
      <c r="Z203" s="910"/>
      <c r="AA203" s="890"/>
      <c r="AB203" s="908"/>
      <c r="AC203" s="910"/>
      <c r="AD203" s="890"/>
      <c r="AE203" s="908"/>
      <c r="AF203" s="910"/>
      <c r="AG203" s="890"/>
      <c r="AH203" s="908"/>
      <c r="AI203" s="910"/>
      <c r="AJ203" s="890"/>
      <c r="AK203" s="908"/>
      <c r="AL203" s="910"/>
      <c r="AM203" s="890"/>
      <c r="AN203" s="908"/>
      <c r="AO203" s="991"/>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119</v>
      </c>
      <c r="C204" s="618"/>
      <c r="D204" s="625"/>
      <c r="E204" s="639"/>
      <c r="F204" s="618"/>
      <c r="G204" s="625"/>
      <c r="H204" s="639"/>
      <c r="I204" s="618"/>
      <c r="J204" s="625"/>
      <c r="K204" s="639"/>
      <c r="L204" s="618"/>
      <c r="M204" s="625"/>
      <c r="N204" s="639"/>
      <c r="O204" s="618"/>
      <c r="P204" s="625"/>
      <c r="Q204" s="639"/>
      <c r="R204" s="618"/>
      <c r="S204" s="625"/>
      <c r="T204" s="639"/>
      <c r="U204" s="618"/>
      <c r="V204" s="625"/>
      <c r="W204" s="639"/>
      <c r="X204" s="618"/>
      <c r="Y204" s="625"/>
      <c r="Z204" s="639"/>
      <c r="AA204" s="618"/>
      <c r="AB204" s="625"/>
      <c r="AC204" s="639"/>
      <c r="AD204" s="618"/>
      <c r="AE204" s="625"/>
      <c r="AF204" s="639"/>
      <c r="AG204" s="618"/>
      <c r="AH204" s="625"/>
      <c r="AI204" s="639"/>
      <c r="AJ204" s="618"/>
      <c r="AK204" s="625"/>
      <c r="AL204" s="639"/>
      <c r="AM204" s="618"/>
      <c r="AN204" s="625"/>
      <c r="AO204" s="988"/>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55</v>
      </c>
      <c r="C205" s="618"/>
      <c r="D205" s="625"/>
      <c r="E205" s="639"/>
      <c r="F205" s="618"/>
      <c r="G205" s="625"/>
      <c r="H205" s="639"/>
      <c r="I205" s="618"/>
      <c r="J205" s="625"/>
      <c r="K205" s="639"/>
      <c r="L205" s="618"/>
      <c r="M205" s="625"/>
      <c r="N205" s="639"/>
      <c r="O205" s="618"/>
      <c r="P205" s="625"/>
      <c r="Q205" s="639"/>
      <c r="R205" s="618"/>
      <c r="S205" s="625"/>
      <c r="T205" s="639"/>
      <c r="U205" s="618"/>
      <c r="V205" s="625"/>
      <c r="W205" s="639"/>
      <c r="X205" s="618"/>
      <c r="Y205" s="625"/>
      <c r="Z205" s="639"/>
      <c r="AA205" s="618"/>
      <c r="AB205" s="625"/>
      <c r="AC205" s="639"/>
      <c r="AD205" s="618"/>
      <c r="AE205" s="625"/>
      <c r="AF205" s="639"/>
      <c r="AG205" s="618"/>
      <c r="AH205" s="625"/>
      <c r="AI205" s="639"/>
      <c r="AJ205" s="618"/>
      <c r="AK205" s="625"/>
      <c r="AL205" s="639"/>
      <c r="AM205" s="618"/>
      <c r="AN205" s="625"/>
      <c r="AO205" s="988"/>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55</v>
      </c>
      <c r="C206" s="618"/>
      <c r="D206" s="625"/>
      <c r="E206" s="639"/>
      <c r="F206" s="618"/>
      <c r="G206" s="625"/>
      <c r="H206" s="639"/>
      <c r="I206" s="618"/>
      <c r="J206" s="625"/>
      <c r="K206" s="639"/>
      <c r="L206" s="618"/>
      <c r="M206" s="625"/>
      <c r="N206" s="639"/>
      <c r="O206" s="618"/>
      <c r="P206" s="625"/>
      <c r="Q206" s="639"/>
      <c r="R206" s="618"/>
      <c r="S206" s="625"/>
      <c r="T206" s="639"/>
      <c r="U206" s="618"/>
      <c r="V206" s="625"/>
      <c r="W206" s="639"/>
      <c r="X206" s="618"/>
      <c r="Y206" s="625"/>
      <c r="Z206" s="639"/>
      <c r="AA206" s="618"/>
      <c r="AB206" s="625"/>
      <c r="AC206" s="639"/>
      <c r="AD206" s="618"/>
      <c r="AE206" s="625"/>
      <c r="AF206" s="639"/>
      <c r="AG206" s="618"/>
      <c r="AH206" s="625"/>
      <c r="AI206" s="639"/>
      <c r="AJ206" s="618"/>
      <c r="AK206" s="625"/>
      <c r="AL206" s="639"/>
      <c r="AM206" s="618"/>
      <c r="AN206" s="625"/>
      <c r="AO206" s="988"/>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55</v>
      </c>
      <c r="C207" s="618"/>
      <c r="D207" s="625"/>
      <c r="E207" s="639"/>
      <c r="F207" s="618"/>
      <c r="G207" s="625"/>
      <c r="H207" s="639"/>
      <c r="I207" s="618"/>
      <c r="J207" s="625"/>
      <c r="K207" s="639"/>
      <c r="L207" s="618"/>
      <c r="M207" s="625"/>
      <c r="N207" s="639"/>
      <c r="O207" s="618"/>
      <c r="P207" s="625"/>
      <c r="Q207" s="639"/>
      <c r="R207" s="618"/>
      <c r="S207" s="625"/>
      <c r="T207" s="639"/>
      <c r="U207" s="618"/>
      <c r="V207" s="625"/>
      <c r="W207" s="639"/>
      <c r="X207" s="618"/>
      <c r="Y207" s="625"/>
      <c r="Z207" s="639"/>
      <c r="AA207" s="618"/>
      <c r="AB207" s="625"/>
      <c r="AC207" s="639"/>
      <c r="AD207" s="618"/>
      <c r="AE207" s="625"/>
      <c r="AF207" s="639"/>
      <c r="AG207" s="618"/>
      <c r="AH207" s="625"/>
      <c r="AI207" s="639"/>
      <c r="AJ207" s="618"/>
      <c r="AK207" s="625"/>
      <c r="AL207" s="639"/>
      <c r="AM207" s="618"/>
      <c r="AN207" s="625"/>
      <c r="AO207" s="988"/>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120</v>
      </c>
      <c r="C208" s="618"/>
      <c r="D208" s="625"/>
      <c r="E208" s="639"/>
      <c r="F208" s="618"/>
      <c r="G208" s="625"/>
      <c r="H208" s="639"/>
      <c r="I208" s="618"/>
      <c r="J208" s="625"/>
      <c r="K208" s="639"/>
      <c r="L208" s="618"/>
      <c r="M208" s="625"/>
      <c r="N208" s="639"/>
      <c r="O208" s="618"/>
      <c r="P208" s="625"/>
      <c r="Q208" s="639"/>
      <c r="R208" s="618"/>
      <c r="S208" s="625"/>
      <c r="T208" s="639"/>
      <c r="U208" s="618"/>
      <c r="V208" s="625"/>
      <c r="W208" s="639"/>
      <c r="X208" s="618"/>
      <c r="Y208" s="625"/>
      <c r="Z208" s="639"/>
      <c r="AA208" s="618"/>
      <c r="AB208" s="625"/>
      <c r="AC208" s="639"/>
      <c r="AD208" s="618"/>
      <c r="AE208" s="625"/>
      <c r="AF208" s="639"/>
      <c r="AG208" s="618"/>
      <c r="AH208" s="625"/>
      <c r="AI208" s="639"/>
      <c r="AJ208" s="618"/>
      <c r="AK208" s="625"/>
      <c r="AL208" s="639"/>
      <c r="AM208" s="618"/>
      <c r="AN208" s="625"/>
      <c r="AO208" s="988"/>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121</v>
      </c>
      <c r="C209" s="890"/>
      <c r="D209" s="908"/>
      <c r="E209" s="910"/>
      <c r="F209" s="890"/>
      <c r="G209" s="908"/>
      <c r="H209" s="910"/>
      <c r="I209" s="890"/>
      <c r="J209" s="908"/>
      <c r="K209" s="910"/>
      <c r="L209" s="890"/>
      <c r="M209" s="908"/>
      <c r="N209" s="910"/>
      <c r="O209" s="890"/>
      <c r="P209" s="908"/>
      <c r="Q209" s="910"/>
      <c r="R209" s="890"/>
      <c r="S209" s="908"/>
      <c r="T209" s="910"/>
      <c r="U209" s="890"/>
      <c r="V209" s="908"/>
      <c r="W209" s="910"/>
      <c r="X209" s="890"/>
      <c r="Y209" s="908"/>
      <c r="Z209" s="910"/>
      <c r="AA209" s="890"/>
      <c r="AB209" s="908"/>
      <c r="AC209" s="910"/>
      <c r="AD209" s="890"/>
      <c r="AE209" s="908"/>
      <c r="AF209" s="910"/>
      <c r="AG209" s="890"/>
      <c r="AH209" s="908"/>
      <c r="AI209" s="910"/>
      <c r="AJ209" s="890"/>
      <c r="AK209" s="908"/>
      <c r="AL209" s="910"/>
      <c r="AM209" s="890"/>
      <c r="AN209" s="908"/>
      <c r="AO209" s="991"/>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122</v>
      </c>
      <c r="C210" s="618"/>
      <c r="D210" s="625"/>
      <c r="E210" s="639"/>
      <c r="F210" s="618"/>
      <c r="G210" s="625"/>
      <c r="H210" s="639"/>
      <c r="I210" s="618"/>
      <c r="J210" s="625"/>
      <c r="K210" s="639"/>
      <c r="L210" s="618"/>
      <c r="M210" s="625"/>
      <c r="N210" s="639"/>
      <c r="O210" s="618"/>
      <c r="P210" s="625"/>
      <c r="Q210" s="639"/>
      <c r="R210" s="618"/>
      <c r="S210" s="625"/>
      <c r="T210" s="639"/>
      <c r="U210" s="618"/>
      <c r="V210" s="625"/>
      <c r="W210" s="639"/>
      <c r="X210" s="618"/>
      <c r="Y210" s="625"/>
      <c r="Z210" s="639"/>
      <c r="AA210" s="618"/>
      <c r="AB210" s="625"/>
      <c r="AC210" s="639"/>
      <c r="AD210" s="618"/>
      <c r="AE210" s="625"/>
      <c r="AF210" s="639"/>
      <c r="AG210" s="618"/>
      <c r="AH210" s="625"/>
      <c r="AI210" s="639"/>
      <c r="AJ210" s="618"/>
      <c r="AK210" s="625"/>
      <c r="AL210" s="639"/>
      <c r="AM210" s="618"/>
      <c r="AN210" s="625"/>
      <c r="AO210" s="988"/>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123</v>
      </c>
      <c r="C211" s="618"/>
      <c r="D211" s="625"/>
      <c r="E211" s="639"/>
      <c r="F211" s="618"/>
      <c r="G211" s="625"/>
      <c r="H211" s="639"/>
      <c r="I211" s="618"/>
      <c r="J211" s="625"/>
      <c r="K211" s="639"/>
      <c r="L211" s="618"/>
      <c r="M211" s="625"/>
      <c r="N211" s="639"/>
      <c r="O211" s="618"/>
      <c r="P211" s="625"/>
      <c r="Q211" s="639"/>
      <c r="R211" s="618"/>
      <c r="S211" s="625"/>
      <c r="T211" s="639"/>
      <c r="U211" s="618"/>
      <c r="V211" s="625"/>
      <c r="W211" s="639"/>
      <c r="X211" s="618"/>
      <c r="Y211" s="625"/>
      <c r="Z211" s="639"/>
      <c r="AA211" s="618"/>
      <c r="AB211" s="625"/>
      <c r="AC211" s="639"/>
      <c r="AD211" s="618"/>
      <c r="AE211" s="625"/>
      <c r="AF211" s="639"/>
      <c r="AG211" s="618"/>
      <c r="AH211" s="625"/>
      <c r="AI211" s="639"/>
      <c r="AJ211" s="618"/>
      <c r="AK211" s="625"/>
      <c r="AL211" s="639"/>
      <c r="AM211" s="618"/>
      <c r="AN211" s="625"/>
      <c r="AO211" s="988"/>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55</v>
      </c>
      <c r="C212" s="644"/>
      <c r="D212" s="645"/>
      <c r="E212" s="642"/>
      <c r="F212" s="644"/>
      <c r="G212" s="645"/>
      <c r="H212" s="642"/>
      <c r="I212" s="644"/>
      <c r="J212" s="645"/>
      <c r="K212" s="642"/>
      <c r="L212" s="644"/>
      <c r="M212" s="645"/>
      <c r="N212" s="642"/>
      <c r="O212" s="644"/>
      <c r="P212" s="645"/>
      <c r="Q212" s="642"/>
      <c r="R212" s="644"/>
      <c r="S212" s="645"/>
      <c r="T212" s="642"/>
      <c r="U212" s="644"/>
      <c r="V212" s="645"/>
      <c r="W212" s="642"/>
      <c r="X212" s="644"/>
      <c r="Y212" s="645"/>
      <c r="Z212" s="642"/>
      <c r="AA212" s="644"/>
      <c r="AB212" s="645"/>
      <c r="AC212" s="642"/>
      <c r="AD212" s="644"/>
      <c r="AE212" s="645"/>
      <c r="AF212" s="642"/>
      <c r="AG212" s="644"/>
      <c r="AH212" s="645"/>
      <c r="AI212" s="642"/>
      <c r="AJ212" s="644"/>
      <c r="AK212" s="645"/>
      <c r="AL212" s="642"/>
      <c r="AM212" s="644"/>
      <c r="AN212" s="645"/>
      <c r="AO212" s="642"/>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124</v>
      </c>
      <c r="C213" s="903"/>
      <c r="D213" s="904"/>
      <c r="E213" s="905"/>
      <c r="F213" s="903"/>
      <c r="G213" s="904"/>
      <c r="H213" s="905"/>
      <c r="I213" s="903"/>
      <c r="J213" s="904"/>
      <c r="K213" s="905"/>
      <c r="L213" s="903"/>
      <c r="M213" s="904"/>
      <c r="N213" s="905"/>
      <c r="O213" s="903"/>
      <c r="P213" s="904"/>
      <c r="Q213" s="905"/>
      <c r="R213" s="903"/>
      <c r="S213" s="904"/>
      <c r="T213" s="905"/>
      <c r="U213" s="903"/>
      <c r="V213" s="904"/>
      <c r="W213" s="990"/>
      <c r="X213" s="903"/>
      <c r="Y213" s="904"/>
      <c r="Z213" s="990"/>
      <c r="AA213" s="903"/>
      <c r="AB213" s="904"/>
      <c r="AC213" s="990"/>
      <c r="AD213" s="903"/>
      <c r="AE213" s="904"/>
      <c r="AF213" s="990"/>
      <c r="AG213" s="903"/>
      <c r="AH213" s="904"/>
      <c r="AI213" s="905"/>
      <c r="AJ213" s="903"/>
      <c r="AK213" s="904"/>
      <c r="AL213" s="905"/>
      <c r="AM213" s="903"/>
      <c r="AN213" s="904"/>
      <c r="AO213" s="905"/>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125</v>
      </c>
      <c r="C214" s="618"/>
      <c r="D214" s="625"/>
      <c r="E214" s="639"/>
      <c r="F214" s="618"/>
      <c r="G214" s="625"/>
      <c r="H214" s="639"/>
      <c r="I214" s="618"/>
      <c r="J214" s="625"/>
      <c r="K214" s="639"/>
      <c r="L214" s="618"/>
      <c r="M214" s="625"/>
      <c r="N214" s="639"/>
      <c r="O214" s="618"/>
      <c r="P214" s="625"/>
      <c r="Q214" s="639"/>
      <c r="R214" s="618"/>
      <c r="S214" s="625"/>
      <c r="T214" s="639"/>
      <c r="U214" s="618"/>
      <c r="V214" s="625"/>
      <c r="W214" s="639"/>
      <c r="X214" s="618"/>
      <c r="Y214" s="625"/>
      <c r="Z214" s="639"/>
      <c r="AA214" s="618"/>
      <c r="AB214" s="625"/>
      <c r="AC214" s="639"/>
      <c r="AD214" s="618"/>
      <c r="AE214" s="625"/>
      <c r="AF214" s="639"/>
      <c r="AG214" s="618"/>
      <c r="AH214" s="625"/>
      <c r="AI214" s="639"/>
      <c r="AJ214" s="618"/>
      <c r="AK214" s="625"/>
      <c r="AL214" s="639"/>
      <c r="AM214" s="618"/>
      <c r="AN214" s="625"/>
      <c r="AO214" s="988"/>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126</v>
      </c>
      <c r="C215" s="618"/>
      <c r="D215" s="625"/>
      <c r="E215" s="639"/>
      <c r="F215" s="618"/>
      <c r="G215" s="625"/>
      <c r="H215" s="639"/>
      <c r="I215" s="618"/>
      <c r="J215" s="625"/>
      <c r="K215" s="639"/>
      <c r="L215" s="618"/>
      <c r="M215" s="625"/>
      <c r="N215" s="639"/>
      <c r="O215" s="618"/>
      <c r="P215" s="625"/>
      <c r="Q215" s="639"/>
      <c r="R215" s="618"/>
      <c r="S215" s="625"/>
      <c r="T215" s="639"/>
      <c r="U215" s="618"/>
      <c r="V215" s="625"/>
      <c r="W215" s="639"/>
      <c r="X215" s="618"/>
      <c r="Y215" s="625"/>
      <c r="Z215" s="639"/>
      <c r="AA215" s="618"/>
      <c r="AB215" s="625"/>
      <c r="AC215" s="639"/>
      <c r="AD215" s="618"/>
      <c r="AE215" s="625"/>
      <c r="AF215" s="639"/>
      <c r="AG215" s="618"/>
      <c r="AH215" s="625"/>
      <c r="AI215" s="639"/>
      <c r="AJ215" s="618"/>
      <c r="AK215" s="625"/>
      <c r="AL215" s="639"/>
      <c r="AM215" s="618"/>
      <c r="AN215" s="625"/>
      <c r="AO215" s="988"/>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127</v>
      </c>
      <c r="C216" s="644"/>
      <c r="D216" s="645"/>
      <c r="E216" s="643"/>
      <c r="F216" s="644"/>
      <c r="G216" s="645"/>
      <c r="H216" s="643"/>
      <c r="I216" s="644"/>
      <c r="J216" s="645"/>
      <c r="K216" s="643"/>
      <c r="L216" s="644"/>
      <c r="M216" s="645"/>
      <c r="N216" s="643"/>
      <c r="O216" s="644"/>
      <c r="P216" s="645"/>
      <c r="Q216" s="643"/>
      <c r="R216" s="644"/>
      <c r="S216" s="645"/>
      <c r="T216" s="643"/>
      <c r="U216" s="644"/>
      <c r="V216" s="645"/>
      <c r="W216" s="643"/>
      <c r="X216" s="644"/>
      <c r="Y216" s="645"/>
      <c r="Z216" s="643"/>
      <c r="AA216" s="644"/>
      <c r="AB216" s="645"/>
      <c r="AC216" s="643"/>
      <c r="AD216" s="644"/>
      <c r="AE216" s="645"/>
      <c r="AF216" s="643"/>
      <c r="AG216" s="644"/>
      <c r="AH216" s="645"/>
      <c r="AI216" s="643"/>
      <c r="AJ216" s="644"/>
      <c r="AK216" s="645"/>
      <c r="AL216" s="643"/>
      <c r="AM216" s="644"/>
      <c r="AN216" s="645"/>
      <c r="AO216" s="989"/>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128</v>
      </c>
      <c r="C217" s="618"/>
      <c r="D217" s="625"/>
      <c r="E217" s="639"/>
      <c r="F217" s="618"/>
      <c r="G217" s="625"/>
      <c r="H217" s="639"/>
      <c r="I217" s="618"/>
      <c r="J217" s="625"/>
      <c r="K217" s="639"/>
      <c r="L217" s="618"/>
      <c r="M217" s="625"/>
      <c r="N217" s="639"/>
      <c r="O217" s="618"/>
      <c r="P217" s="625"/>
      <c r="Q217" s="639"/>
      <c r="R217" s="618"/>
      <c r="S217" s="625"/>
      <c r="T217" s="639"/>
      <c r="U217" s="618"/>
      <c r="V217" s="625"/>
      <c r="W217" s="639"/>
      <c r="X217" s="618"/>
      <c r="Y217" s="625"/>
      <c r="Z217" s="639"/>
      <c r="AA217" s="618"/>
      <c r="AB217" s="625"/>
      <c r="AC217" s="639"/>
      <c r="AD217" s="618"/>
      <c r="AE217" s="625"/>
      <c r="AF217" s="639"/>
      <c r="AG217" s="618"/>
      <c r="AH217" s="625"/>
      <c r="AI217" s="639"/>
      <c r="AJ217" s="618"/>
      <c r="AK217" s="625"/>
      <c r="AL217" s="639"/>
      <c r="AM217" s="618"/>
      <c r="AN217" s="625"/>
      <c r="AO217" s="988"/>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129</v>
      </c>
      <c r="C218" s="618"/>
      <c r="D218" s="625"/>
      <c r="E218" s="639"/>
      <c r="F218" s="618"/>
      <c r="G218" s="625"/>
      <c r="H218" s="639"/>
      <c r="I218" s="618"/>
      <c r="J218" s="625"/>
      <c r="K218" s="639"/>
      <c r="L218" s="618"/>
      <c r="M218" s="625"/>
      <c r="N218" s="639"/>
      <c r="O218" s="618"/>
      <c r="P218" s="625"/>
      <c r="Q218" s="639"/>
      <c r="R218" s="618"/>
      <c r="S218" s="625"/>
      <c r="T218" s="639"/>
      <c r="U218" s="618"/>
      <c r="V218" s="625"/>
      <c r="W218" s="639"/>
      <c r="X218" s="618"/>
      <c r="Y218" s="625"/>
      <c r="Z218" s="639"/>
      <c r="AA218" s="618"/>
      <c r="AB218" s="625"/>
      <c r="AC218" s="639"/>
      <c r="AD218" s="618"/>
      <c r="AE218" s="625"/>
      <c r="AF218" s="639"/>
      <c r="AG218" s="618"/>
      <c r="AH218" s="625"/>
      <c r="AI218" s="639"/>
      <c r="AJ218" s="618"/>
      <c r="AK218" s="625"/>
      <c r="AL218" s="639"/>
      <c r="AM218" s="618"/>
      <c r="AN218" s="625"/>
      <c r="AO218" s="988"/>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130</v>
      </c>
      <c r="C219" s="644"/>
      <c r="D219" s="645"/>
      <c r="E219" s="643"/>
      <c r="F219" s="644"/>
      <c r="G219" s="645"/>
      <c r="H219" s="643"/>
      <c r="I219" s="644"/>
      <c r="J219" s="645"/>
      <c r="K219" s="643"/>
      <c r="L219" s="644"/>
      <c r="M219" s="645"/>
      <c r="N219" s="643"/>
      <c r="O219" s="644"/>
      <c r="P219" s="645"/>
      <c r="Q219" s="643"/>
      <c r="R219" s="644"/>
      <c r="S219" s="645"/>
      <c r="T219" s="643"/>
      <c r="U219" s="644"/>
      <c r="V219" s="645"/>
      <c r="W219" s="643"/>
      <c r="X219" s="644"/>
      <c r="Y219" s="645"/>
      <c r="Z219" s="643"/>
      <c r="AA219" s="644"/>
      <c r="AB219" s="645"/>
      <c r="AC219" s="643"/>
      <c r="AD219" s="644"/>
      <c r="AE219" s="645"/>
      <c r="AF219" s="643"/>
      <c r="AG219" s="644"/>
      <c r="AH219" s="645"/>
      <c r="AI219" s="643"/>
      <c r="AJ219" s="644"/>
      <c r="AK219" s="645"/>
      <c r="AL219" s="643"/>
      <c r="AM219" s="644"/>
      <c r="AN219" s="645"/>
      <c r="AO219" s="989"/>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483</v>
      </c>
      <c r="C220" s="618"/>
      <c r="D220" s="625"/>
      <c r="E220" s="639"/>
      <c r="F220" s="618"/>
      <c r="G220" s="625"/>
      <c r="H220" s="639"/>
      <c r="I220" s="618"/>
      <c r="J220" s="625"/>
      <c r="K220" s="639"/>
      <c r="L220" s="618"/>
      <c r="M220" s="625"/>
      <c r="N220" s="639"/>
      <c r="O220" s="618"/>
      <c r="P220" s="625"/>
      <c r="Q220" s="639"/>
      <c r="R220" s="618"/>
      <c r="S220" s="625"/>
      <c r="T220" s="639"/>
      <c r="U220" s="618"/>
      <c r="V220" s="625"/>
      <c r="W220" s="639"/>
      <c r="X220" s="618"/>
      <c r="Y220" s="625"/>
      <c r="Z220" s="639"/>
      <c r="AA220" s="618"/>
      <c r="AB220" s="625"/>
      <c r="AC220" s="639"/>
      <c r="AD220" s="618"/>
      <c r="AE220" s="625"/>
      <c r="AF220" s="639"/>
      <c r="AG220" s="618"/>
      <c r="AH220" s="625"/>
      <c r="AI220" s="639"/>
      <c r="AJ220" s="618"/>
      <c r="AK220" s="625"/>
      <c r="AL220" s="639"/>
      <c r="AM220" s="618"/>
      <c r="AN220" s="625"/>
      <c r="AO220" s="988"/>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131</v>
      </c>
      <c r="C221" s="618"/>
      <c r="D221" s="625"/>
      <c r="E221" s="639"/>
      <c r="F221" s="618"/>
      <c r="G221" s="625"/>
      <c r="H221" s="639"/>
      <c r="I221" s="618"/>
      <c r="J221" s="625"/>
      <c r="K221" s="639"/>
      <c r="L221" s="618"/>
      <c r="M221" s="625"/>
      <c r="N221" s="639"/>
      <c r="O221" s="618"/>
      <c r="P221" s="625"/>
      <c r="Q221" s="639"/>
      <c r="R221" s="618"/>
      <c r="S221" s="625"/>
      <c r="T221" s="639"/>
      <c r="U221" s="618"/>
      <c r="V221" s="625"/>
      <c r="W221" s="639"/>
      <c r="X221" s="618"/>
      <c r="Y221" s="625"/>
      <c r="Z221" s="639"/>
      <c r="AA221" s="618"/>
      <c r="AB221" s="625"/>
      <c r="AC221" s="639"/>
      <c r="AD221" s="618"/>
      <c r="AE221" s="625"/>
      <c r="AF221" s="639"/>
      <c r="AG221" s="618"/>
      <c r="AH221" s="625"/>
      <c r="AI221" s="639"/>
      <c r="AJ221" s="618"/>
      <c r="AK221" s="625"/>
      <c r="AL221" s="639"/>
      <c r="AM221" s="618"/>
      <c r="AN221" s="625"/>
      <c r="AO221" s="988"/>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132</v>
      </c>
      <c r="C222" s="618"/>
      <c r="D222" s="625"/>
      <c r="E222" s="639"/>
      <c r="F222" s="618"/>
      <c r="G222" s="625"/>
      <c r="H222" s="639"/>
      <c r="I222" s="618"/>
      <c r="J222" s="625"/>
      <c r="K222" s="639"/>
      <c r="L222" s="618"/>
      <c r="M222" s="625"/>
      <c r="N222" s="639"/>
      <c r="O222" s="618"/>
      <c r="P222" s="625"/>
      <c r="Q222" s="639"/>
      <c r="R222" s="618"/>
      <c r="S222" s="625"/>
      <c r="T222" s="639"/>
      <c r="U222" s="618"/>
      <c r="V222" s="625"/>
      <c r="W222" s="639"/>
      <c r="X222" s="618"/>
      <c r="Y222" s="625"/>
      <c r="Z222" s="639"/>
      <c r="AA222" s="618"/>
      <c r="AB222" s="625"/>
      <c r="AC222" s="639"/>
      <c r="AD222" s="618"/>
      <c r="AE222" s="625"/>
      <c r="AF222" s="639"/>
      <c r="AG222" s="618"/>
      <c r="AH222" s="625"/>
      <c r="AI222" s="639"/>
      <c r="AJ222" s="618"/>
      <c r="AK222" s="625"/>
      <c r="AL222" s="639"/>
      <c r="AM222" s="618"/>
      <c r="AN222" s="625"/>
      <c r="AO222" s="988"/>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133</v>
      </c>
      <c r="C223" s="618"/>
      <c r="D223" s="625"/>
      <c r="E223" s="639"/>
      <c r="F223" s="618"/>
      <c r="G223" s="625"/>
      <c r="H223" s="639"/>
      <c r="I223" s="618"/>
      <c r="J223" s="625"/>
      <c r="K223" s="639"/>
      <c r="L223" s="618"/>
      <c r="M223" s="625"/>
      <c r="N223" s="639"/>
      <c r="O223" s="618"/>
      <c r="P223" s="625"/>
      <c r="Q223" s="639"/>
      <c r="R223" s="618"/>
      <c r="S223" s="625"/>
      <c r="T223" s="639"/>
      <c r="U223" s="618"/>
      <c r="V223" s="625"/>
      <c r="W223" s="639"/>
      <c r="X223" s="618"/>
      <c r="Y223" s="625"/>
      <c r="Z223" s="639"/>
      <c r="AA223" s="618"/>
      <c r="AB223" s="625"/>
      <c r="AC223" s="639"/>
      <c r="AD223" s="618"/>
      <c r="AE223" s="625"/>
      <c r="AF223" s="639"/>
      <c r="AG223" s="618"/>
      <c r="AH223" s="625"/>
      <c r="AI223" s="639"/>
      <c r="AJ223" s="618"/>
      <c r="AK223" s="625"/>
      <c r="AL223" s="639"/>
      <c r="AM223" s="618"/>
      <c r="AN223" s="625"/>
      <c r="AO223" s="988"/>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134</v>
      </c>
      <c r="C224" s="618"/>
      <c r="D224" s="625"/>
      <c r="E224" s="639"/>
      <c r="F224" s="618"/>
      <c r="G224" s="625"/>
      <c r="H224" s="639"/>
      <c r="I224" s="618"/>
      <c r="J224" s="625"/>
      <c r="K224" s="639"/>
      <c r="L224" s="618"/>
      <c r="M224" s="625"/>
      <c r="N224" s="639"/>
      <c r="O224" s="618"/>
      <c r="P224" s="625"/>
      <c r="Q224" s="639"/>
      <c r="R224" s="618"/>
      <c r="S224" s="625"/>
      <c r="T224" s="639"/>
      <c r="U224" s="618"/>
      <c r="V224" s="625"/>
      <c r="W224" s="639"/>
      <c r="X224" s="618"/>
      <c r="Y224" s="625"/>
      <c r="Z224" s="639"/>
      <c r="AA224" s="618"/>
      <c r="AB224" s="625"/>
      <c r="AC224" s="639"/>
      <c r="AD224" s="618"/>
      <c r="AE224" s="625"/>
      <c r="AF224" s="639"/>
      <c r="AG224" s="618"/>
      <c r="AH224" s="625"/>
      <c r="AI224" s="639"/>
      <c r="AJ224" s="618"/>
      <c r="AK224" s="625"/>
      <c r="AL224" s="639"/>
      <c r="AM224" s="618"/>
      <c r="AN224" s="625"/>
      <c r="AO224" s="988"/>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135</v>
      </c>
      <c r="C225" s="618"/>
      <c r="D225" s="625"/>
      <c r="E225" s="639"/>
      <c r="F225" s="618"/>
      <c r="G225" s="625"/>
      <c r="H225" s="639"/>
      <c r="I225" s="618"/>
      <c r="J225" s="625"/>
      <c r="K225" s="639"/>
      <c r="L225" s="618"/>
      <c r="M225" s="625"/>
      <c r="N225" s="639"/>
      <c r="O225" s="618"/>
      <c r="P225" s="625"/>
      <c r="Q225" s="639"/>
      <c r="R225" s="618"/>
      <c r="S225" s="625"/>
      <c r="T225" s="639"/>
      <c r="U225" s="618"/>
      <c r="V225" s="625"/>
      <c r="W225" s="639"/>
      <c r="X225" s="618"/>
      <c r="Y225" s="625"/>
      <c r="Z225" s="639"/>
      <c r="AA225" s="618"/>
      <c r="AB225" s="625"/>
      <c r="AC225" s="639"/>
      <c r="AD225" s="618"/>
      <c r="AE225" s="625"/>
      <c r="AF225" s="639"/>
      <c r="AG225" s="618"/>
      <c r="AH225" s="625"/>
      <c r="AI225" s="639"/>
      <c r="AJ225" s="618"/>
      <c r="AK225" s="625"/>
      <c r="AL225" s="639"/>
      <c r="AM225" s="618"/>
      <c r="AN225" s="625"/>
      <c r="AO225" s="988"/>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136</v>
      </c>
      <c r="C226" s="618"/>
      <c r="D226" s="625"/>
      <c r="E226" s="639"/>
      <c r="F226" s="618"/>
      <c r="G226" s="625"/>
      <c r="H226" s="639"/>
      <c r="I226" s="618"/>
      <c r="J226" s="625"/>
      <c r="K226" s="639"/>
      <c r="L226" s="618"/>
      <c r="M226" s="625"/>
      <c r="N226" s="639"/>
      <c r="O226" s="618"/>
      <c r="P226" s="625"/>
      <c r="Q226" s="639"/>
      <c r="R226" s="618"/>
      <c r="S226" s="625"/>
      <c r="T226" s="639"/>
      <c r="U226" s="618"/>
      <c r="V226" s="625"/>
      <c r="W226" s="639"/>
      <c r="X226" s="618"/>
      <c r="Y226" s="625"/>
      <c r="Z226" s="639"/>
      <c r="AA226" s="618"/>
      <c r="AB226" s="625"/>
      <c r="AC226" s="639"/>
      <c r="AD226" s="618"/>
      <c r="AE226" s="625"/>
      <c r="AF226" s="639"/>
      <c r="AG226" s="618"/>
      <c r="AH226" s="625"/>
      <c r="AI226" s="639"/>
      <c r="AJ226" s="618"/>
      <c r="AK226" s="625"/>
      <c r="AL226" s="639"/>
      <c r="AM226" s="618"/>
      <c r="AN226" s="625"/>
      <c r="AO226" s="988"/>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137</v>
      </c>
      <c r="C227" s="618"/>
      <c r="D227" s="625"/>
      <c r="E227" s="639"/>
      <c r="F227" s="618"/>
      <c r="G227" s="625"/>
      <c r="H227" s="639"/>
      <c r="I227" s="618"/>
      <c r="J227" s="625"/>
      <c r="K227" s="639"/>
      <c r="L227" s="618"/>
      <c r="M227" s="625"/>
      <c r="N227" s="639"/>
      <c r="O227" s="618"/>
      <c r="P227" s="625"/>
      <c r="Q227" s="639"/>
      <c r="R227" s="618"/>
      <c r="S227" s="625"/>
      <c r="T227" s="639"/>
      <c r="U227" s="618"/>
      <c r="V227" s="625"/>
      <c r="W227" s="639"/>
      <c r="X227" s="618"/>
      <c r="Y227" s="625"/>
      <c r="Z227" s="639"/>
      <c r="AA227" s="618"/>
      <c r="AB227" s="625"/>
      <c r="AC227" s="639"/>
      <c r="AD227" s="618"/>
      <c r="AE227" s="625"/>
      <c r="AF227" s="639"/>
      <c r="AG227" s="618"/>
      <c r="AH227" s="625"/>
      <c r="AI227" s="639"/>
      <c r="AJ227" s="618"/>
      <c r="AK227" s="625"/>
      <c r="AL227" s="639"/>
      <c r="AM227" s="618"/>
      <c r="AN227" s="625"/>
      <c r="AO227" s="988"/>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138</v>
      </c>
      <c r="C228" s="618"/>
      <c r="D228" s="625"/>
      <c r="E228" s="639"/>
      <c r="F228" s="618"/>
      <c r="G228" s="625"/>
      <c r="H228" s="639"/>
      <c r="I228" s="618"/>
      <c r="J228" s="625"/>
      <c r="K228" s="639"/>
      <c r="L228" s="618"/>
      <c r="M228" s="625"/>
      <c r="N228" s="639"/>
      <c r="O228" s="618"/>
      <c r="P228" s="625"/>
      <c r="Q228" s="639"/>
      <c r="R228" s="618"/>
      <c r="S228" s="625"/>
      <c r="T228" s="639"/>
      <c r="U228" s="618"/>
      <c r="V228" s="625"/>
      <c r="W228" s="639"/>
      <c r="X228" s="618"/>
      <c r="Y228" s="625"/>
      <c r="Z228" s="639"/>
      <c r="AA228" s="618"/>
      <c r="AB228" s="625"/>
      <c r="AC228" s="639"/>
      <c r="AD228" s="618"/>
      <c r="AE228" s="625"/>
      <c r="AF228" s="639"/>
      <c r="AG228" s="618"/>
      <c r="AH228" s="625"/>
      <c r="AI228" s="639"/>
      <c r="AJ228" s="618"/>
      <c r="AK228" s="625"/>
      <c r="AL228" s="639"/>
      <c r="AM228" s="618"/>
      <c r="AN228" s="625"/>
      <c r="AO228" s="988"/>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55</v>
      </c>
      <c r="C229" s="618"/>
      <c r="D229" s="625"/>
      <c r="E229" s="626"/>
      <c r="F229" s="618"/>
      <c r="G229" s="625"/>
      <c r="H229" s="626"/>
      <c r="I229" s="618"/>
      <c r="J229" s="625"/>
      <c r="K229" s="626"/>
      <c r="L229" s="618"/>
      <c r="M229" s="625"/>
      <c r="N229" s="626"/>
      <c r="O229" s="618"/>
      <c r="P229" s="625"/>
      <c r="Q229" s="626"/>
      <c r="R229" s="618"/>
      <c r="S229" s="625"/>
      <c r="T229" s="626"/>
      <c r="U229" s="618"/>
      <c r="V229" s="625"/>
      <c r="W229" s="626"/>
      <c r="X229" s="618"/>
      <c r="Y229" s="625"/>
      <c r="Z229" s="626"/>
      <c r="AA229" s="618"/>
      <c r="AB229" s="625"/>
      <c r="AC229" s="626"/>
      <c r="AD229" s="618"/>
      <c r="AE229" s="625"/>
      <c r="AF229" s="626"/>
      <c r="AG229" s="618"/>
      <c r="AH229" s="625"/>
      <c r="AI229" s="626"/>
      <c r="AJ229" s="618"/>
      <c r="AK229" s="625"/>
      <c r="AL229" s="626"/>
      <c r="AM229" s="618"/>
      <c r="AN229" s="625"/>
      <c r="AO229" s="626"/>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55</v>
      </c>
      <c r="C230" s="618"/>
      <c r="D230" s="625"/>
      <c r="E230" s="626"/>
      <c r="F230" s="618"/>
      <c r="G230" s="625"/>
      <c r="H230" s="626"/>
      <c r="I230" s="618"/>
      <c r="J230" s="625"/>
      <c r="K230" s="626"/>
      <c r="L230" s="618"/>
      <c r="M230" s="625"/>
      <c r="N230" s="626"/>
      <c r="O230" s="618"/>
      <c r="P230" s="625"/>
      <c r="Q230" s="626"/>
      <c r="R230" s="618"/>
      <c r="S230" s="625"/>
      <c r="T230" s="626"/>
      <c r="U230" s="618"/>
      <c r="V230" s="625"/>
      <c r="W230" s="626"/>
      <c r="X230" s="618"/>
      <c r="Y230" s="625"/>
      <c r="Z230" s="626"/>
      <c r="AA230" s="618"/>
      <c r="AB230" s="625"/>
      <c r="AC230" s="626"/>
      <c r="AD230" s="618"/>
      <c r="AE230" s="625"/>
      <c r="AF230" s="626"/>
      <c r="AG230" s="618"/>
      <c r="AH230" s="625"/>
      <c r="AI230" s="626"/>
      <c r="AJ230" s="618"/>
      <c r="AK230" s="625"/>
      <c r="AL230" s="626"/>
      <c r="AM230" s="618"/>
      <c r="AN230" s="625"/>
      <c r="AO230" s="626"/>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55</v>
      </c>
      <c r="C231" s="618"/>
      <c r="D231" s="625"/>
      <c r="E231" s="626"/>
      <c r="F231" s="618"/>
      <c r="G231" s="625"/>
      <c r="H231" s="626"/>
      <c r="I231" s="618"/>
      <c r="J231" s="625"/>
      <c r="K231" s="626"/>
      <c r="L231" s="618"/>
      <c r="M231" s="625"/>
      <c r="N231" s="626"/>
      <c r="O231" s="618"/>
      <c r="P231" s="625"/>
      <c r="Q231" s="626"/>
      <c r="R231" s="618"/>
      <c r="S231" s="625"/>
      <c r="T231" s="626"/>
      <c r="U231" s="618"/>
      <c r="V231" s="625"/>
      <c r="W231" s="626"/>
      <c r="X231" s="618"/>
      <c r="Y231" s="625"/>
      <c r="Z231" s="626"/>
      <c r="AA231" s="618"/>
      <c r="AB231" s="625"/>
      <c r="AC231" s="626"/>
      <c r="AD231" s="618"/>
      <c r="AE231" s="625"/>
      <c r="AF231" s="626"/>
      <c r="AG231" s="618"/>
      <c r="AH231" s="625"/>
      <c r="AI231" s="626"/>
      <c r="AJ231" s="618"/>
      <c r="AK231" s="625"/>
      <c r="AL231" s="626"/>
      <c r="AM231" s="618"/>
      <c r="AN231" s="625"/>
      <c r="AO231" s="626"/>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139</v>
      </c>
      <c r="C232" s="903"/>
      <c r="D232" s="904"/>
      <c r="E232" s="905"/>
      <c r="F232" s="903"/>
      <c r="G232" s="904"/>
      <c r="H232" s="905"/>
      <c r="I232" s="903"/>
      <c r="J232" s="904"/>
      <c r="K232" s="905"/>
      <c r="L232" s="903"/>
      <c r="M232" s="904"/>
      <c r="N232" s="905"/>
      <c r="O232" s="903"/>
      <c r="P232" s="904"/>
      <c r="Q232" s="905"/>
      <c r="R232" s="903"/>
      <c r="S232" s="904"/>
      <c r="T232" s="905"/>
      <c r="U232" s="903"/>
      <c r="V232" s="904"/>
      <c r="W232" s="990"/>
      <c r="X232" s="903"/>
      <c r="Y232" s="904"/>
      <c r="Z232" s="990"/>
      <c r="AA232" s="903"/>
      <c r="AB232" s="904"/>
      <c r="AC232" s="990"/>
      <c r="AD232" s="903"/>
      <c r="AE232" s="904"/>
      <c r="AF232" s="990"/>
      <c r="AG232" s="903"/>
      <c r="AH232" s="904"/>
      <c r="AI232" s="905"/>
      <c r="AJ232" s="903"/>
      <c r="AK232" s="904"/>
      <c r="AL232" s="905"/>
      <c r="AM232" s="903"/>
      <c r="AN232" s="904"/>
      <c r="AO232" s="905"/>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644"/>
      <c r="D233" s="645"/>
      <c r="E233" s="642"/>
      <c r="F233" s="644"/>
      <c r="G233" s="645"/>
      <c r="H233" s="642"/>
      <c r="I233" s="644"/>
      <c r="J233" s="645"/>
      <c r="K233" s="642"/>
      <c r="L233" s="644"/>
      <c r="M233" s="645"/>
      <c r="N233" s="642"/>
      <c r="O233" s="644"/>
      <c r="P233" s="645"/>
      <c r="Q233" s="642"/>
      <c r="R233" s="644"/>
      <c r="S233" s="645"/>
      <c r="T233" s="642"/>
      <c r="U233" s="644"/>
      <c r="V233" s="645"/>
      <c r="W233" s="642"/>
      <c r="X233" s="644"/>
      <c r="Y233" s="645"/>
      <c r="Z233" s="642"/>
      <c r="AA233" s="644"/>
      <c r="AB233" s="645"/>
      <c r="AC233" s="642"/>
      <c r="AD233" s="644"/>
      <c r="AE233" s="645"/>
      <c r="AF233" s="642"/>
      <c r="AG233" s="644"/>
      <c r="AH233" s="645"/>
      <c r="AI233" s="642"/>
      <c r="AJ233" s="644"/>
      <c r="AK233" s="645"/>
      <c r="AL233" s="642"/>
      <c r="AM233" s="644"/>
      <c r="AN233" s="645"/>
      <c r="AO233" s="642"/>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140</v>
      </c>
      <c r="C234" s="903"/>
      <c r="D234" s="925"/>
      <c r="E234" s="913"/>
      <c r="F234" s="903"/>
      <c r="G234" s="925"/>
      <c r="H234" s="913"/>
      <c r="I234" s="903"/>
      <c r="J234" s="925"/>
      <c r="K234" s="913"/>
      <c r="L234" s="903"/>
      <c r="M234" s="925"/>
      <c r="N234" s="913"/>
      <c r="O234" s="903"/>
      <c r="P234" s="925"/>
      <c r="Q234" s="913"/>
      <c r="R234" s="903"/>
      <c r="S234" s="925"/>
      <c r="T234" s="913"/>
      <c r="U234" s="903"/>
      <c r="V234" s="925"/>
      <c r="W234" s="993"/>
      <c r="X234" s="903"/>
      <c r="Y234" s="925"/>
      <c r="Z234" s="993"/>
      <c r="AA234" s="903"/>
      <c r="AB234" s="925"/>
      <c r="AC234" s="993"/>
      <c r="AD234" s="903"/>
      <c r="AE234" s="925"/>
      <c r="AF234" s="993"/>
      <c r="AG234" s="903"/>
      <c r="AH234" s="904"/>
      <c r="AI234" s="913"/>
      <c r="AJ234" s="903"/>
      <c r="AK234" s="904"/>
      <c r="AL234" s="913"/>
      <c r="AM234" s="903"/>
      <c r="AN234" s="904"/>
      <c r="AO234" s="913"/>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618"/>
      <c r="D235" s="625"/>
      <c r="E235" s="626"/>
      <c r="F235" s="618"/>
      <c r="G235" s="625"/>
      <c r="H235" s="626"/>
      <c r="I235" s="618"/>
      <c r="J235" s="625"/>
      <c r="K235" s="626"/>
      <c r="L235" s="618"/>
      <c r="M235" s="625"/>
      <c r="N235" s="626"/>
      <c r="O235" s="618"/>
      <c r="P235" s="625"/>
      <c r="Q235" s="626"/>
      <c r="R235" s="618"/>
      <c r="S235" s="625"/>
      <c r="T235" s="626"/>
      <c r="U235" s="618"/>
      <c r="V235" s="625"/>
      <c r="W235" s="626"/>
      <c r="X235" s="618"/>
      <c r="Y235" s="625"/>
      <c r="Z235" s="626"/>
      <c r="AA235" s="618"/>
      <c r="AB235" s="625"/>
      <c r="AC235" s="626"/>
      <c r="AD235" s="618"/>
      <c r="AE235" s="625"/>
      <c r="AF235" s="626"/>
      <c r="AG235" s="618"/>
      <c r="AH235" s="625"/>
      <c r="AI235" s="626"/>
      <c r="AJ235" s="618"/>
      <c r="AK235" s="625"/>
      <c r="AL235" s="626"/>
      <c r="AM235" s="618"/>
      <c r="AN235" s="625"/>
      <c r="AO235" s="626"/>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147</v>
      </c>
      <c r="C236" s="916"/>
      <c r="D236" s="927"/>
      <c r="E236" s="919"/>
      <c r="F236" s="916"/>
      <c r="G236" s="927"/>
      <c r="H236" s="919"/>
      <c r="I236" s="916"/>
      <c r="J236" s="927"/>
      <c r="K236" s="919"/>
      <c r="L236" s="916"/>
      <c r="M236" s="927"/>
      <c r="N236" s="919"/>
      <c r="O236" s="916"/>
      <c r="P236" s="927"/>
      <c r="Q236" s="919"/>
      <c r="R236" s="916"/>
      <c r="S236" s="927"/>
      <c r="T236" s="919"/>
      <c r="U236" s="916"/>
      <c r="V236" s="927"/>
      <c r="W236" s="996"/>
      <c r="X236" s="916"/>
      <c r="Y236" s="927"/>
      <c r="Z236" s="996"/>
      <c r="AA236" s="916"/>
      <c r="AB236" s="927"/>
      <c r="AC236" s="996"/>
      <c r="AD236" s="916"/>
      <c r="AE236" s="927"/>
      <c r="AF236" s="996"/>
      <c r="AG236" s="916"/>
      <c r="AH236" s="927"/>
      <c r="AI236" s="919"/>
      <c r="AJ236" s="916"/>
      <c r="AK236" s="927"/>
      <c r="AL236" s="919"/>
      <c r="AM236" s="916"/>
      <c r="AN236" s="927"/>
      <c r="AO236" s="919"/>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625"/>
      <c r="D237" s="625"/>
      <c r="E237" s="638"/>
      <c r="F237" s="625"/>
      <c r="G237" s="625"/>
      <c r="H237" s="638"/>
      <c r="I237" s="625"/>
      <c r="J237" s="625"/>
      <c r="K237" s="638"/>
      <c r="L237" s="625"/>
      <c r="M237" s="625"/>
      <c r="N237" s="638"/>
      <c r="O237" s="625"/>
      <c r="P237" s="625"/>
      <c r="Q237" s="638"/>
      <c r="R237" s="625"/>
      <c r="S237" s="625"/>
      <c r="T237" s="638"/>
      <c r="U237" s="625"/>
      <c r="V237" s="625"/>
      <c r="W237" s="638"/>
      <c r="X237" s="625"/>
      <c r="Y237" s="625"/>
      <c r="Z237" s="638"/>
      <c r="AA237" s="625"/>
      <c r="AB237" s="625"/>
      <c r="AC237" s="638"/>
      <c r="AD237" s="625"/>
      <c r="AE237" s="625"/>
      <c r="AF237" s="638"/>
      <c r="AG237" s="625"/>
      <c r="AH237" s="625"/>
      <c r="AI237" s="638"/>
      <c r="AJ237" s="625"/>
      <c r="AK237" s="625"/>
      <c r="AL237" s="638"/>
      <c r="AM237" s="625"/>
      <c r="AN237" s="625"/>
      <c r="AO237" s="638"/>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657"/>
      <c r="D238" s="657"/>
      <c r="E238" s="670"/>
      <c r="F238" s="657"/>
      <c r="G238" s="657"/>
      <c r="H238" s="670"/>
      <c r="I238" s="657"/>
      <c r="J238" s="657"/>
      <c r="K238" s="670"/>
      <c r="L238" s="657"/>
      <c r="M238" s="657"/>
      <c r="N238" s="670"/>
      <c r="O238" s="657"/>
      <c r="P238" s="657"/>
      <c r="Q238" s="670"/>
      <c r="R238" s="657"/>
      <c r="S238" s="657"/>
      <c r="T238" s="670"/>
      <c r="U238" s="657"/>
      <c r="V238" s="657"/>
      <c r="W238" s="670"/>
      <c r="X238" s="657"/>
      <c r="Y238" s="657"/>
      <c r="Z238" s="670"/>
      <c r="AA238" s="657"/>
      <c r="AB238" s="657"/>
      <c r="AC238" s="670"/>
      <c r="AD238" s="657"/>
      <c r="AE238" s="657"/>
      <c r="AF238" s="670"/>
      <c r="AG238" s="657"/>
      <c r="AH238" s="657"/>
      <c r="AI238" s="670"/>
      <c r="AJ238" s="657"/>
      <c r="AK238" s="657"/>
      <c r="AL238" s="670"/>
      <c r="AM238" s="657"/>
      <c r="AN238" s="657"/>
      <c r="AO238" s="670"/>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1110</v>
      </c>
      <c r="C239" s="658" t="s">
        <v>172</v>
      </c>
      <c r="D239" s="658"/>
      <c r="E239" s="658"/>
      <c r="F239" s="658"/>
      <c r="G239" s="658"/>
      <c r="H239" s="658"/>
      <c r="I239" s="658"/>
      <c r="J239" s="658"/>
      <c r="K239" s="658"/>
      <c r="L239" s="658"/>
      <c r="M239" s="658"/>
      <c r="N239" s="658"/>
      <c r="O239" s="658"/>
      <c r="P239" s="658"/>
      <c r="Q239" s="658"/>
      <c r="R239" s="658"/>
      <c r="S239" s="658"/>
      <c r="T239" s="658"/>
      <c r="U239" s="658"/>
      <c r="V239" s="658"/>
      <c r="W239" s="658"/>
      <c r="X239" s="658"/>
      <c r="Y239" s="658"/>
      <c r="Z239" s="658"/>
      <c r="AA239" s="658"/>
      <c r="AB239" s="658"/>
      <c r="AC239" s="658"/>
      <c r="AD239" s="658"/>
      <c r="AE239" s="658"/>
      <c r="AF239" s="658"/>
      <c r="AG239" s="658"/>
      <c r="AH239" s="658"/>
      <c r="AI239" s="658"/>
      <c r="AJ239" s="658"/>
      <c r="AK239" s="658"/>
      <c r="AL239" s="658"/>
      <c r="AM239" s="658"/>
      <c r="AN239" s="658"/>
      <c r="AO239" s="658"/>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657"/>
      <c r="D240" s="657"/>
      <c r="E240" s="657"/>
      <c r="F240" s="657"/>
      <c r="G240" s="657"/>
      <c r="H240" s="657"/>
      <c r="I240" s="657"/>
      <c r="J240" s="657"/>
      <c r="K240" s="657"/>
      <c r="L240" s="657"/>
      <c r="M240" s="657"/>
      <c r="N240" s="657"/>
      <c r="O240" s="657"/>
      <c r="P240" s="657"/>
      <c r="Q240" s="657"/>
      <c r="R240" s="657"/>
      <c r="S240" s="657"/>
      <c r="T240" s="657"/>
      <c r="U240" s="657"/>
      <c r="V240" s="657"/>
      <c r="W240" s="657"/>
      <c r="X240" s="657"/>
      <c r="Y240" s="657"/>
      <c r="Z240" s="657"/>
      <c r="AA240" s="657"/>
      <c r="AB240" s="657"/>
      <c r="AC240" s="657"/>
      <c r="AD240" s="657"/>
      <c r="AE240" s="657"/>
      <c r="AF240" s="657"/>
      <c r="AG240" s="657"/>
      <c r="AH240" s="657"/>
      <c r="AI240" s="657"/>
      <c r="AJ240" s="657"/>
      <c r="AK240" s="657"/>
      <c r="AL240" s="657"/>
      <c r="AM240" s="657"/>
      <c r="AN240" s="657"/>
      <c r="AO240" s="657"/>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2</v>
      </c>
      <c r="C241" s="603">
        <v>2025</v>
      </c>
      <c r="D241" s="604"/>
      <c r="E241" s="605"/>
      <c r="F241" s="603" t="s">
        <v>6</v>
      </c>
      <c r="G241" s="604"/>
      <c r="H241" s="605"/>
      <c r="I241" s="603" t="s">
        <v>8</v>
      </c>
      <c r="J241" s="604"/>
      <c r="K241" s="605"/>
      <c r="L241" s="603" t="s">
        <v>9</v>
      </c>
      <c r="M241" s="604"/>
      <c r="N241" s="605"/>
      <c r="O241" s="603" t="s">
        <v>10</v>
      </c>
      <c r="P241" s="604"/>
      <c r="Q241" s="605"/>
      <c r="R241" s="603" t="s">
        <v>11</v>
      </c>
      <c r="S241" s="604"/>
      <c r="T241" s="605"/>
      <c r="U241" s="603" t="s">
        <v>12</v>
      </c>
      <c r="V241" s="604"/>
      <c r="W241" s="605"/>
      <c r="X241" s="603" t="s">
        <v>14</v>
      </c>
      <c r="Y241" s="604"/>
      <c r="Z241" s="605"/>
      <c r="AA241" s="603" t="s">
        <v>15</v>
      </c>
      <c r="AB241" s="604"/>
      <c r="AC241" s="605"/>
      <c r="AD241" s="603" t="s">
        <v>17</v>
      </c>
      <c r="AE241" s="604"/>
      <c r="AF241" s="605"/>
      <c r="AG241" s="603" t="s">
        <v>18</v>
      </c>
      <c r="AH241" s="604"/>
      <c r="AI241" s="605"/>
      <c r="AJ241" s="603" t="s">
        <v>19</v>
      </c>
      <c r="AK241" s="604"/>
      <c r="AL241" s="605"/>
      <c r="AM241" s="603" t="s">
        <v>5</v>
      </c>
      <c r="AN241" s="604"/>
      <c r="AO241" s="605"/>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659" t="s">
        <v>158</v>
      </c>
      <c r="D242" s="636" t="s">
        <v>159</v>
      </c>
      <c r="E242" s="660" t="s">
        <v>91</v>
      </c>
      <c r="F242" s="659" t="s">
        <v>158</v>
      </c>
      <c r="G242" s="636" t="s">
        <v>159</v>
      </c>
      <c r="H242" s="660" t="s">
        <v>91</v>
      </c>
      <c r="I242" s="659" t="s">
        <v>158</v>
      </c>
      <c r="J242" s="636" t="s">
        <v>159</v>
      </c>
      <c r="K242" s="660" t="s">
        <v>91</v>
      </c>
      <c r="L242" s="659" t="s">
        <v>158</v>
      </c>
      <c r="M242" s="636" t="s">
        <v>159</v>
      </c>
      <c r="N242" s="660" t="s">
        <v>91</v>
      </c>
      <c r="O242" s="659" t="s">
        <v>158</v>
      </c>
      <c r="P242" s="636" t="s">
        <v>159</v>
      </c>
      <c r="Q242" s="660" t="s">
        <v>91</v>
      </c>
      <c r="R242" s="659" t="s">
        <v>158</v>
      </c>
      <c r="S242" s="636" t="s">
        <v>159</v>
      </c>
      <c r="T242" s="660" t="s">
        <v>91</v>
      </c>
      <c r="U242" s="659" t="s">
        <v>158</v>
      </c>
      <c r="V242" s="636" t="s">
        <v>159</v>
      </c>
      <c r="W242" s="660" t="s">
        <v>91</v>
      </c>
      <c r="X242" s="659" t="s">
        <v>158</v>
      </c>
      <c r="Y242" s="636" t="s">
        <v>159</v>
      </c>
      <c r="Z242" s="660" t="s">
        <v>91</v>
      </c>
      <c r="AA242" s="659" t="s">
        <v>158</v>
      </c>
      <c r="AB242" s="636" t="s">
        <v>159</v>
      </c>
      <c r="AC242" s="660" t="s">
        <v>91</v>
      </c>
      <c r="AD242" s="659" t="s">
        <v>158</v>
      </c>
      <c r="AE242" s="636" t="s">
        <v>159</v>
      </c>
      <c r="AF242" s="660" t="s">
        <v>91</v>
      </c>
      <c r="AG242" s="659" t="s">
        <v>158</v>
      </c>
      <c r="AH242" s="636" t="s">
        <v>159</v>
      </c>
      <c r="AI242" s="660" t="s">
        <v>91</v>
      </c>
      <c r="AJ242" s="659" t="s">
        <v>158</v>
      </c>
      <c r="AK242" s="636" t="s">
        <v>159</v>
      </c>
      <c r="AL242" s="660" t="s">
        <v>91</v>
      </c>
      <c r="AM242" s="659" t="s">
        <v>158</v>
      </c>
      <c r="AN242" s="636" t="s">
        <v>159</v>
      </c>
      <c r="AO242" s="660" t="s">
        <v>91</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659"/>
      <c r="D243" s="636"/>
      <c r="E243" s="660"/>
      <c r="F243" s="659"/>
      <c r="G243" s="636"/>
      <c r="H243" s="660"/>
      <c r="I243" s="659"/>
      <c r="J243" s="636"/>
      <c r="K243" s="660"/>
      <c r="L243" s="659"/>
      <c r="M243" s="636"/>
      <c r="N243" s="660"/>
      <c r="O243" s="659"/>
      <c r="P243" s="636"/>
      <c r="Q243" s="660"/>
      <c r="R243" s="659"/>
      <c r="S243" s="636"/>
      <c r="T243" s="660"/>
      <c r="U243" s="659"/>
      <c r="V243" s="636"/>
      <c r="W243" s="660"/>
      <c r="X243" s="659"/>
      <c r="Y243" s="636"/>
      <c r="Z243" s="660"/>
      <c r="AA243" s="659"/>
      <c r="AB243" s="636"/>
      <c r="AC243" s="660"/>
      <c r="AD243" s="659"/>
      <c r="AE243" s="636"/>
      <c r="AF243" s="660"/>
      <c r="AG243" s="659"/>
      <c r="AH243" s="636"/>
      <c r="AI243" s="660"/>
      <c r="AJ243" s="659"/>
      <c r="AK243" s="636"/>
      <c r="AL243" s="660"/>
      <c r="AM243" s="659"/>
      <c r="AN243" s="636"/>
      <c r="AO243" s="660"/>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173</v>
      </c>
      <c r="C244" s="672"/>
      <c r="D244" s="673"/>
      <c r="E244" s="639"/>
      <c r="F244" s="672"/>
      <c r="G244" s="673"/>
      <c r="H244" s="639"/>
      <c r="I244" s="672"/>
      <c r="J244" s="673"/>
      <c r="K244" s="639"/>
      <c r="L244" s="672"/>
      <c r="M244" s="673"/>
      <c r="N244" s="639"/>
      <c r="O244" s="672"/>
      <c r="P244" s="673"/>
      <c r="Q244" s="639"/>
      <c r="R244" s="672"/>
      <c r="S244" s="673"/>
      <c r="T244" s="639"/>
      <c r="U244" s="672"/>
      <c r="V244" s="673"/>
      <c r="W244" s="639"/>
      <c r="X244" s="672"/>
      <c r="Y244" s="673"/>
      <c r="Z244" s="639"/>
      <c r="AA244" s="672"/>
      <c r="AB244" s="673"/>
      <c r="AC244" s="639"/>
      <c r="AD244" s="672"/>
      <c r="AE244" s="673"/>
      <c r="AF244" s="639"/>
      <c r="AG244" s="672"/>
      <c r="AH244" s="673"/>
      <c r="AI244" s="639"/>
      <c r="AJ244" s="672"/>
      <c r="AK244" s="673"/>
      <c r="AL244" s="639"/>
      <c r="AM244" s="672"/>
      <c r="AN244" s="673"/>
      <c r="AO244" s="639"/>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161</v>
      </c>
      <c r="C245" s="671"/>
      <c r="D245" s="625"/>
      <c r="E245" s="674"/>
      <c r="F245" s="671"/>
      <c r="G245" s="625"/>
      <c r="H245" s="674"/>
      <c r="I245" s="671"/>
      <c r="J245" s="625"/>
      <c r="K245" s="674"/>
      <c r="L245" s="671"/>
      <c r="M245" s="625"/>
      <c r="N245" s="674"/>
      <c r="O245" s="671"/>
      <c r="P245" s="625"/>
      <c r="Q245" s="674"/>
      <c r="R245" s="671"/>
      <c r="S245" s="625"/>
      <c r="T245" s="674"/>
      <c r="U245" s="671"/>
      <c r="V245" s="625"/>
      <c r="W245" s="674"/>
      <c r="X245" s="671"/>
      <c r="Y245" s="625"/>
      <c r="Z245" s="674"/>
      <c r="AA245" s="671"/>
      <c r="AB245" s="625"/>
      <c r="AC245" s="674"/>
      <c r="AD245" s="671"/>
      <c r="AE245" s="625"/>
      <c r="AF245" s="674"/>
      <c r="AG245" s="671"/>
      <c r="AH245" s="625"/>
      <c r="AI245" s="674"/>
      <c r="AJ245" s="671"/>
      <c r="AK245" s="625"/>
      <c r="AL245" s="674"/>
      <c r="AM245" s="671"/>
      <c r="AN245" s="625"/>
      <c r="AO245" s="674"/>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659"/>
      <c r="D246" s="636"/>
      <c r="E246" s="660"/>
      <c r="F246" s="659"/>
      <c r="G246" s="636"/>
      <c r="H246" s="660"/>
      <c r="I246" s="659"/>
      <c r="J246" s="636"/>
      <c r="K246" s="660"/>
      <c r="L246" s="659"/>
      <c r="M246" s="636"/>
      <c r="N246" s="660"/>
      <c r="O246" s="659"/>
      <c r="P246" s="636"/>
      <c r="Q246" s="660"/>
      <c r="R246" s="659"/>
      <c r="S246" s="636"/>
      <c r="T246" s="660"/>
      <c r="U246" s="659"/>
      <c r="V246" s="636"/>
      <c r="W246" s="660"/>
      <c r="X246" s="659"/>
      <c r="Y246" s="636"/>
      <c r="Z246" s="660"/>
      <c r="AA246" s="659"/>
      <c r="AB246" s="636"/>
      <c r="AC246" s="660"/>
      <c r="AD246" s="659"/>
      <c r="AE246" s="636"/>
      <c r="AF246" s="660"/>
      <c r="AG246" s="659"/>
      <c r="AH246" s="636"/>
      <c r="AI246" s="660"/>
      <c r="AJ246" s="659"/>
      <c r="AK246" s="636"/>
      <c r="AL246" s="660"/>
      <c r="AM246" s="659"/>
      <c r="AN246" s="636"/>
      <c r="AO246" s="660"/>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174</v>
      </c>
      <c r="C247" s="930"/>
      <c r="D247" s="931"/>
      <c r="E247" s="910"/>
      <c r="F247" s="930"/>
      <c r="G247" s="931"/>
      <c r="H247" s="910"/>
      <c r="I247" s="930"/>
      <c r="J247" s="931"/>
      <c r="K247" s="910"/>
      <c r="L247" s="930"/>
      <c r="M247" s="931"/>
      <c r="N247" s="910"/>
      <c r="O247" s="930"/>
      <c r="P247" s="931"/>
      <c r="Q247" s="910"/>
      <c r="R247" s="930"/>
      <c r="S247" s="931"/>
      <c r="T247" s="910"/>
      <c r="U247" s="930"/>
      <c r="V247" s="931"/>
      <c r="W247" s="910"/>
      <c r="X247" s="930"/>
      <c r="Y247" s="931"/>
      <c r="Z247" s="910"/>
      <c r="AA247" s="930"/>
      <c r="AB247" s="931"/>
      <c r="AC247" s="910"/>
      <c r="AD247" s="930"/>
      <c r="AE247" s="931"/>
      <c r="AF247" s="910"/>
      <c r="AG247" s="930"/>
      <c r="AH247" s="931"/>
      <c r="AI247" s="910"/>
      <c r="AJ247" s="930"/>
      <c r="AK247" s="931"/>
      <c r="AL247" s="910"/>
      <c r="AM247" s="930"/>
      <c r="AN247" s="931"/>
      <c r="AO247" s="910"/>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161</v>
      </c>
      <c r="C248" s="671"/>
      <c r="D248" s="625"/>
      <c r="E248" s="674"/>
      <c r="F248" s="671"/>
      <c r="G248" s="625"/>
      <c r="H248" s="674"/>
      <c r="I248" s="671"/>
      <c r="J248" s="625"/>
      <c r="K248" s="674"/>
      <c r="L248" s="671"/>
      <c r="M248" s="625"/>
      <c r="N248" s="674"/>
      <c r="O248" s="671"/>
      <c r="P248" s="625"/>
      <c r="Q248" s="674"/>
      <c r="R248" s="671"/>
      <c r="S248" s="625"/>
      <c r="T248" s="674"/>
      <c r="U248" s="671"/>
      <c r="V248" s="625"/>
      <c r="W248" s="674"/>
      <c r="X248" s="671"/>
      <c r="Y248" s="625"/>
      <c r="Z248" s="674"/>
      <c r="AA248" s="671"/>
      <c r="AB248" s="625"/>
      <c r="AC248" s="674"/>
      <c r="AD248" s="671"/>
      <c r="AE248" s="625"/>
      <c r="AF248" s="674"/>
      <c r="AG248" s="671"/>
      <c r="AH248" s="625"/>
      <c r="AI248" s="674"/>
      <c r="AJ248" s="671"/>
      <c r="AK248" s="625"/>
      <c r="AL248" s="674"/>
      <c r="AM248" s="671"/>
      <c r="AN248" s="625"/>
      <c r="AO248" s="674"/>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675"/>
      <c r="D249" s="676"/>
      <c r="E249" s="677"/>
      <c r="F249" s="675"/>
      <c r="G249" s="676"/>
      <c r="H249" s="677"/>
      <c r="I249" s="675"/>
      <c r="J249" s="676"/>
      <c r="K249" s="677"/>
      <c r="L249" s="675"/>
      <c r="M249" s="676"/>
      <c r="N249" s="677"/>
      <c r="O249" s="675"/>
      <c r="P249" s="676"/>
      <c r="Q249" s="677"/>
      <c r="R249" s="675"/>
      <c r="S249" s="676"/>
      <c r="T249" s="677"/>
      <c r="U249" s="675"/>
      <c r="V249" s="676"/>
      <c r="W249" s="677"/>
      <c r="X249" s="675"/>
      <c r="Y249" s="676"/>
      <c r="Z249" s="677"/>
      <c r="AA249" s="675"/>
      <c r="AB249" s="676"/>
      <c r="AC249" s="677"/>
      <c r="AD249" s="675"/>
      <c r="AE249" s="676"/>
      <c r="AF249" s="677"/>
      <c r="AG249" s="675"/>
      <c r="AH249" s="676"/>
      <c r="AI249" s="677"/>
      <c r="AJ249" s="675"/>
      <c r="AK249" s="676"/>
      <c r="AL249" s="677"/>
      <c r="AM249" s="675"/>
      <c r="AN249" s="676"/>
      <c r="AO249" s="677"/>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175</v>
      </c>
      <c r="C250" s="930"/>
      <c r="D250" s="931"/>
      <c r="E250" s="910"/>
      <c r="F250" s="930"/>
      <c r="G250" s="931"/>
      <c r="H250" s="910"/>
      <c r="I250" s="930"/>
      <c r="J250" s="931"/>
      <c r="K250" s="910"/>
      <c r="L250" s="930"/>
      <c r="M250" s="931"/>
      <c r="N250" s="910"/>
      <c r="O250" s="930"/>
      <c r="P250" s="931"/>
      <c r="Q250" s="910"/>
      <c r="R250" s="930"/>
      <c r="S250" s="931"/>
      <c r="T250" s="910"/>
      <c r="U250" s="930"/>
      <c r="V250" s="931"/>
      <c r="W250" s="910"/>
      <c r="X250" s="930"/>
      <c r="Y250" s="931"/>
      <c r="Z250" s="910"/>
      <c r="AA250" s="930"/>
      <c r="AB250" s="931"/>
      <c r="AC250" s="910"/>
      <c r="AD250" s="930"/>
      <c r="AE250" s="931"/>
      <c r="AF250" s="910"/>
      <c r="AG250" s="930"/>
      <c r="AH250" s="931"/>
      <c r="AI250" s="910"/>
      <c r="AJ250" s="930"/>
      <c r="AK250" s="931"/>
      <c r="AL250" s="910"/>
      <c r="AM250" s="930"/>
      <c r="AN250" s="931"/>
      <c r="AO250" s="910"/>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161</v>
      </c>
      <c r="C251" s="618"/>
      <c r="D251" s="625"/>
      <c r="E251" s="674"/>
      <c r="F251" s="618"/>
      <c r="G251" s="625"/>
      <c r="H251" s="674"/>
      <c r="I251" s="618"/>
      <c r="J251" s="625"/>
      <c r="K251" s="674"/>
      <c r="L251" s="618"/>
      <c r="M251" s="625"/>
      <c r="N251" s="674"/>
      <c r="O251" s="618"/>
      <c r="P251" s="625"/>
      <c r="Q251" s="674"/>
      <c r="R251" s="618"/>
      <c r="S251" s="625"/>
      <c r="T251" s="674"/>
      <c r="U251" s="618"/>
      <c r="V251" s="625"/>
      <c r="W251" s="674"/>
      <c r="X251" s="618"/>
      <c r="Y251" s="625"/>
      <c r="Z251" s="674"/>
      <c r="AA251" s="618"/>
      <c r="AB251" s="625"/>
      <c r="AC251" s="674"/>
      <c r="AD251" s="618"/>
      <c r="AE251" s="625"/>
      <c r="AF251" s="674"/>
      <c r="AG251" s="618"/>
      <c r="AH251" s="625"/>
      <c r="AI251" s="674"/>
      <c r="AJ251" s="618"/>
      <c r="AK251" s="625"/>
      <c r="AL251" s="674"/>
      <c r="AM251" s="618"/>
      <c r="AN251" s="625"/>
      <c r="AO251" s="674"/>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618"/>
      <c r="D252" s="625"/>
      <c r="E252" s="674"/>
      <c r="F252" s="618"/>
      <c r="G252" s="625"/>
      <c r="H252" s="674"/>
      <c r="I252" s="618"/>
      <c r="J252" s="625"/>
      <c r="K252" s="674"/>
      <c r="L252" s="618"/>
      <c r="M252" s="625"/>
      <c r="N252" s="674"/>
      <c r="O252" s="618"/>
      <c r="P252" s="625"/>
      <c r="Q252" s="674"/>
      <c r="R252" s="618"/>
      <c r="S252" s="625"/>
      <c r="T252" s="674"/>
      <c r="U252" s="618"/>
      <c r="V252" s="625"/>
      <c r="W252" s="674"/>
      <c r="X252" s="618"/>
      <c r="Y252" s="625"/>
      <c r="Z252" s="674"/>
      <c r="AA252" s="618"/>
      <c r="AB252" s="625"/>
      <c r="AC252" s="674"/>
      <c r="AD252" s="618"/>
      <c r="AE252" s="625"/>
      <c r="AF252" s="674"/>
      <c r="AG252" s="618"/>
      <c r="AH252" s="625"/>
      <c r="AI252" s="674"/>
      <c r="AJ252" s="618"/>
      <c r="AK252" s="625"/>
      <c r="AL252" s="674"/>
      <c r="AM252" s="618"/>
      <c r="AN252" s="625"/>
      <c r="AO252" s="674"/>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170</v>
      </c>
      <c r="C253" s="627"/>
      <c r="D253" s="692"/>
      <c r="E253" s="629"/>
      <c r="F253" s="627"/>
      <c r="G253" s="692"/>
      <c r="H253" s="629"/>
      <c r="I253" s="627"/>
      <c r="J253" s="692"/>
      <c r="K253" s="629"/>
      <c r="L253" s="627"/>
      <c r="M253" s="692"/>
      <c r="N253" s="629"/>
      <c r="O253" s="627"/>
      <c r="P253" s="692"/>
      <c r="Q253" s="629"/>
      <c r="R253" s="627"/>
      <c r="S253" s="692"/>
      <c r="T253" s="629"/>
      <c r="U253" s="627"/>
      <c r="V253" s="692"/>
      <c r="W253" s="986"/>
      <c r="X253" s="627"/>
      <c r="Y253" s="692"/>
      <c r="Z253" s="986"/>
      <c r="AA253" s="627"/>
      <c r="AB253" s="692"/>
      <c r="AC253" s="986"/>
      <c r="AD253" s="627"/>
      <c r="AE253" s="692"/>
      <c r="AF253" s="986"/>
      <c r="AG253" s="627"/>
      <c r="AH253" s="692"/>
      <c r="AI253" s="629"/>
      <c r="AJ253" s="627"/>
      <c r="AK253" s="692"/>
      <c r="AL253" s="629"/>
      <c r="AM253" s="627"/>
      <c r="AN253" s="692"/>
      <c r="AO253" s="629"/>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630"/>
      <c r="D254" s="631"/>
      <c r="E254" s="693"/>
      <c r="F254" s="630"/>
      <c r="G254" s="631"/>
      <c r="H254" s="693"/>
      <c r="I254" s="630"/>
      <c r="J254" s="631"/>
      <c r="K254" s="693"/>
      <c r="L254" s="630"/>
      <c r="M254" s="631"/>
      <c r="N254" s="693"/>
      <c r="O254" s="630"/>
      <c r="P254" s="631"/>
      <c r="Q254" s="693"/>
      <c r="R254" s="630"/>
      <c r="S254" s="631"/>
      <c r="T254" s="693"/>
      <c r="U254" s="630"/>
      <c r="V254" s="631"/>
      <c r="W254" s="1007"/>
      <c r="X254" s="630"/>
      <c r="Y254" s="631"/>
      <c r="Z254" s="1007"/>
      <c r="AA254" s="630"/>
      <c r="AB254" s="631"/>
      <c r="AC254" s="1007"/>
      <c r="AD254" s="630"/>
      <c r="AE254" s="631"/>
      <c r="AF254" s="1007"/>
      <c r="AG254" s="630"/>
      <c r="AH254" s="631"/>
      <c r="AI254" s="693"/>
      <c r="AJ254" s="630"/>
      <c r="AK254" s="631"/>
      <c r="AL254" s="693"/>
      <c r="AM254" s="630"/>
      <c r="AN254" s="631"/>
      <c r="AO254" s="693"/>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618"/>
      <c r="D255" s="625"/>
      <c r="E255" s="619"/>
      <c r="F255" s="618"/>
      <c r="G255" s="625"/>
      <c r="H255" s="619"/>
      <c r="I255" s="618"/>
      <c r="J255" s="625"/>
      <c r="K255" s="619"/>
      <c r="L255" s="618"/>
      <c r="M255" s="625"/>
      <c r="N255" s="619"/>
      <c r="O255" s="618"/>
      <c r="P255" s="625"/>
      <c r="Q255" s="619"/>
      <c r="R255" s="618"/>
      <c r="S255" s="625"/>
      <c r="T255" s="619"/>
      <c r="U255" s="618"/>
      <c r="V255" s="625"/>
      <c r="W255" s="619"/>
      <c r="X255" s="618"/>
      <c r="Y255" s="625"/>
      <c r="Z255" s="619"/>
      <c r="AA255" s="618"/>
      <c r="AB255" s="625"/>
      <c r="AC255" s="619"/>
      <c r="AD255" s="618"/>
      <c r="AE255" s="625"/>
      <c r="AF255" s="619"/>
      <c r="AG255" s="618"/>
      <c r="AH255" s="625"/>
      <c r="AI255" s="619"/>
      <c r="AJ255" s="618"/>
      <c r="AK255" s="625"/>
      <c r="AL255" s="619"/>
      <c r="AM255" s="618"/>
      <c r="AN255" s="625"/>
      <c r="AO255" s="619"/>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106</v>
      </c>
      <c r="C256" s="618"/>
      <c r="D256" s="625"/>
      <c r="E256" s="619"/>
      <c r="F256" s="618"/>
      <c r="G256" s="625"/>
      <c r="H256" s="619"/>
      <c r="I256" s="618"/>
      <c r="J256" s="625"/>
      <c r="K256" s="619"/>
      <c r="L256" s="618"/>
      <c r="M256" s="625"/>
      <c r="N256" s="619"/>
      <c r="O256" s="618"/>
      <c r="P256" s="625"/>
      <c r="Q256" s="619"/>
      <c r="R256" s="618"/>
      <c r="S256" s="625"/>
      <c r="T256" s="619"/>
      <c r="U256" s="618"/>
      <c r="V256" s="625"/>
      <c r="W256" s="619"/>
      <c r="X256" s="618"/>
      <c r="Y256" s="625"/>
      <c r="Z256" s="619"/>
      <c r="AA256" s="618"/>
      <c r="AB256" s="625"/>
      <c r="AC256" s="619"/>
      <c r="AD256" s="618"/>
      <c r="AE256" s="625"/>
      <c r="AF256" s="619"/>
      <c r="AG256" s="618"/>
      <c r="AH256" s="625"/>
      <c r="AI256" s="619"/>
      <c r="AJ256" s="618"/>
      <c r="AK256" s="625"/>
      <c r="AL256" s="619"/>
      <c r="AM256" s="618"/>
      <c r="AN256" s="625"/>
      <c r="AO256" s="619"/>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116</v>
      </c>
      <c r="C257" s="618"/>
      <c r="D257" s="625"/>
      <c r="E257" s="639"/>
      <c r="F257" s="618"/>
      <c r="G257" s="625"/>
      <c r="H257" s="639"/>
      <c r="I257" s="618"/>
      <c r="J257" s="625"/>
      <c r="K257" s="639"/>
      <c r="L257" s="618"/>
      <c r="M257" s="625"/>
      <c r="N257" s="639"/>
      <c r="O257" s="618"/>
      <c r="P257" s="625"/>
      <c r="Q257" s="639"/>
      <c r="R257" s="618"/>
      <c r="S257" s="625"/>
      <c r="T257" s="639"/>
      <c r="U257" s="618"/>
      <c r="V257" s="625"/>
      <c r="W257" s="639"/>
      <c r="X257" s="618"/>
      <c r="Y257" s="625"/>
      <c r="Z257" s="639"/>
      <c r="AA257" s="618"/>
      <c r="AB257" s="625"/>
      <c r="AC257" s="639"/>
      <c r="AD257" s="618"/>
      <c r="AE257" s="625"/>
      <c r="AF257" s="639"/>
      <c r="AG257" s="618"/>
      <c r="AH257" s="625"/>
      <c r="AI257" s="639"/>
      <c r="AJ257" s="618"/>
      <c r="AK257" s="625"/>
      <c r="AL257" s="639"/>
      <c r="AM257" s="618"/>
      <c r="AN257" s="625"/>
      <c r="AO257" s="988"/>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117</v>
      </c>
      <c r="C258" s="618"/>
      <c r="D258" s="625"/>
      <c r="E258" s="639"/>
      <c r="F258" s="618"/>
      <c r="G258" s="625"/>
      <c r="H258" s="639"/>
      <c r="I258" s="618"/>
      <c r="J258" s="625"/>
      <c r="K258" s="639"/>
      <c r="L258" s="618"/>
      <c r="M258" s="625"/>
      <c r="N258" s="639"/>
      <c r="O258" s="618"/>
      <c r="P258" s="625"/>
      <c r="Q258" s="639"/>
      <c r="R258" s="618"/>
      <c r="S258" s="625"/>
      <c r="T258" s="639"/>
      <c r="U258" s="618"/>
      <c r="V258" s="625"/>
      <c r="W258" s="639"/>
      <c r="X258" s="618"/>
      <c r="Y258" s="625"/>
      <c r="Z258" s="639"/>
      <c r="AA258" s="618"/>
      <c r="AB258" s="625"/>
      <c r="AC258" s="639"/>
      <c r="AD258" s="618"/>
      <c r="AE258" s="625"/>
      <c r="AF258" s="639"/>
      <c r="AG258" s="618"/>
      <c r="AH258" s="625"/>
      <c r="AI258" s="639"/>
      <c r="AJ258" s="618"/>
      <c r="AK258" s="625"/>
      <c r="AL258" s="639"/>
      <c r="AM258" s="618"/>
      <c r="AN258" s="625"/>
      <c r="AO258" s="988"/>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118</v>
      </c>
      <c r="C259" s="890"/>
      <c r="D259" s="908"/>
      <c r="E259" s="910"/>
      <c r="F259" s="890"/>
      <c r="G259" s="908"/>
      <c r="H259" s="910"/>
      <c r="I259" s="890"/>
      <c r="J259" s="908"/>
      <c r="K259" s="910"/>
      <c r="L259" s="890"/>
      <c r="M259" s="908"/>
      <c r="N259" s="910"/>
      <c r="O259" s="890"/>
      <c r="P259" s="908"/>
      <c r="Q259" s="910"/>
      <c r="R259" s="890"/>
      <c r="S259" s="908"/>
      <c r="T259" s="910"/>
      <c r="U259" s="890"/>
      <c r="V259" s="908"/>
      <c r="W259" s="910"/>
      <c r="X259" s="890"/>
      <c r="Y259" s="908"/>
      <c r="Z259" s="910"/>
      <c r="AA259" s="890"/>
      <c r="AB259" s="908"/>
      <c r="AC259" s="910"/>
      <c r="AD259" s="890"/>
      <c r="AE259" s="908"/>
      <c r="AF259" s="910"/>
      <c r="AG259" s="890"/>
      <c r="AH259" s="908"/>
      <c r="AI259" s="910"/>
      <c r="AJ259" s="890"/>
      <c r="AK259" s="908"/>
      <c r="AL259" s="910"/>
      <c r="AM259" s="890"/>
      <c r="AN259" s="908"/>
      <c r="AO259" s="991"/>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119</v>
      </c>
      <c r="C260" s="618"/>
      <c r="D260" s="625"/>
      <c r="E260" s="639"/>
      <c r="F260" s="618"/>
      <c r="G260" s="625"/>
      <c r="H260" s="639"/>
      <c r="I260" s="618"/>
      <c r="J260" s="625"/>
      <c r="K260" s="639"/>
      <c r="L260" s="618"/>
      <c r="M260" s="625"/>
      <c r="N260" s="639"/>
      <c r="O260" s="618"/>
      <c r="P260" s="625"/>
      <c r="Q260" s="639"/>
      <c r="R260" s="618"/>
      <c r="S260" s="625"/>
      <c r="T260" s="639"/>
      <c r="U260" s="618"/>
      <c r="V260" s="625"/>
      <c r="W260" s="639"/>
      <c r="X260" s="618"/>
      <c r="Y260" s="625"/>
      <c r="Z260" s="639"/>
      <c r="AA260" s="618"/>
      <c r="AB260" s="625"/>
      <c r="AC260" s="639"/>
      <c r="AD260" s="618"/>
      <c r="AE260" s="625"/>
      <c r="AF260" s="639"/>
      <c r="AG260" s="618"/>
      <c r="AH260" s="625"/>
      <c r="AI260" s="639"/>
      <c r="AJ260" s="618"/>
      <c r="AK260" s="625"/>
      <c r="AL260" s="639"/>
      <c r="AM260" s="618"/>
      <c r="AN260" s="625"/>
      <c r="AO260" s="988"/>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55</v>
      </c>
      <c r="C261" s="618"/>
      <c r="D261" s="625"/>
      <c r="E261" s="639"/>
      <c r="F261" s="618"/>
      <c r="G261" s="625"/>
      <c r="H261" s="639"/>
      <c r="I261" s="618"/>
      <c r="J261" s="625"/>
      <c r="K261" s="639"/>
      <c r="L261" s="618"/>
      <c r="M261" s="625"/>
      <c r="N261" s="639"/>
      <c r="O261" s="618"/>
      <c r="P261" s="625"/>
      <c r="Q261" s="639"/>
      <c r="R261" s="618"/>
      <c r="S261" s="625"/>
      <c r="T261" s="639"/>
      <c r="U261" s="618"/>
      <c r="V261" s="625"/>
      <c r="W261" s="639"/>
      <c r="X261" s="618"/>
      <c r="Y261" s="625"/>
      <c r="Z261" s="639"/>
      <c r="AA261" s="618"/>
      <c r="AB261" s="625"/>
      <c r="AC261" s="639"/>
      <c r="AD261" s="618"/>
      <c r="AE261" s="625"/>
      <c r="AF261" s="639"/>
      <c r="AG261" s="618"/>
      <c r="AH261" s="625"/>
      <c r="AI261" s="639"/>
      <c r="AJ261" s="618"/>
      <c r="AK261" s="625"/>
      <c r="AL261" s="639"/>
      <c r="AM261" s="618"/>
      <c r="AN261" s="625"/>
      <c r="AO261" s="988"/>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55</v>
      </c>
      <c r="C262" s="618"/>
      <c r="D262" s="625"/>
      <c r="E262" s="639"/>
      <c r="F262" s="618"/>
      <c r="G262" s="625"/>
      <c r="H262" s="639"/>
      <c r="I262" s="618"/>
      <c r="J262" s="625"/>
      <c r="K262" s="639"/>
      <c r="L262" s="618"/>
      <c r="M262" s="625"/>
      <c r="N262" s="639"/>
      <c r="O262" s="618"/>
      <c r="P262" s="625"/>
      <c r="Q262" s="639"/>
      <c r="R262" s="618"/>
      <c r="S262" s="625"/>
      <c r="T262" s="639"/>
      <c r="U262" s="618"/>
      <c r="V262" s="625"/>
      <c r="W262" s="639"/>
      <c r="X262" s="618"/>
      <c r="Y262" s="625"/>
      <c r="Z262" s="639"/>
      <c r="AA262" s="618"/>
      <c r="AB262" s="625"/>
      <c r="AC262" s="639"/>
      <c r="AD262" s="618"/>
      <c r="AE262" s="625"/>
      <c r="AF262" s="639"/>
      <c r="AG262" s="618"/>
      <c r="AH262" s="625"/>
      <c r="AI262" s="639"/>
      <c r="AJ262" s="618"/>
      <c r="AK262" s="625"/>
      <c r="AL262" s="639"/>
      <c r="AM262" s="618"/>
      <c r="AN262" s="625"/>
      <c r="AO262" s="988"/>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55</v>
      </c>
      <c r="C263" s="618"/>
      <c r="D263" s="625"/>
      <c r="E263" s="639"/>
      <c r="F263" s="618"/>
      <c r="G263" s="625"/>
      <c r="H263" s="639"/>
      <c r="I263" s="618"/>
      <c r="J263" s="625"/>
      <c r="K263" s="639"/>
      <c r="L263" s="618"/>
      <c r="M263" s="625"/>
      <c r="N263" s="639"/>
      <c r="O263" s="618"/>
      <c r="P263" s="625"/>
      <c r="Q263" s="639"/>
      <c r="R263" s="618"/>
      <c r="S263" s="625"/>
      <c r="T263" s="639"/>
      <c r="U263" s="618"/>
      <c r="V263" s="625"/>
      <c r="W263" s="639"/>
      <c r="X263" s="618"/>
      <c r="Y263" s="625"/>
      <c r="Z263" s="639"/>
      <c r="AA263" s="618"/>
      <c r="AB263" s="625"/>
      <c r="AC263" s="639"/>
      <c r="AD263" s="618"/>
      <c r="AE263" s="625"/>
      <c r="AF263" s="639"/>
      <c r="AG263" s="618"/>
      <c r="AH263" s="625"/>
      <c r="AI263" s="639"/>
      <c r="AJ263" s="618"/>
      <c r="AK263" s="625"/>
      <c r="AL263" s="639"/>
      <c r="AM263" s="618"/>
      <c r="AN263" s="625"/>
      <c r="AO263" s="988"/>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120</v>
      </c>
      <c r="C264" s="618"/>
      <c r="D264" s="625"/>
      <c r="E264" s="639"/>
      <c r="F264" s="618"/>
      <c r="G264" s="625"/>
      <c r="H264" s="639"/>
      <c r="I264" s="618"/>
      <c r="J264" s="625"/>
      <c r="K264" s="639"/>
      <c r="L264" s="618"/>
      <c r="M264" s="625"/>
      <c r="N264" s="639"/>
      <c r="O264" s="618"/>
      <c r="P264" s="625"/>
      <c r="Q264" s="639"/>
      <c r="R264" s="618"/>
      <c r="S264" s="625"/>
      <c r="T264" s="639"/>
      <c r="U264" s="618"/>
      <c r="V264" s="625"/>
      <c r="W264" s="639"/>
      <c r="X264" s="618"/>
      <c r="Y264" s="625"/>
      <c r="Z264" s="639"/>
      <c r="AA264" s="618"/>
      <c r="AB264" s="625"/>
      <c r="AC264" s="639"/>
      <c r="AD264" s="618"/>
      <c r="AE264" s="625"/>
      <c r="AF264" s="639"/>
      <c r="AG264" s="618"/>
      <c r="AH264" s="625"/>
      <c r="AI264" s="639"/>
      <c r="AJ264" s="618"/>
      <c r="AK264" s="625"/>
      <c r="AL264" s="639"/>
      <c r="AM264" s="618"/>
      <c r="AN264" s="625"/>
      <c r="AO264" s="988"/>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121</v>
      </c>
      <c r="C265" s="890"/>
      <c r="D265" s="908"/>
      <c r="E265" s="910"/>
      <c r="F265" s="890"/>
      <c r="G265" s="908"/>
      <c r="H265" s="910"/>
      <c r="I265" s="890"/>
      <c r="J265" s="908"/>
      <c r="K265" s="910"/>
      <c r="L265" s="890"/>
      <c r="M265" s="908"/>
      <c r="N265" s="910"/>
      <c r="O265" s="890"/>
      <c r="P265" s="908"/>
      <c r="Q265" s="910"/>
      <c r="R265" s="890"/>
      <c r="S265" s="908"/>
      <c r="T265" s="910"/>
      <c r="U265" s="890"/>
      <c r="V265" s="908"/>
      <c r="W265" s="910"/>
      <c r="X265" s="890"/>
      <c r="Y265" s="908"/>
      <c r="Z265" s="910"/>
      <c r="AA265" s="890"/>
      <c r="AB265" s="908"/>
      <c r="AC265" s="910"/>
      <c r="AD265" s="890"/>
      <c r="AE265" s="908"/>
      <c r="AF265" s="910"/>
      <c r="AG265" s="890"/>
      <c r="AH265" s="908"/>
      <c r="AI265" s="910"/>
      <c r="AJ265" s="890"/>
      <c r="AK265" s="908"/>
      <c r="AL265" s="910"/>
      <c r="AM265" s="890"/>
      <c r="AN265" s="908"/>
      <c r="AO265" s="991"/>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122</v>
      </c>
      <c r="C266" s="618"/>
      <c r="D266" s="625"/>
      <c r="E266" s="639"/>
      <c r="F266" s="618"/>
      <c r="G266" s="625"/>
      <c r="H266" s="639"/>
      <c r="I266" s="618"/>
      <c r="J266" s="625"/>
      <c r="K266" s="639"/>
      <c r="L266" s="618"/>
      <c r="M266" s="625"/>
      <c r="N266" s="639"/>
      <c r="O266" s="618"/>
      <c r="P266" s="625"/>
      <c r="Q266" s="639"/>
      <c r="R266" s="618"/>
      <c r="S266" s="625"/>
      <c r="T266" s="639"/>
      <c r="U266" s="618"/>
      <c r="V266" s="625"/>
      <c r="W266" s="639"/>
      <c r="X266" s="618"/>
      <c r="Y266" s="625"/>
      <c r="Z266" s="639"/>
      <c r="AA266" s="618"/>
      <c r="AB266" s="625"/>
      <c r="AC266" s="639"/>
      <c r="AD266" s="618"/>
      <c r="AE266" s="625"/>
      <c r="AF266" s="639"/>
      <c r="AG266" s="618"/>
      <c r="AH266" s="625"/>
      <c r="AI266" s="639"/>
      <c r="AJ266" s="618"/>
      <c r="AK266" s="625"/>
      <c r="AL266" s="639"/>
      <c r="AM266" s="618"/>
      <c r="AN266" s="625"/>
      <c r="AO266" s="988"/>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123</v>
      </c>
      <c r="C267" s="618"/>
      <c r="D267" s="625"/>
      <c r="E267" s="639"/>
      <c r="F267" s="618"/>
      <c r="G267" s="625"/>
      <c r="H267" s="639"/>
      <c r="I267" s="618"/>
      <c r="J267" s="625"/>
      <c r="K267" s="639"/>
      <c r="L267" s="618"/>
      <c r="M267" s="625"/>
      <c r="N267" s="639"/>
      <c r="O267" s="618"/>
      <c r="P267" s="625"/>
      <c r="Q267" s="639"/>
      <c r="R267" s="618"/>
      <c r="S267" s="625"/>
      <c r="T267" s="639"/>
      <c r="U267" s="618"/>
      <c r="V267" s="625"/>
      <c r="W267" s="639"/>
      <c r="X267" s="618"/>
      <c r="Y267" s="625"/>
      <c r="Z267" s="639"/>
      <c r="AA267" s="618"/>
      <c r="AB267" s="625"/>
      <c r="AC267" s="639"/>
      <c r="AD267" s="618"/>
      <c r="AE267" s="625"/>
      <c r="AF267" s="639"/>
      <c r="AG267" s="618"/>
      <c r="AH267" s="625"/>
      <c r="AI267" s="639"/>
      <c r="AJ267" s="618"/>
      <c r="AK267" s="625"/>
      <c r="AL267" s="639"/>
      <c r="AM267" s="618"/>
      <c r="AN267" s="625"/>
      <c r="AO267" s="988"/>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55</v>
      </c>
      <c r="C268" s="644"/>
      <c r="D268" s="645"/>
      <c r="E268" s="642"/>
      <c r="F268" s="644"/>
      <c r="G268" s="645"/>
      <c r="H268" s="642"/>
      <c r="I268" s="644"/>
      <c r="J268" s="645"/>
      <c r="K268" s="642"/>
      <c r="L268" s="644"/>
      <c r="M268" s="645"/>
      <c r="N268" s="642"/>
      <c r="O268" s="644"/>
      <c r="P268" s="645"/>
      <c r="Q268" s="642"/>
      <c r="R268" s="644"/>
      <c r="S268" s="645"/>
      <c r="T268" s="642"/>
      <c r="U268" s="644"/>
      <c r="V268" s="645"/>
      <c r="W268" s="642"/>
      <c r="X268" s="644"/>
      <c r="Y268" s="645"/>
      <c r="Z268" s="642"/>
      <c r="AA268" s="644"/>
      <c r="AB268" s="645"/>
      <c r="AC268" s="642"/>
      <c r="AD268" s="644"/>
      <c r="AE268" s="645"/>
      <c r="AF268" s="642"/>
      <c r="AG268" s="644"/>
      <c r="AH268" s="645"/>
      <c r="AI268" s="642"/>
      <c r="AJ268" s="644"/>
      <c r="AK268" s="645"/>
      <c r="AL268" s="642"/>
      <c r="AM268" s="644"/>
      <c r="AN268" s="645"/>
      <c r="AO268" s="642"/>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124</v>
      </c>
      <c r="C269" s="903"/>
      <c r="D269" s="904"/>
      <c r="E269" s="905"/>
      <c r="F269" s="903"/>
      <c r="G269" s="904"/>
      <c r="H269" s="905"/>
      <c r="I269" s="903"/>
      <c r="J269" s="904"/>
      <c r="K269" s="905"/>
      <c r="L269" s="903"/>
      <c r="M269" s="904"/>
      <c r="N269" s="905"/>
      <c r="O269" s="903"/>
      <c r="P269" s="904"/>
      <c r="Q269" s="905"/>
      <c r="R269" s="903"/>
      <c r="S269" s="904"/>
      <c r="T269" s="905"/>
      <c r="U269" s="903"/>
      <c r="V269" s="904"/>
      <c r="W269" s="990"/>
      <c r="X269" s="903"/>
      <c r="Y269" s="904"/>
      <c r="Z269" s="990"/>
      <c r="AA269" s="903"/>
      <c r="AB269" s="904"/>
      <c r="AC269" s="990"/>
      <c r="AD269" s="903"/>
      <c r="AE269" s="904"/>
      <c r="AF269" s="990"/>
      <c r="AG269" s="903"/>
      <c r="AH269" s="904"/>
      <c r="AI269" s="905"/>
      <c r="AJ269" s="903"/>
      <c r="AK269" s="904"/>
      <c r="AL269" s="905"/>
      <c r="AM269" s="903"/>
      <c r="AN269" s="904"/>
      <c r="AO269" s="905"/>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125</v>
      </c>
      <c r="C270" s="618"/>
      <c r="D270" s="625"/>
      <c r="E270" s="639"/>
      <c r="F270" s="618"/>
      <c r="G270" s="625"/>
      <c r="H270" s="639"/>
      <c r="I270" s="618"/>
      <c r="J270" s="625"/>
      <c r="K270" s="639"/>
      <c r="L270" s="618"/>
      <c r="M270" s="625"/>
      <c r="N270" s="639"/>
      <c r="O270" s="618"/>
      <c r="P270" s="625"/>
      <c r="Q270" s="639"/>
      <c r="R270" s="618"/>
      <c r="S270" s="625"/>
      <c r="T270" s="639"/>
      <c r="U270" s="618"/>
      <c r="V270" s="625"/>
      <c r="W270" s="639"/>
      <c r="X270" s="618"/>
      <c r="Y270" s="625"/>
      <c r="Z270" s="639"/>
      <c r="AA270" s="618"/>
      <c r="AB270" s="625"/>
      <c r="AC270" s="639"/>
      <c r="AD270" s="618"/>
      <c r="AE270" s="625"/>
      <c r="AF270" s="639"/>
      <c r="AG270" s="618"/>
      <c r="AH270" s="625"/>
      <c r="AI270" s="639"/>
      <c r="AJ270" s="618"/>
      <c r="AK270" s="625"/>
      <c r="AL270" s="639"/>
      <c r="AM270" s="618"/>
      <c r="AN270" s="625"/>
      <c r="AO270" s="988"/>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126</v>
      </c>
      <c r="C271" s="618"/>
      <c r="D271" s="625"/>
      <c r="E271" s="639"/>
      <c r="F271" s="618"/>
      <c r="G271" s="625"/>
      <c r="H271" s="639"/>
      <c r="I271" s="618"/>
      <c r="J271" s="625"/>
      <c r="K271" s="639"/>
      <c r="L271" s="618"/>
      <c r="M271" s="625"/>
      <c r="N271" s="639"/>
      <c r="O271" s="618"/>
      <c r="P271" s="625"/>
      <c r="Q271" s="639"/>
      <c r="R271" s="618"/>
      <c r="S271" s="625"/>
      <c r="T271" s="639"/>
      <c r="U271" s="618"/>
      <c r="V271" s="625"/>
      <c r="W271" s="639"/>
      <c r="X271" s="618"/>
      <c r="Y271" s="625"/>
      <c r="Z271" s="639"/>
      <c r="AA271" s="618"/>
      <c r="AB271" s="625"/>
      <c r="AC271" s="639"/>
      <c r="AD271" s="618"/>
      <c r="AE271" s="625"/>
      <c r="AF271" s="639"/>
      <c r="AG271" s="618"/>
      <c r="AH271" s="625"/>
      <c r="AI271" s="639"/>
      <c r="AJ271" s="618"/>
      <c r="AK271" s="625"/>
      <c r="AL271" s="639"/>
      <c r="AM271" s="618"/>
      <c r="AN271" s="625"/>
      <c r="AO271" s="988"/>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127</v>
      </c>
      <c r="C272" s="644"/>
      <c r="D272" s="645"/>
      <c r="E272" s="643"/>
      <c r="F272" s="644"/>
      <c r="G272" s="645"/>
      <c r="H272" s="643"/>
      <c r="I272" s="644"/>
      <c r="J272" s="645"/>
      <c r="K272" s="643"/>
      <c r="L272" s="644"/>
      <c r="M272" s="645"/>
      <c r="N272" s="643"/>
      <c r="O272" s="644"/>
      <c r="P272" s="645"/>
      <c r="Q272" s="643"/>
      <c r="R272" s="644"/>
      <c r="S272" s="645"/>
      <c r="T272" s="643"/>
      <c r="U272" s="644"/>
      <c r="V272" s="645"/>
      <c r="W272" s="643"/>
      <c r="X272" s="644"/>
      <c r="Y272" s="645"/>
      <c r="Z272" s="643"/>
      <c r="AA272" s="644"/>
      <c r="AB272" s="645"/>
      <c r="AC272" s="643"/>
      <c r="AD272" s="644"/>
      <c r="AE272" s="645"/>
      <c r="AF272" s="643"/>
      <c r="AG272" s="644"/>
      <c r="AH272" s="645"/>
      <c r="AI272" s="643"/>
      <c r="AJ272" s="644"/>
      <c r="AK272" s="645"/>
      <c r="AL272" s="643"/>
      <c r="AM272" s="644"/>
      <c r="AN272" s="645"/>
      <c r="AO272" s="989"/>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128</v>
      </c>
      <c r="C273" s="618"/>
      <c r="D273" s="625"/>
      <c r="E273" s="639"/>
      <c r="F273" s="618"/>
      <c r="G273" s="625"/>
      <c r="H273" s="639"/>
      <c r="I273" s="618"/>
      <c r="J273" s="625"/>
      <c r="K273" s="639"/>
      <c r="L273" s="618"/>
      <c r="M273" s="625"/>
      <c r="N273" s="639"/>
      <c r="O273" s="618"/>
      <c r="P273" s="625"/>
      <c r="Q273" s="639"/>
      <c r="R273" s="618"/>
      <c r="S273" s="625"/>
      <c r="T273" s="639"/>
      <c r="U273" s="618"/>
      <c r="V273" s="625"/>
      <c r="W273" s="639"/>
      <c r="X273" s="618"/>
      <c r="Y273" s="625"/>
      <c r="Z273" s="639"/>
      <c r="AA273" s="618"/>
      <c r="AB273" s="625"/>
      <c r="AC273" s="639"/>
      <c r="AD273" s="618"/>
      <c r="AE273" s="625"/>
      <c r="AF273" s="639"/>
      <c r="AG273" s="618"/>
      <c r="AH273" s="625"/>
      <c r="AI273" s="639"/>
      <c r="AJ273" s="618"/>
      <c r="AK273" s="625"/>
      <c r="AL273" s="639"/>
      <c r="AM273" s="618"/>
      <c r="AN273" s="625"/>
      <c r="AO273" s="988"/>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129</v>
      </c>
      <c r="C274" s="618"/>
      <c r="D274" s="625"/>
      <c r="E274" s="639"/>
      <c r="F274" s="618"/>
      <c r="G274" s="625"/>
      <c r="H274" s="639"/>
      <c r="I274" s="618"/>
      <c r="J274" s="625"/>
      <c r="K274" s="639"/>
      <c r="L274" s="618"/>
      <c r="M274" s="625"/>
      <c r="N274" s="639"/>
      <c r="O274" s="618"/>
      <c r="P274" s="625"/>
      <c r="Q274" s="639"/>
      <c r="R274" s="618"/>
      <c r="S274" s="625"/>
      <c r="T274" s="639"/>
      <c r="U274" s="618"/>
      <c r="V274" s="625"/>
      <c r="W274" s="639"/>
      <c r="X274" s="618"/>
      <c r="Y274" s="625"/>
      <c r="Z274" s="639"/>
      <c r="AA274" s="618"/>
      <c r="AB274" s="625"/>
      <c r="AC274" s="639"/>
      <c r="AD274" s="618"/>
      <c r="AE274" s="625"/>
      <c r="AF274" s="639"/>
      <c r="AG274" s="618"/>
      <c r="AH274" s="625"/>
      <c r="AI274" s="639"/>
      <c r="AJ274" s="618"/>
      <c r="AK274" s="625"/>
      <c r="AL274" s="639"/>
      <c r="AM274" s="618"/>
      <c r="AN274" s="625"/>
      <c r="AO274" s="988"/>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130</v>
      </c>
      <c r="C275" s="644"/>
      <c r="D275" s="645"/>
      <c r="E275" s="643"/>
      <c r="F275" s="644"/>
      <c r="G275" s="645"/>
      <c r="H275" s="643"/>
      <c r="I275" s="644"/>
      <c r="J275" s="645"/>
      <c r="K275" s="643"/>
      <c r="L275" s="644"/>
      <c r="M275" s="645"/>
      <c r="N275" s="643"/>
      <c r="O275" s="644"/>
      <c r="P275" s="645"/>
      <c r="Q275" s="643"/>
      <c r="R275" s="644"/>
      <c r="S275" s="645"/>
      <c r="T275" s="643"/>
      <c r="U275" s="644"/>
      <c r="V275" s="645"/>
      <c r="W275" s="643"/>
      <c r="X275" s="644"/>
      <c r="Y275" s="645"/>
      <c r="Z275" s="643"/>
      <c r="AA275" s="644"/>
      <c r="AB275" s="645"/>
      <c r="AC275" s="643"/>
      <c r="AD275" s="644"/>
      <c r="AE275" s="645"/>
      <c r="AF275" s="643"/>
      <c r="AG275" s="644"/>
      <c r="AH275" s="645"/>
      <c r="AI275" s="643"/>
      <c r="AJ275" s="644"/>
      <c r="AK275" s="645"/>
      <c r="AL275" s="643"/>
      <c r="AM275" s="644"/>
      <c r="AN275" s="645"/>
      <c r="AO275" s="989"/>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483</v>
      </c>
      <c r="C276" s="618"/>
      <c r="D276" s="625"/>
      <c r="E276" s="639"/>
      <c r="F276" s="618"/>
      <c r="G276" s="625"/>
      <c r="H276" s="639"/>
      <c r="I276" s="618"/>
      <c r="J276" s="625"/>
      <c r="K276" s="639"/>
      <c r="L276" s="618"/>
      <c r="M276" s="625"/>
      <c r="N276" s="639"/>
      <c r="O276" s="618"/>
      <c r="P276" s="625"/>
      <c r="Q276" s="639"/>
      <c r="R276" s="618"/>
      <c r="S276" s="625"/>
      <c r="T276" s="639"/>
      <c r="U276" s="618"/>
      <c r="V276" s="625"/>
      <c r="W276" s="639"/>
      <c r="X276" s="618"/>
      <c r="Y276" s="625"/>
      <c r="Z276" s="639"/>
      <c r="AA276" s="618"/>
      <c r="AB276" s="625"/>
      <c r="AC276" s="639"/>
      <c r="AD276" s="618"/>
      <c r="AE276" s="625"/>
      <c r="AF276" s="639"/>
      <c r="AG276" s="618"/>
      <c r="AH276" s="625"/>
      <c r="AI276" s="639"/>
      <c r="AJ276" s="618"/>
      <c r="AK276" s="625"/>
      <c r="AL276" s="639"/>
      <c r="AM276" s="618"/>
      <c r="AN276" s="625"/>
      <c r="AO276" s="988"/>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131</v>
      </c>
      <c r="C277" s="618"/>
      <c r="D277" s="625"/>
      <c r="E277" s="639"/>
      <c r="F277" s="618"/>
      <c r="G277" s="625"/>
      <c r="H277" s="639"/>
      <c r="I277" s="618"/>
      <c r="J277" s="625"/>
      <c r="K277" s="639"/>
      <c r="L277" s="618"/>
      <c r="M277" s="625"/>
      <c r="N277" s="639"/>
      <c r="O277" s="618"/>
      <c r="P277" s="625"/>
      <c r="Q277" s="639"/>
      <c r="R277" s="618"/>
      <c r="S277" s="625"/>
      <c r="T277" s="639"/>
      <c r="U277" s="618"/>
      <c r="V277" s="625"/>
      <c r="W277" s="639"/>
      <c r="X277" s="618"/>
      <c r="Y277" s="625"/>
      <c r="Z277" s="639"/>
      <c r="AA277" s="618"/>
      <c r="AB277" s="625"/>
      <c r="AC277" s="639"/>
      <c r="AD277" s="618"/>
      <c r="AE277" s="625"/>
      <c r="AF277" s="639"/>
      <c r="AG277" s="618"/>
      <c r="AH277" s="625"/>
      <c r="AI277" s="639"/>
      <c r="AJ277" s="618"/>
      <c r="AK277" s="625"/>
      <c r="AL277" s="639"/>
      <c r="AM277" s="618"/>
      <c r="AN277" s="625"/>
      <c r="AO277" s="988"/>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132</v>
      </c>
      <c r="C278" s="618"/>
      <c r="D278" s="625"/>
      <c r="E278" s="639"/>
      <c r="F278" s="618"/>
      <c r="G278" s="625"/>
      <c r="H278" s="639"/>
      <c r="I278" s="618"/>
      <c r="J278" s="625"/>
      <c r="K278" s="639"/>
      <c r="L278" s="618"/>
      <c r="M278" s="625"/>
      <c r="N278" s="639"/>
      <c r="O278" s="618"/>
      <c r="P278" s="625"/>
      <c r="Q278" s="639"/>
      <c r="R278" s="618"/>
      <c r="S278" s="625"/>
      <c r="T278" s="639"/>
      <c r="U278" s="618"/>
      <c r="V278" s="625"/>
      <c r="W278" s="639"/>
      <c r="X278" s="618"/>
      <c r="Y278" s="625"/>
      <c r="Z278" s="639"/>
      <c r="AA278" s="618"/>
      <c r="AB278" s="625"/>
      <c r="AC278" s="639"/>
      <c r="AD278" s="618"/>
      <c r="AE278" s="625"/>
      <c r="AF278" s="639"/>
      <c r="AG278" s="618"/>
      <c r="AH278" s="625"/>
      <c r="AI278" s="639"/>
      <c r="AJ278" s="618"/>
      <c r="AK278" s="625"/>
      <c r="AL278" s="639"/>
      <c r="AM278" s="618"/>
      <c r="AN278" s="625"/>
      <c r="AO278" s="988"/>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133</v>
      </c>
      <c r="C279" s="618"/>
      <c r="D279" s="625"/>
      <c r="E279" s="639"/>
      <c r="F279" s="618"/>
      <c r="G279" s="625"/>
      <c r="H279" s="639"/>
      <c r="I279" s="618"/>
      <c r="J279" s="625"/>
      <c r="K279" s="639"/>
      <c r="L279" s="618"/>
      <c r="M279" s="625"/>
      <c r="N279" s="639"/>
      <c r="O279" s="618"/>
      <c r="P279" s="625"/>
      <c r="Q279" s="639"/>
      <c r="R279" s="618"/>
      <c r="S279" s="625"/>
      <c r="T279" s="639"/>
      <c r="U279" s="618"/>
      <c r="V279" s="625"/>
      <c r="W279" s="639"/>
      <c r="X279" s="618"/>
      <c r="Y279" s="625"/>
      <c r="Z279" s="639"/>
      <c r="AA279" s="618"/>
      <c r="AB279" s="625"/>
      <c r="AC279" s="639"/>
      <c r="AD279" s="618"/>
      <c r="AE279" s="625"/>
      <c r="AF279" s="639"/>
      <c r="AG279" s="618"/>
      <c r="AH279" s="625"/>
      <c r="AI279" s="639"/>
      <c r="AJ279" s="618"/>
      <c r="AK279" s="625"/>
      <c r="AL279" s="639"/>
      <c r="AM279" s="618"/>
      <c r="AN279" s="625"/>
      <c r="AO279" s="988"/>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134</v>
      </c>
      <c r="C280" s="618"/>
      <c r="D280" s="625"/>
      <c r="E280" s="639"/>
      <c r="F280" s="618"/>
      <c r="G280" s="625"/>
      <c r="H280" s="639"/>
      <c r="I280" s="618"/>
      <c r="J280" s="625"/>
      <c r="K280" s="639"/>
      <c r="L280" s="618"/>
      <c r="M280" s="625"/>
      <c r="N280" s="639"/>
      <c r="O280" s="618"/>
      <c r="P280" s="625"/>
      <c r="Q280" s="639"/>
      <c r="R280" s="618"/>
      <c r="S280" s="625"/>
      <c r="T280" s="639"/>
      <c r="U280" s="618"/>
      <c r="V280" s="625"/>
      <c r="W280" s="639"/>
      <c r="X280" s="618"/>
      <c r="Y280" s="625"/>
      <c r="Z280" s="639"/>
      <c r="AA280" s="618"/>
      <c r="AB280" s="625"/>
      <c r="AC280" s="639"/>
      <c r="AD280" s="618"/>
      <c r="AE280" s="625"/>
      <c r="AF280" s="639"/>
      <c r="AG280" s="618"/>
      <c r="AH280" s="625"/>
      <c r="AI280" s="639"/>
      <c r="AJ280" s="618"/>
      <c r="AK280" s="625"/>
      <c r="AL280" s="639"/>
      <c r="AM280" s="618"/>
      <c r="AN280" s="625"/>
      <c r="AO280" s="988"/>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135</v>
      </c>
      <c r="C281" s="618"/>
      <c r="D281" s="625"/>
      <c r="E281" s="639"/>
      <c r="F281" s="618"/>
      <c r="G281" s="625"/>
      <c r="H281" s="639"/>
      <c r="I281" s="618"/>
      <c r="J281" s="625"/>
      <c r="K281" s="639"/>
      <c r="L281" s="618"/>
      <c r="M281" s="625"/>
      <c r="N281" s="639"/>
      <c r="O281" s="618"/>
      <c r="P281" s="625"/>
      <c r="Q281" s="639"/>
      <c r="R281" s="618"/>
      <c r="S281" s="625"/>
      <c r="T281" s="639"/>
      <c r="U281" s="618"/>
      <c r="V281" s="625"/>
      <c r="W281" s="639"/>
      <c r="X281" s="618"/>
      <c r="Y281" s="625"/>
      <c r="Z281" s="639"/>
      <c r="AA281" s="618"/>
      <c r="AB281" s="625"/>
      <c r="AC281" s="639"/>
      <c r="AD281" s="618"/>
      <c r="AE281" s="625"/>
      <c r="AF281" s="639"/>
      <c r="AG281" s="618"/>
      <c r="AH281" s="625"/>
      <c r="AI281" s="639"/>
      <c r="AJ281" s="618"/>
      <c r="AK281" s="625"/>
      <c r="AL281" s="639"/>
      <c r="AM281" s="618"/>
      <c r="AN281" s="625"/>
      <c r="AO281" s="988"/>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136</v>
      </c>
      <c r="C282" s="618"/>
      <c r="D282" s="625"/>
      <c r="E282" s="639"/>
      <c r="F282" s="618"/>
      <c r="G282" s="625"/>
      <c r="H282" s="639"/>
      <c r="I282" s="618"/>
      <c r="J282" s="625"/>
      <c r="K282" s="639"/>
      <c r="L282" s="618"/>
      <c r="M282" s="625"/>
      <c r="N282" s="639"/>
      <c r="O282" s="618"/>
      <c r="P282" s="625"/>
      <c r="Q282" s="639"/>
      <c r="R282" s="618"/>
      <c r="S282" s="625"/>
      <c r="T282" s="639"/>
      <c r="U282" s="618"/>
      <c r="V282" s="625"/>
      <c r="W282" s="639"/>
      <c r="X282" s="618"/>
      <c r="Y282" s="625"/>
      <c r="Z282" s="639"/>
      <c r="AA282" s="618"/>
      <c r="AB282" s="625"/>
      <c r="AC282" s="639"/>
      <c r="AD282" s="618"/>
      <c r="AE282" s="625"/>
      <c r="AF282" s="639"/>
      <c r="AG282" s="618"/>
      <c r="AH282" s="625"/>
      <c r="AI282" s="639"/>
      <c r="AJ282" s="618"/>
      <c r="AK282" s="625"/>
      <c r="AL282" s="639"/>
      <c r="AM282" s="618"/>
      <c r="AN282" s="625"/>
      <c r="AO282" s="988"/>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137</v>
      </c>
      <c r="C283" s="618"/>
      <c r="D283" s="625"/>
      <c r="E283" s="639"/>
      <c r="F283" s="618"/>
      <c r="G283" s="625"/>
      <c r="H283" s="639"/>
      <c r="I283" s="618"/>
      <c r="J283" s="625"/>
      <c r="K283" s="639"/>
      <c r="L283" s="618"/>
      <c r="M283" s="625"/>
      <c r="N283" s="639"/>
      <c r="O283" s="618"/>
      <c r="P283" s="625"/>
      <c r="Q283" s="639"/>
      <c r="R283" s="618"/>
      <c r="S283" s="625"/>
      <c r="T283" s="639"/>
      <c r="U283" s="618"/>
      <c r="V283" s="625"/>
      <c r="W283" s="639"/>
      <c r="X283" s="618"/>
      <c r="Y283" s="625"/>
      <c r="Z283" s="639"/>
      <c r="AA283" s="618"/>
      <c r="AB283" s="625"/>
      <c r="AC283" s="639"/>
      <c r="AD283" s="618"/>
      <c r="AE283" s="625"/>
      <c r="AF283" s="639"/>
      <c r="AG283" s="618"/>
      <c r="AH283" s="625"/>
      <c r="AI283" s="639"/>
      <c r="AJ283" s="618"/>
      <c r="AK283" s="625"/>
      <c r="AL283" s="639"/>
      <c r="AM283" s="618"/>
      <c r="AN283" s="625"/>
      <c r="AO283" s="988"/>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138</v>
      </c>
      <c r="C284" s="618"/>
      <c r="D284" s="625"/>
      <c r="E284" s="639"/>
      <c r="F284" s="618"/>
      <c r="G284" s="625"/>
      <c r="H284" s="639"/>
      <c r="I284" s="618"/>
      <c r="J284" s="625"/>
      <c r="K284" s="639"/>
      <c r="L284" s="618"/>
      <c r="M284" s="625"/>
      <c r="N284" s="639"/>
      <c r="O284" s="618"/>
      <c r="P284" s="625"/>
      <c r="Q284" s="639"/>
      <c r="R284" s="618"/>
      <c r="S284" s="625"/>
      <c r="T284" s="639"/>
      <c r="U284" s="618"/>
      <c r="V284" s="625"/>
      <c r="W284" s="639"/>
      <c r="X284" s="618"/>
      <c r="Y284" s="625"/>
      <c r="Z284" s="639"/>
      <c r="AA284" s="618"/>
      <c r="AB284" s="625"/>
      <c r="AC284" s="639"/>
      <c r="AD284" s="618"/>
      <c r="AE284" s="625"/>
      <c r="AF284" s="639"/>
      <c r="AG284" s="618"/>
      <c r="AH284" s="625"/>
      <c r="AI284" s="639"/>
      <c r="AJ284" s="618"/>
      <c r="AK284" s="625"/>
      <c r="AL284" s="639"/>
      <c r="AM284" s="618"/>
      <c r="AN284" s="625"/>
      <c r="AO284" s="988"/>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55</v>
      </c>
      <c r="C285" s="618"/>
      <c r="D285" s="625"/>
      <c r="E285" s="626"/>
      <c r="F285" s="618"/>
      <c r="G285" s="625"/>
      <c r="H285" s="626"/>
      <c r="I285" s="618"/>
      <c r="J285" s="625"/>
      <c r="K285" s="626"/>
      <c r="L285" s="618"/>
      <c r="M285" s="625"/>
      <c r="N285" s="626"/>
      <c r="O285" s="618"/>
      <c r="P285" s="625"/>
      <c r="Q285" s="626"/>
      <c r="R285" s="618"/>
      <c r="S285" s="625"/>
      <c r="T285" s="626"/>
      <c r="U285" s="618"/>
      <c r="V285" s="625"/>
      <c r="W285" s="626"/>
      <c r="X285" s="618"/>
      <c r="Y285" s="625"/>
      <c r="Z285" s="626"/>
      <c r="AA285" s="618"/>
      <c r="AB285" s="625"/>
      <c r="AC285" s="626"/>
      <c r="AD285" s="618"/>
      <c r="AE285" s="625"/>
      <c r="AF285" s="626"/>
      <c r="AG285" s="618"/>
      <c r="AH285" s="625"/>
      <c r="AI285" s="626"/>
      <c r="AJ285" s="618"/>
      <c r="AK285" s="625"/>
      <c r="AL285" s="626"/>
      <c r="AM285" s="618"/>
      <c r="AN285" s="625"/>
      <c r="AO285" s="626"/>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55</v>
      </c>
      <c r="C286" s="618"/>
      <c r="D286" s="625"/>
      <c r="E286" s="626"/>
      <c r="F286" s="618"/>
      <c r="G286" s="625"/>
      <c r="H286" s="626"/>
      <c r="I286" s="618"/>
      <c r="J286" s="625"/>
      <c r="K286" s="626"/>
      <c r="L286" s="618"/>
      <c r="M286" s="625"/>
      <c r="N286" s="626"/>
      <c r="O286" s="618"/>
      <c r="P286" s="625"/>
      <c r="Q286" s="626"/>
      <c r="R286" s="618"/>
      <c r="S286" s="625"/>
      <c r="T286" s="626"/>
      <c r="U286" s="618"/>
      <c r="V286" s="625"/>
      <c r="W286" s="626"/>
      <c r="X286" s="618"/>
      <c r="Y286" s="625"/>
      <c r="Z286" s="626"/>
      <c r="AA286" s="618"/>
      <c r="AB286" s="625"/>
      <c r="AC286" s="626"/>
      <c r="AD286" s="618"/>
      <c r="AE286" s="625"/>
      <c r="AF286" s="626"/>
      <c r="AG286" s="618"/>
      <c r="AH286" s="625"/>
      <c r="AI286" s="626"/>
      <c r="AJ286" s="618"/>
      <c r="AK286" s="625"/>
      <c r="AL286" s="626"/>
      <c r="AM286" s="618"/>
      <c r="AN286" s="625"/>
      <c r="AO286" s="626"/>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55</v>
      </c>
      <c r="C287" s="618"/>
      <c r="D287" s="625"/>
      <c r="E287" s="626"/>
      <c r="F287" s="618"/>
      <c r="G287" s="625"/>
      <c r="H287" s="626"/>
      <c r="I287" s="618"/>
      <c r="J287" s="625"/>
      <c r="K287" s="626"/>
      <c r="L287" s="618"/>
      <c r="M287" s="625"/>
      <c r="N287" s="626"/>
      <c r="O287" s="618"/>
      <c r="P287" s="625"/>
      <c r="Q287" s="626"/>
      <c r="R287" s="618"/>
      <c r="S287" s="625"/>
      <c r="T287" s="626"/>
      <c r="U287" s="618"/>
      <c r="V287" s="625"/>
      <c r="W287" s="626"/>
      <c r="X287" s="618"/>
      <c r="Y287" s="625"/>
      <c r="Z287" s="626"/>
      <c r="AA287" s="618"/>
      <c r="AB287" s="625"/>
      <c r="AC287" s="626"/>
      <c r="AD287" s="618"/>
      <c r="AE287" s="625"/>
      <c r="AF287" s="626"/>
      <c r="AG287" s="618"/>
      <c r="AH287" s="625"/>
      <c r="AI287" s="626"/>
      <c r="AJ287" s="618"/>
      <c r="AK287" s="625"/>
      <c r="AL287" s="626"/>
      <c r="AM287" s="618"/>
      <c r="AN287" s="625"/>
      <c r="AO287" s="626"/>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139</v>
      </c>
      <c r="C288" s="650"/>
      <c r="D288" s="915"/>
      <c r="E288" s="651"/>
      <c r="F288" s="650"/>
      <c r="G288" s="915"/>
      <c r="H288" s="651"/>
      <c r="I288" s="650"/>
      <c r="J288" s="915"/>
      <c r="K288" s="651"/>
      <c r="L288" s="650"/>
      <c r="M288" s="915"/>
      <c r="N288" s="651"/>
      <c r="O288" s="650"/>
      <c r="P288" s="915"/>
      <c r="Q288" s="651"/>
      <c r="R288" s="650"/>
      <c r="S288" s="915"/>
      <c r="T288" s="651"/>
      <c r="U288" s="650"/>
      <c r="V288" s="915"/>
      <c r="W288" s="994"/>
      <c r="X288" s="650"/>
      <c r="Y288" s="915"/>
      <c r="Z288" s="994"/>
      <c r="AA288" s="650"/>
      <c r="AB288" s="915"/>
      <c r="AC288" s="994"/>
      <c r="AD288" s="650"/>
      <c r="AE288" s="915"/>
      <c r="AF288" s="994"/>
      <c r="AG288" s="650"/>
      <c r="AH288" s="904"/>
      <c r="AI288" s="651"/>
      <c r="AJ288" s="650"/>
      <c r="AK288" s="904"/>
      <c r="AL288" s="651"/>
      <c r="AM288" s="650"/>
      <c r="AN288" s="904"/>
      <c r="AO288" s="651"/>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644"/>
      <c r="D289" s="645"/>
      <c r="E289" s="642"/>
      <c r="F289" s="644"/>
      <c r="G289" s="645"/>
      <c r="H289" s="642"/>
      <c r="I289" s="644"/>
      <c r="J289" s="645"/>
      <c r="K289" s="642"/>
      <c r="L289" s="644"/>
      <c r="M289" s="645"/>
      <c r="N289" s="642"/>
      <c r="O289" s="644"/>
      <c r="P289" s="645"/>
      <c r="Q289" s="642"/>
      <c r="R289" s="644"/>
      <c r="S289" s="645"/>
      <c r="T289" s="642"/>
      <c r="U289" s="644"/>
      <c r="V289" s="645"/>
      <c r="W289" s="642"/>
      <c r="X289" s="644"/>
      <c r="Y289" s="645"/>
      <c r="Z289" s="642"/>
      <c r="AA289" s="644"/>
      <c r="AB289" s="645"/>
      <c r="AC289" s="642"/>
      <c r="AD289" s="644"/>
      <c r="AE289" s="645"/>
      <c r="AF289" s="642"/>
      <c r="AG289" s="644"/>
      <c r="AH289" s="645"/>
      <c r="AI289" s="642"/>
      <c r="AJ289" s="644"/>
      <c r="AK289" s="645"/>
      <c r="AL289" s="642"/>
      <c r="AM289" s="644"/>
      <c r="AN289" s="645"/>
      <c r="AO289" s="642"/>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140</v>
      </c>
      <c r="C290" s="903"/>
      <c r="D290" s="925"/>
      <c r="E290" s="913"/>
      <c r="F290" s="903"/>
      <c r="G290" s="925"/>
      <c r="H290" s="913"/>
      <c r="I290" s="903"/>
      <c r="J290" s="925"/>
      <c r="K290" s="913"/>
      <c r="L290" s="903"/>
      <c r="M290" s="925"/>
      <c r="N290" s="913"/>
      <c r="O290" s="903"/>
      <c r="P290" s="925"/>
      <c r="Q290" s="913"/>
      <c r="R290" s="903"/>
      <c r="S290" s="925"/>
      <c r="T290" s="913"/>
      <c r="U290" s="903"/>
      <c r="V290" s="925"/>
      <c r="W290" s="993"/>
      <c r="X290" s="903"/>
      <c r="Y290" s="925"/>
      <c r="Z290" s="993"/>
      <c r="AA290" s="903"/>
      <c r="AB290" s="925"/>
      <c r="AC290" s="993"/>
      <c r="AD290" s="903"/>
      <c r="AE290" s="925"/>
      <c r="AF290" s="993"/>
      <c r="AG290" s="903"/>
      <c r="AH290" s="904"/>
      <c r="AI290" s="913"/>
      <c r="AJ290" s="903"/>
      <c r="AK290" s="904"/>
      <c r="AL290" s="913"/>
      <c r="AM290" s="903"/>
      <c r="AN290" s="904"/>
      <c r="AO290" s="913"/>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618"/>
      <c r="D291" s="625"/>
      <c r="E291" s="626"/>
      <c r="F291" s="618"/>
      <c r="G291" s="625"/>
      <c r="H291" s="626"/>
      <c r="I291" s="618"/>
      <c r="J291" s="625"/>
      <c r="K291" s="626"/>
      <c r="L291" s="618"/>
      <c r="M291" s="625"/>
      <c r="N291" s="626"/>
      <c r="O291" s="618"/>
      <c r="P291" s="625"/>
      <c r="Q291" s="626"/>
      <c r="R291" s="618"/>
      <c r="S291" s="625"/>
      <c r="T291" s="626"/>
      <c r="U291" s="618"/>
      <c r="V291" s="625"/>
      <c r="W291" s="626"/>
      <c r="X291" s="618"/>
      <c r="Y291" s="625"/>
      <c r="Z291" s="626"/>
      <c r="AA291" s="618"/>
      <c r="AB291" s="625"/>
      <c r="AC291" s="626"/>
      <c r="AD291" s="618"/>
      <c r="AE291" s="625"/>
      <c r="AF291" s="626"/>
      <c r="AG291" s="618"/>
      <c r="AH291" s="625"/>
      <c r="AI291" s="626"/>
      <c r="AJ291" s="618"/>
      <c r="AK291" s="625"/>
      <c r="AL291" s="626"/>
      <c r="AM291" s="618"/>
      <c r="AN291" s="625"/>
      <c r="AO291" s="626"/>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147</v>
      </c>
      <c r="C292" s="916"/>
      <c r="D292" s="927"/>
      <c r="E292" s="919"/>
      <c r="F292" s="916"/>
      <c r="G292" s="927"/>
      <c r="H292" s="919"/>
      <c r="I292" s="916"/>
      <c r="J292" s="927"/>
      <c r="K292" s="919"/>
      <c r="L292" s="916"/>
      <c r="M292" s="927"/>
      <c r="N292" s="919"/>
      <c r="O292" s="916"/>
      <c r="P292" s="927"/>
      <c r="Q292" s="919"/>
      <c r="R292" s="916"/>
      <c r="S292" s="927"/>
      <c r="T292" s="919"/>
      <c r="U292" s="916"/>
      <c r="V292" s="927"/>
      <c r="W292" s="996"/>
      <c r="X292" s="916"/>
      <c r="Y292" s="927"/>
      <c r="Z292" s="996"/>
      <c r="AA292" s="916"/>
      <c r="AB292" s="927"/>
      <c r="AC292" s="996"/>
      <c r="AD292" s="916"/>
      <c r="AE292" s="927"/>
      <c r="AF292" s="996"/>
      <c r="AG292" s="916"/>
      <c r="AH292" s="927"/>
      <c r="AI292" s="919"/>
      <c r="AJ292" s="916"/>
      <c r="AK292" s="927"/>
      <c r="AL292" s="919"/>
      <c r="AM292" s="916"/>
      <c r="AN292" s="927"/>
      <c r="AO292" s="919"/>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625"/>
      <c r="D293" s="625"/>
      <c r="E293" s="638"/>
      <c r="F293" s="625"/>
      <c r="G293" s="625"/>
      <c r="H293" s="638"/>
      <c r="I293" s="625"/>
      <c r="J293" s="625"/>
      <c r="K293" s="638"/>
      <c r="L293" s="625"/>
      <c r="M293" s="625"/>
      <c r="N293" s="638"/>
      <c r="O293" s="625"/>
      <c r="P293" s="625"/>
      <c r="Q293" s="638"/>
      <c r="R293" s="625"/>
      <c r="S293" s="625"/>
      <c r="T293" s="638"/>
      <c r="U293" s="625"/>
      <c r="V293" s="625"/>
      <c r="W293" s="638"/>
      <c r="X293" s="625"/>
      <c r="Y293" s="625"/>
      <c r="Z293" s="638"/>
      <c r="AA293" s="625"/>
      <c r="AB293" s="625"/>
      <c r="AC293" s="638"/>
      <c r="AD293" s="625"/>
      <c r="AE293" s="625"/>
      <c r="AF293" s="638"/>
      <c r="AG293" s="625"/>
      <c r="AH293" s="625"/>
      <c r="AI293" s="638"/>
      <c r="AJ293" s="625"/>
      <c r="AK293" s="625"/>
      <c r="AL293" s="638"/>
      <c r="AM293" s="625"/>
      <c r="AN293" s="625"/>
      <c r="AO293" s="638"/>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1110</v>
      </c>
      <c r="C294" s="658" t="s">
        <v>176</v>
      </c>
      <c r="D294" s="658"/>
      <c r="E294" s="658"/>
      <c r="F294" s="658"/>
      <c r="G294" s="658"/>
      <c r="H294" s="658"/>
      <c r="I294" s="658"/>
      <c r="J294" s="658"/>
      <c r="K294" s="658"/>
      <c r="L294" s="658"/>
      <c r="M294" s="658"/>
      <c r="N294" s="658"/>
      <c r="O294" s="658"/>
      <c r="P294" s="658"/>
      <c r="Q294" s="658"/>
      <c r="R294" s="658"/>
      <c r="S294" s="658"/>
      <c r="T294" s="658"/>
      <c r="U294" s="658"/>
      <c r="V294" s="658"/>
      <c r="W294" s="658"/>
      <c r="X294" s="658"/>
      <c r="Y294" s="658"/>
      <c r="Z294" s="658"/>
      <c r="AA294" s="658"/>
      <c r="AB294" s="658"/>
      <c r="AC294" s="658"/>
      <c r="AD294" s="658"/>
      <c r="AE294" s="658"/>
      <c r="AF294" s="658"/>
      <c r="AG294" s="658"/>
      <c r="AH294" s="658"/>
      <c r="AI294" s="658"/>
      <c r="AJ294" s="658"/>
      <c r="AK294" s="658"/>
      <c r="AL294" s="658"/>
      <c r="AM294" s="658"/>
      <c r="AN294" s="658"/>
      <c r="AO294" s="658"/>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657"/>
      <c r="D295" s="657"/>
      <c r="E295" s="657"/>
      <c r="F295" s="657"/>
      <c r="G295" s="657"/>
      <c r="H295" s="657"/>
      <c r="I295" s="657"/>
      <c r="J295" s="657"/>
      <c r="K295" s="657"/>
      <c r="L295" s="657"/>
      <c r="M295" s="657"/>
      <c r="N295" s="657"/>
      <c r="O295" s="657"/>
      <c r="P295" s="657"/>
      <c r="Q295" s="657"/>
      <c r="R295" s="657"/>
      <c r="S295" s="657"/>
      <c r="T295" s="657"/>
      <c r="U295" s="657"/>
      <c r="V295" s="657"/>
      <c r="W295" s="657"/>
      <c r="X295" s="657"/>
      <c r="Y295" s="657"/>
      <c r="Z295" s="657"/>
      <c r="AA295" s="657"/>
      <c r="AB295" s="657"/>
      <c r="AC295" s="657"/>
      <c r="AD295" s="657"/>
      <c r="AE295" s="657"/>
      <c r="AF295" s="657"/>
      <c r="AG295" s="657"/>
      <c r="AH295" s="657"/>
      <c r="AI295" s="657"/>
      <c r="AJ295" s="657"/>
      <c r="AK295" s="657"/>
      <c r="AL295" s="657"/>
      <c r="AM295" s="657"/>
      <c r="AN295" s="657"/>
      <c r="AO295" s="657"/>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2</v>
      </c>
      <c r="C296" s="603">
        <v>2025</v>
      </c>
      <c r="D296" s="604"/>
      <c r="E296" s="605"/>
      <c r="F296" s="603" t="s">
        <v>6</v>
      </c>
      <c r="G296" s="604"/>
      <c r="H296" s="605"/>
      <c r="I296" s="603" t="s">
        <v>8</v>
      </c>
      <c r="J296" s="604"/>
      <c r="K296" s="605"/>
      <c r="L296" s="603" t="s">
        <v>9</v>
      </c>
      <c r="M296" s="604"/>
      <c r="N296" s="605"/>
      <c r="O296" s="603" t="s">
        <v>10</v>
      </c>
      <c r="P296" s="604"/>
      <c r="Q296" s="605"/>
      <c r="R296" s="603" t="s">
        <v>11</v>
      </c>
      <c r="S296" s="604"/>
      <c r="T296" s="605"/>
      <c r="U296" s="603" t="s">
        <v>12</v>
      </c>
      <c r="V296" s="604"/>
      <c r="W296" s="605"/>
      <c r="X296" s="603" t="s">
        <v>14</v>
      </c>
      <c r="Y296" s="604"/>
      <c r="Z296" s="605"/>
      <c r="AA296" s="603" t="s">
        <v>15</v>
      </c>
      <c r="AB296" s="604"/>
      <c r="AC296" s="605"/>
      <c r="AD296" s="603" t="s">
        <v>17</v>
      </c>
      <c r="AE296" s="604"/>
      <c r="AF296" s="605"/>
      <c r="AG296" s="603" t="s">
        <v>18</v>
      </c>
      <c r="AH296" s="604"/>
      <c r="AI296" s="605"/>
      <c r="AJ296" s="603" t="s">
        <v>19</v>
      </c>
      <c r="AK296" s="604"/>
      <c r="AL296" s="605"/>
      <c r="AM296" s="603" t="s">
        <v>5</v>
      </c>
      <c r="AN296" s="604"/>
      <c r="AO296" s="605"/>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659" t="s">
        <v>159</v>
      </c>
      <c r="D297" s="636" t="s">
        <v>177</v>
      </c>
      <c r="E297" s="660" t="s">
        <v>91</v>
      </c>
      <c r="F297" s="659" t="s">
        <v>159</v>
      </c>
      <c r="G297" s="636" t="s">
        <v>177</v>
      </c>
      <c r="H297" s="660" t="s">
        <v>91</v>
      </c>
      <c r="I297" s="659" t="s">
        <v>159</v>
      </c>
      <c r="J297" s="636" t="s">
        <v>177</v>
      </c>
      <c r="K297" s="660" t="s">
        <v>91</v>
      </c>
      <c r="L297" s="659" t="s">
        <v>159</v>
      </c>
      <c r="M297" s="636" t="s">
        <v>177</v>
      </c>
      <c r="N297" s="660" t="s">
        <v>91</v>
      </c>
      <c r="O297" s="659" t="s">
        <v>159</v>
      </c>
      <c r="P297" s="636" t="s">
        <v>177</v>
      </c>
      <c r="Q297" s="660" t="s">
        <v>91</v>
      </c>
      <c r="R297" s="659" t="s">
        <v>159</v>
      </c>
      <c r="S297" s="636" t="s">
        <v>177</v>
      </c>
      <c r="T297" s="660" t="s">
        <v>91</v>
      </c>
      <c r="U297" s="659" t="s">
        <v>159</v>
      </c>
      <c r="V297" s="636" t="s">
        <v>177</v>
      </c>
      <c r="W297" s="660" t="s">
        <v>91</v>
      </c>
      <c r="X297" s="659" t="s">
        <v>159</v>
      </c>
      <c r="Y297" s="636" t="s">
        <v>177</v>
      </c>
      <c r="Z297" s="660" t="s">
        <v>91</v>
      </c>
      <c r="AA297" s="659" t="s">
        <v>159</v>
      </c>
      <c r="AB297" s="636" t="s">
        <v>177</v>
      </c>
      <c r="AC297" s="660" t="s">
        <v>91</v>
      </c>
      <c r="AD297" s="659" t="s">
        <v>159</v>
      </c>
      <c r="AE297" s="636" t="s">
        <v>177</v>
      </c>
      <c r="AF297" s="660" t="s">
        <v>91</v>
      </c>
      <c r="AG297" s="659" t="s">
        <v>159</v>
      </c>
      <c r="AH297" s="636" t="s">
        <v>177</v>
      </c>
      <c r="AI297" s="660" t="s">
        <v>91</v>
      </c>
      <c r="AJ297" s="659" t="s">
        <v>159</v>
      </c>
      <c r="AK297" s="636" t="s">
        <v>177</v>
      </c>
      <c r="AL297" s="660" t="s">
        <v>91</v>
      </c>
      <c r="AM297" s="659" t="s">
        <v>159</v>
      </c>
      <c r="AN297" s="636" t="s">
        <v>177</v>
      </c>
      <c r="AO297" s="660" t="s">
        <v>91</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178</v>
      </c>
      <c r="C298" s="672"/>
      <c r="D298" s="669"/>
      <c r="E298" s="639"/>
      <c r="F298" s="672"/>
      <c r="G298" s="669"/>
      <c r="H298" s="639"/>
      <c r="I298" s="672"/>
      <c r="J298" s="669"/>
      <c r="K298" s="639"/>
      <c r="L298" s="672"/>
      <c r="M298" s="669"/>
      <c r="N298" s="639"/>
      <c r="O298" s="672"/>
      <c r="P298" s="669"/>
      <c r="Q298" s="639"/>
      <c r="R298" s="672"/>
      <c r="S298" s="669"/>
      <c r="T298" s="639"/>
      <c r="U298" s="672"/>
      <c r="V298" s="669"/>
      <c r="W298" s="639"/>
      <c r="X298" s="672"/>
      <c r="Y298" s="669"/>
      <c r="Z298" s="639"/>
      <c r="AA298" s="672"/>
      <c r="AB298" s="669"/>
      <c r="AC298" s="639"/>
      <c r="AD298" s="672"/>
      <c r="AE298" s="669"/>
      <c r="AF298" s="639"/>
      <c r="AG298" s="672"/>
      <c r="AH298" s="669"/>
      <c r="AI298" s="639"/>
      <c r="AJ298" s="672"/>
      <c r="AK298" s="669"/>
      <c r="AL298" s="639"/>
      <c r="AM298" s="672"/>
      <c r="AN298" s="669"/>
      <c r="AO298" s="639"/>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179</v>
      </c>
      <c r="C299" s="672"/>
      <c r="D299" s="669"/>
      <c r="E299" s="639"/>
      <c r="F299" s="672"/>
      <c r="G299" s="669"/>
      <c r="H299" s="639"/>
      <c r="I299" s="672"/>
      <c r="J299" s="669"/>
      <c r="K299" s="639"/>
      <c r="L299" s="672"/>
      <c r="M299" s="669"/>
      <c r="N299" s="639"/>
      <c r="O299" s="672"/>
      <c r="P299" s="669"/>
      <c r="Q299" s="639"/>
      <c r="R299" s="672"/>
      <c r="S299" s="669"/>
      <c r="T299" s="639"/>
      <c r="U299" s="672"/>
      <c r="V299" s="669"/>
      <c r="W299" s="639"/>
      <c r="X299" s="672"/>
      <c r="Y299" s="669"/>
      <c r="Z299" s="639"/>
      <c r="AA299" s="672"/>
      <c r="AB299" s="669"/>
      <c r="AC299" s="639"/>
      <c r="AD299" s="672"/>
      <c r="AE299" s="669"/>
      <c r="AF299" s="639"/>
      <c r="AG299" s="672"/>
      <c r="AH299" s="669"/>
      <c r="AI299" s="639"/>
      <c r="AJ299" s="672"/>
      <c r="AK299" s="669"/>
      <c r="AL299" s="639"/>
      <c r="AM299" s="672"/>
      <c r="AN299" s="669"/>
      <c r="AO299" s="639"/>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180</v>
      </c>
      <c r="C300" s="672"/>
      <c r="D300" s="669"/>
      <c r="E300" s="639"/>
      <c r="F300" s="672"/>
      <c r="G300" s="669"/>
      <c r="H300" s="639"/>
      <c r="I300" s="672"/>
      <c r="J300" s="669"/>
      <c r="K300" s="639"/>
      <c r="L300" s="672"/>
      <c r="M300" s="669"/>
      <c r="N300" s="639"/>
      <c r="O300" s="672"/>
      <c r="P300" s="669"/>
      <c r="Q300" s="639"/>
      <c r="R300" s="672"/>
      <c r="S300" s="669"/>
      <c r="T300" s="639"/>
      <c r="U300" s="672"/>
      <c r="V300" s="669"/>
      <c r="W300" s="639"/>
      <c r="X300" s="672"/>
      <c r="Y300" s="669"/>
      <c r="Z300" s="639"/>
      <c r="AA300" s="672"/>
      <c r="AB300" s="669"/>
      <c r="AC300" s="639"/>
      <c r="AD300" s="672"/>
      <c r="AE300" s="669"/>
      <c r="AF300" s="639"/>
      <c r="AG300" s="672"/>
      <c r="AH300" s="669"/>
      <c r="AI300" s="639"/>
      <c r="AJ300" s="672"/>
      <c r="AK300" s="669"/>
      <c r="AL300" s="639"/>
      <c r="AM300" s="672"/>
      <c r="AN300" s="669"/>
      <c r="AO300" s="639"/>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181</v>
      </c>
      <c r="C301" s="672"/>
      <c r="D301" s="669"/>
      <c r="E301" s="639"/>
      <c r="F301" s="672"/>
      <c r="G301" s="669"/>
      <c r="H301" s="639"/>
      <c r="I301" s="672"/>
      <c r="J301" s="669"/>
      <c r="K301" s="639"/>
      <c r="L301" s="672"/>
      <c r="M301" s="669"/>
      <c r="N301" s="639"/>
      <c r="O301" s="672"/>
      <c r="P301" s="669"/>
      <c r="Q301" s="639"/>
      <c r="R301" s="672"/>
      <c r="S301" s="669"/>
      <c r="T301" s="639"/>
      <c r="U301" s="672"/>
      <c r="V301" s="669"/>
      <c r="W301" s="639"/>
      <c r="X301" s="672"/>
      <c r="Y301" s="669"/>
      <c r="Z301" s="639"/>
      <c r="AA301" s="672"/>
      <c r="AB301" s="669"/>
      <c r="AC301" s="639"/>
      <c r="AD301" s="672"/>
      <c r="AE301" s="669"/>
      <c r="AF301" s="639"/>
      <c r="AG301" s="672"/>
      <c r="AH301" s="669"/>
      <c r="AI301" s="639"/>
      <c r="AJ301" s="672"/>
      <c r="AK301" s="669"/>
      <c r="AL301" s="639"/>
      <c r="AM301" s="672"/>
      <c r="AN301" s="669"/>
      <c r="AO301" s="639"/>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182</v>
      </c>
      <c r="C302" s="672"/>
      <c r="D302" s="669"/>
      <c r="E302" s="639"/>
      <c r="F302" s="672"/>
      <c r="G302" s="669"/>
      <c r="H302" s="639"/>
      <c r="I302" s="672"/>
      <c r="J302" s="669"/>
      <c r="K302" s="639"/>
      <c r="L302" s="672"/>
      <c r="M302" s="669"/>
      <c r="N302" s="639"/>
      <c r="O302" s="672"/>
      <c r="P302" s="669"/>
      <c r="Q302" s="639"/>
      <c r="R302" s="672"/>
      <c r="S302" s="669"/>
      <c r="T302" s="639"/>
      <c r="U302" s="672"/>
      <c r="V302" s="669"/>
      <c r="W302" s="639"/>
      <c r="X302" s="672"/>
      <c r="Y302" s="669"/>
      <c r="Z302" s="639"/>
      <c r="AA302" s="672"/>
      <c r="AB302" s="669"/>
      <c r="AC302" s="639"/>
      <c r="AD302" s="672"/>
      <c r="AE302" s="669"/>
      <c r="AF302" s="639"/>
      <c r="AG302" s="672"/>
      <c r="AH302" s="669"/>
      <c r="AI302" s="639"/>
      <c r="AJ302" s="672"/>
      <c r="AK302" s="669"/>
      <c r="AL302" s="639"/>
      <c r="AM302" s="672"/>
      <c r="AN302" s="669"/>
      <c r="AO302" s="639"/>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183</v>
      </c>
      <c r="C303" s="672"/>
      <c r="D303" s="669"/>
      <c r="E303" s="639"/>
      <c r="F303" s="672"/>
      <c r="G303" s="669"/>
      <c r="H303" s="639"/>
      <c r="I303" s="672"/>
      <c r="J303" s="669"/>
      <c r="K303" s="639"/>
      <c r="L303" s="672"/>
      <c r="M303" s="669"/>
      <c r="N303" s="639"/>
      <c r="O303" s="672"/>
      <c r="P303" s="669"/>
      <c r="Q303" s="639"/>
      <c r="R303" s="672"/>
      <c r="S303" s="669"/>
      <c r="T303" s="639"/>
      <c r="U303" s="672"/>
      <c r="V303" s="669"/>
      <c r="W303" s="639"/>
      <c r="X303" s="672"/>
      <c r="Y303" s="669"/>
      <c r="Z303" s="639"/>
      <c r="AA303" s="672"/>
      <c r="AB303" s="669"/>
      <c r="AC303" s="639"/>
      <c r="AD303" s="672"/>
      <c r="AE303" s="669"/>
      <c r="AF303" s="639"/>
      <c r="AG303" s="672"/>
      <c r="AH303" s="669"/>
      <c r="AI303" s="639"/>
      <c r="AJ303" s="672"/>
      <c r="AK303" s="669"/>
      <c r="AL303" s="639"/>
      <c r="AM303" s="672"/>
      <c r="AN303" s="669"/>
      <c r="AO303" s="639"/>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55</v>
      </c>
      <c r="C304" s="672"/>
      <c r="D304" s="669"/>
      <c r="E304" s="639"/>
      <c r="F304" s="672"/>
      <c r="G304" s="669"/>
      <c r="H304" s="639"/>
      <c r="I304" s="672"/>
      <c r="J304" s="669"/>
      <c r="K304" s="639"/>
      <c r="L304" s="672"/>
      <c r="M304" s="669"/>
      <c r="N304" s="639"/>
      <c r="O304" s="672"/>
      <c r="P304" s="669"/>
      <c r="Q304" s="639"/>
      <c r="R304" s="672"/>
      <c r="S304" s="669"/>
      <c r="T304" s="639"/>
      <c r="U304" s="672"/>
      <c r="V304" s="669"/>
      <c r="W304" s="639"/>
      <c r="X304" s="672"/>
      <c r="Y304" s="669"/>
      <c r="Z304" s="639"/>
      <c r="AA304" s="672"/>
      <c r="AB304" s="669"/>
      <c r="AC304" s="639"/>
      <c r="AD304" s="672"/>
      <c r="AE304" s="669"/>
      <c r="AF304" s="639"/>
      <c r="AG304" s="672"/>
      <c r="AH304" s="669"/>
      <c r="AI304" s="639"/>
      <c r="AJ304" s="672"/>
      <c r="AK304" s="669"/>
      <c r="AL304" s="639"/>
      <c r="AM304" s="672"/>
      <c r="AN304" s="669"/>
      <c r="AO304" s="639"/>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184</v>
      </c>
      <c r="C305" s="672"/>
      <c r="D305" s="669"/>
      <c r="E305" s="639"/>
      <c r="F305" s="672"/>
      <c r="G305" s="669"/>
      <c r="H305" s="639"/>
      <c r="I305" s="672"/>
      <c r="J305" s="669"/>
      <c r="K305" s="639"/>
      <c r="L305" s="672"/>
      <c r="M305" s="669"/>
      <c r="N305" s="639"/>
      <c r="O305" s="672"/>
      <c r="P305" s="669"/>
      <c r="Q305" s="639"/>
      <c r="R305" s="672"/>
      <c r="S305" s="669"/>
      <c r="T305" s="639"/>
      <c r="U305" s="672"/>
      <c r="V305" s="669"/>
      <c r="W305" s="639"/>
      <c r="X305" s="672"/>
      <c r="Y305" s="669"/>
      <c r="Z305" s="639"/>
      <c r="AA305" s="672"/>
      <c r="AB305" s="669"/>
      <c r="AC305" s="639"/>
      <c r="AD305" s="672"/>
      <c r="AE305" s="669"/>
      <c r="AF305" s="639"/>
      <c r="AG305" s="672"/>
      <c r="AH305" s="669"/>
      <c r="AI305" s="639"/>
      <c r="AJ305" s="672"/>
      <c r="AK305" s="669"/>
      <c r="AL305" s="639"/>
      <c r="AM305" s="672"/>
      <c r="AN305" s="669"/>
      <c r="AO305" s="639"/>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185</v>
      </c>
      <c r="C306" s="672"/>
      <c r="D306" s="669"/>
      <c r="E306" s="639"/>
      <c r="F306" s="672"/>
      <c r="G306" s="669"/>
      <c r="H306" s="639"/>
      <c r="I306" s="672"/>
      <c r="J306" s="669"/>
      <c r="K306" s="639"/>
      <c r="L306" s="672"/>
      <c r="M306" s="669"/>
      <c r="N306" s="639"/>
      <c r="O306" s="672"/>
      <c r="P306" s="669"/>
      <c r="Q306" s="639"/>
      <c r="R306" s="672"/>
      <c r="S306" s="669"/>
      <c r="T306" s="639"/>
      <c r="U306" s="672"/>
      <c r="V306" s="669"/>
      <c r="W306" s="639"/>
      <c r="X306" s="672"/>
      <c r="Y306" s="669"/>
      <c r="Z306" s="639"/>
      <c r="AA306" s="672"/>
      <c r="AB306" s="669"/>
      <c r="AC306" s="639"/>
      <c r="AD306" s="672"/>
      <c r="AE306" s="669"/>
      <c r="AF306" s="639"/>
      <c r="AG306" s="672"/>
      <c r="AH306" s="669"/>
      <c r="AI306" s="639"/>
      <c r="AJ306" s="672"/>
      <c r="AK306" s="669"/>
      <c r="AL306" s="639"/>
      <c r="AM306" s="672"/>
      <c r="AN306" s="669"/>
      <c r="AO306" s="639"/>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186</v>
      </c>
      <c r="C307" s="947"/>
      <c r="D307" s="948"/>
      <c r="E307" s="949"/>
      <c r="F307" s="947"/>
      <c r="G307" s="948"/>
      <c r="H307" s="949"/>
      <c r="I307" s="947"/>
      <c r="J307" s="948"/>
      <c r="K307" s="949"/>
      <c r="L307" s="947"/>
      <c r="M307" s="948"/>
      <c r="N307" s="949"/>
      <c r="O307" s="947"/>
      <c r="P307" s="948"/>
      <c r="Q307" s="949"/>
      <c r="R307" s="947"/>
      <c r="S307" s="948"/>
      <c r="T307" s="949"/>
      <c r="U307" s="947"/>
      <c r="V307" s="948"/>
      <c r="W307" s="949"/>
      <c r="X307" s="947"/>
      <c r="Y307" s="948"/>
      <c r="Z307" s="949"/>
      <c r="AA307" s="947"/>
      <c r="AB307" s="948"/>
      <c r="AC307" s="949"/>
      <c r="AD307" s="947"/>
      <c r="AE307" s="948"/>
      <c r="AF307" s="949"/>
      <c r="AG307" s="947"/>
      <c r="AH307" s="948"/>
      <c r="AI307" s="949"/>
      <c r="AJ307" s="947"/>
      <c r="AK307" s="948"/>
      <c r="AL307" s="949"/>
      <c r="AM307" s="947"/>
      <c r="AN307" s="948"/>
      <c r="AO307" s="949"/>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618"/>
      <c r="D308" s="625"/>
      <c r="E308" s="619"/>
      <c r="F308" s="618"/>
      <c r="G308" s="625"/>
      <c r="H308" s="619"/>
      <c r="I308" s="618"/>
      <c r="J308" s="625"/>
      <c r="K308" s="619"/>
      <c r="L308" s="618"/>
      <c r="M308" s="625"/>
      <c r="N308" s="619"/>
      <c r="O308" s="618"/>
      <c r="P308" s="625"/>
      <c r="Q308" s="619"/>
      <c r="R308" s="618"/>
      <c r="S308" s="625"/>
      <c r="T308" s="619"/>
      <c r="U308" s="618"/>
      <c r="V308" s="625"/>
      <c r="W308" s="619"/>
      <c r="X308" s="618"/>
      <c r="Y308" s="625"/>
      <c r="Z308" s="619"/>
      <c r="AA308" s="618"/>
      <c r="AB308" s="625"/>
      <c r="AC308" s="619"/>
      <c r="AD308" s="618"/>
      <c r="AE308" s="625"/>
      <c r="AF308" s="619"/>
      <c r="AG308" s="618"/>
      <c r="AH308" s="625"/>
      <c r="AI308" s="619"/>
      <c r="AJ308" s="618"/>
      <c r="AK308" s="625"/>
      <c r="AL308" s="619"/>
      <c r="AM308" s="618"/>
      <c r="AN308" s="625"/>
      <c r="AO308" s="619"/>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644"/>
      <c r="D309" s="645"/>
      <c r="E309" s="695"/>
      <c r="F309" s="644"/>
      <c r="G309" s="645"/>
      <c r="H309" s="695"/>
      <c r="I309" s="644"/>
      <c r="J309" s="645"/>
      <c r="K309" s="695"/>
      <c r="L309" s="644"/>
      <c r="M309" s="645"/>
      <c r="N309" s="695"/>
      <c r="O309" s="644"/>
      <c r="P309" s="645"/>
      <c r="Q309" s="695"/>
      <c r="R309" s="644"/>
      <c r="S309" s="645"/>
      <c r="T309" s="695"/>
      <c r="U309" s="644"/>
      <c r="V309" s="645"/>
      <c r="W309" s="695"/>
      <c r="X309" s="644"/>
      <c r="Y309" s="645"/>
      <c r="Z309" s="695"/>
      <c r="AA309" s="644"/>
      <c r="AB309" s="645"/>
      <c r="AC309" s="695"/>
      <c r="AD309" s="644"/>
      <c r="AE309" s="645"/>
      <c r="AF309" s="695"/>
      <c r="AG309" s="644"/>
      <c r="AH309" s="645"/>
      <c r="AI309" s="695"/>
      <c r="AJ309" s="644"/>
      <c r="AK309" s="645"/>
      <c r="AL309" s="695"/>
      <c r="AM309" s="644"/>
      <c r="AN309" s="645"/>
      <c r="AO309" s="695"/>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187</v>
      </c>
      <c r="C310" s="672"/>
      <c r="D310" s="669"/>
      <c r="E310" s="639"/>
      <c r="F310" s="672"/>
      <c r="G310" s="669"/>
      <c r="H310" s="639"/>
      <c r="I310" s="672"/>
      <c r="J310" s="669"/>
      <c r="K310" s="639"/>
      <c r="L310" s="672"/>
      <c r="M310" s="669"/>
      <c r="N310" s="639"/>
      <c r="O310" s="672"/>
      <c r="P310" s="669"/>
      <c r="Q310" s="639"/>
      <c r="R310" s="672"/>
      <c r="S310" s="669"/>
      <c r="T310" s="639"/>
      <c r="U310" s="672"/>
      <c r="V310" s="669"/>
      <c r="W310" s="639"/>
      <c r="X310" s="672"/>
      <c r="Y310" s="669"/>
      <c r="Z310" s="639"/>
      <c r="AA310" s="672"/>
      <c r="AB310" s="669"/>
      <c r="AC310" s="639"/>
      <c r="AD310" s="672"/>
      <c r="AE310" s="669"/>
      <c r="AF310" s="639"/>
      <c r="AG310" s="672"/>
      <c r="AH310" s="669"/>
      <c r="AI310" s="639"/>
      <c r="AJ310" s="672"/>
      <c r="AK310" s="669"/>
      <c r="AL310" s="639"/>
      <c r="AM310" s="672"/>
      <c r="AN310" s="669"/>
      <c r="AO310" s="639"/>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188</v>
      </c>
      <c r="C311" s="672"/>
      <c r="D311" s="669"/>
      <c r="E311" s="639"/>
      <c r="F311" s="672"/>
      <c r="G311" s="669"/>
      <c r="H311" s="639"/>
      <c r="I311" s="672"/>
      <c r="J311" s="669"/>
      <c r="K311" s="639"/>
      <c r="L311" s="672"/>
      <c r="M311" s="669"/>
      <c r="N311" s="639"/>
      <c r="O311" s="672"/>
      <c r="P311" s="669"/>
      <c r="Q311" s="639"/>
      <c r="R311" s="672"/>
      <c r="S311" s="669"/>
      <c r="T311" s="639"/>
      <c r="U311" s="672"/>
      <c r="V311" s="669"/>
      <c r="W311" s="639"/>
      <c r="X311" s="672"/>
      <c r="Y311" s="669"/>
      <c r="Z311" s="639"/>
      <c r="AA311" s="672"/>
      <c r="AB311" s="669"/>
      <c r="AC311" s="639"/>
      <c r="AD311" s="672"/>
      <c r="AE311" s="669"/>
      <c r="AF311" s="639"/>
      <c r="AG311" s="672"/>
      <c r="AH311" s="669"/>
      <c r="AI311" s="639"/>
      <c r="AJ311" s="672"/>
      <c r="AK311" s="669"/>
      <c r="AL311" s="639"/>
      <c r="AM311" s="672"/>
      <c r="AN311" s="669"/>
      <c r="AO311" s="639"/>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189</v>
      </c>
      <c r="C312" s="947"/>
      <c r="D312" s="948"/>
      <c r="E312" s="949"/>
      <c r="F312" s="947"/>
      <c r="G312" s="948"/>
      <c r="H312" s="949"/>
      <c r="I312" s="947"/>
      <c r="J312" s="948"/>
      <c r="K312" s="949"/>
      <c r="L312" s="947"/>
      <c r="M312" s="948"/>
      <c r="N312" s="949"/>
      <c r="O312" s="947"/>
      <c r="P312" s="948"/>
      <c r="Q312" s="949"/>
      <c r="R312" s="947"/>
      <c r="S312" s="948"/>
      <c r="T312" s="949"/>
      <c r="U312" s="947"/>
      <c r="V312" s="948"/>
      <c r="W312" s="949"/>
      <c r="X312" s="947"/>
      <c r="Y312" s="948"/>
      <c r="Z312" s="949"/>
      <c r="AA312" s="947"/>
      <c r="AB312" s="948"/>
      <c r="AC312" s="949"/>
      <c r="AD312" s="947"/>
      <c r="AE312" s="948"/>
      <c r="AF312" s="949"/>
      <c r="AG312" s="947"/>
      <c r="AH312" s="948"/>
      <c r="AI312" s="949"/>
      <c r="AJ312" s="947"/>
      <c r="AK312" s="948"/>
      <c r="AL312" s="949"/>
      <c r="AM312" s="947"/>
      <c r="AN312" s="948"/>
      <c r="AO312" s="949"/>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618"/>
      <c r="D313" s="625"/>
      <c r="E313" s="619"/>
      <c r="F313" s="618"/>
      <c r="G313" s="625"/>
      <c r="H313" s="619"/>
      <c r="I313" s="618"/>
      <c r="J313" s="625"/>
      <c r="K313" s="619"/>
      <c r="L313" s="618"/>
      <c r="M313" s="625"/>
      <c r="N313" s="619"/>
      <c r="O313" s="618"/>
      <c r="P313" s="625"/>
      <c r="Q313" s="619"/>
      <c r="R313" s="618"/>
      <c r="S313" s="625"/>
      <c r="T313" s="619"/>
      <c r="U313" s="618"/>
      <c r="V313" s="625"/>
      <c r="W313" s="619"/>
      <c r="X313" s="618"/>
      <c r="Y313" s="625"/>
      <c r="Z313" s="619"/>
      <c r="AA313" s="618"/>
      <c r="AB313" s="625"/>
      <c r="AC313" s="619"/>
      <c r="AD313" s="618"/>
      <c r="AE313" s="625"/>
      <c r="AF313" s="619"/>
      <c r="AG313" s="618"/>
      <c r="AH313" s="625"/>
      <c r="AI313" s="619"/>
      <c r="AJ313" s="618"/>
      <c r="AK313" s="625"/>
      <c r="AL313" s="619"/>
      <c r="AM313" s="618"/>
      <c r="AN313" s="625"/>
      <c r="AO313" s="619"/>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1095</v>
      </c>
      <c r="C314" s="618"/>
      <c r="D314" s="696"/>
      <c r="E314" s="619"/>
      <c r="F314" s="618"/>
      <c r="G314" s="696"/>
      <c r="H314" s="619"/>
      <c r="I314" s="618"/>
      <c r="J314" s="696"/>
      <c r="K314" s="619"/>
      <c r="L314" s="618"/>
      <c r="M314" s="696"/>
      <c r="N314" s="619"/>
      <c r="O314" s="618"/>
      <c r="P314" s="696"/>
      <c r="Q314" s="619"/>
      <c r="R314" s="618"/>
      <c r="S314" s="696"/>
      <c r="T314" s="619"/>
      <c r="U314" s="618"/>
      <c r="V314" s="696"/>
      <c r="W314" s="619"/>
      <c r="X314" s="618"/>
      <c r="Y314" s="696"/>
      <c r="Z314" s="619"/>
      <c r="AA314" s="618"/>
      <c r="AB314" s="696"/>
      <c r="AC314" s="619"/>
      <c r="AD314" s="618"/>
      <c r="AE314" s="696"/>
      <c r="AF314" s="619"/>
      <c r="AG314" s="618"/>
      <c r="AH314" s="669"/>
      <c r="AI314" s="619"/>
      <c r="AJ314" s="618"/>
      <c r="AK314" s="669"/>
      <c r="AL314" s="619"/>
      <c r="AM314" s="618"/>
      <c r="AN314" s="669"/>
      <c r="AO314" s="619"/>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190</v>
      </c>
      <c r="C315" s="698"/>
      <c r="D315" s="697"/>
      <c r="E315" s="649"/>
      <c r="F315" s="698"/>
      <c r="G315" s="697"/>
      <c r="H315" s="649"/>
      <c r="I315" s="698"/>
      <c r="J315" s="697"/>
      <c r="K315" s="649"/>
      <c r="L315" s="698"/>
      <c r="M315" s="697"/>
      <c r="N315" s="649"/>
      <c r="O315" s="698"/>
      <c r="P315" s="697"/>
      <c r="Q315" s="649"/>
      <c r="R315" s="698"/>
      <c r="S315" s="697"/>
      <c r="T315" s="649"/>
      <c r="U315" s="698"/>
      <c r="V315" s="697"/>
      <c r="W315" s="649"/>
      <c r="X315" s="698"/>
      <c r="Y315" s="697"/>
      <c r="Z315" s="649"/>
      <c r="AA315" s="698"/>
      <c r="AB315" s="697"/>
      <c r="AC315" s="649"/>
      <c r="AD315" s="698"/>
      <c r="AE315" s="697"/>
      <c r="AF315" s="649"/>
      <c r="AG315" s="698"/>
      <c r="AH315" s="697"/>
      <c r="AI315" s="649"/>
      <c r="AJ315" s="698"/>
      <c r="AK315" s="697"/>
      <c r="AL315" s="649"/>
      <c r="AM315" s="698"/>
      <c r="AN315" s="697"/>
      <c r="AO315" s="649"/>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671"/>
      <c r="D316" s="669"/>
      <c r="E316" s="626"/>
      <c r="F316" s="671"/>
      <c r="G316" s="669"/>
      <c r="H316" s="626"/>
      <c r="I316" s="671"/>
      <c r="J316" s="669"/>
      <c r="K316" s="626"/>
      <c r="L316" s="671"/>
      <c r="M316" s="669"/>
      <c r="N316" s="626"/>
      <c r="O316" s="671"/>
      <c r="P316" s="669"/>
      <c r="Q316" s="626"/>
      <c r="R316" s="671"/>
      <c r="S316" s="669"/>
      <c r="T316" s="626"/>
      <c r="U316" s="671"/>
      <c r="V316" s="669"/>
      <c r="W316" s="626"/>
      <c r="X316" s="671"/>
      <c r="Y316" s="669"/>
      <c r="Z316" s="626"/>
      <c r="AA316" s="671"/>
      <c r="AB316" s="669"/>
      <c r="AC316" s="626"/>
      <c r="AD316" s="671"/>
      <c r="AE316" s="669"/>
      <c r="AF316" s="626"/>
      <c r="AG316" s="671"/>
      <c r="AH316" s="669"/>
      <c r="AI316" s="626"/>
      <c r="AJ316" s="671"/>
      <c r="AK316" s="669"/>
      <c r="AL316" s="626"/>
      <c r="AM316" s="671"/>
      <c r="AN316" s="669"/>
      <c r="AO316" s="626"/>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191</v>
      </c>
      <c r="C317" s="627"/>
      <c r="D317" s="699"/>
      <c r="E317" s="629"/>
      <c r="F317" s="627"/>
      <c r="G317" s="699"/>
      <c r="H317" s="629"/>
      <c r="I317" s="627"/>
      <c r="J317" s="699"/>
      <c r="K317" s="629"/>
      <c r="L317" s="627"/>
      <c r="M317" s="699"/>
      <c r="N317" s="629"/>
      <c r="O317" s="627"/>
      <c r="P317" s="699"/>
      <c r="Q317" s="629"/>
      <c r="R317" s="627"/>
      <c r="S317" s="699"/>
      <c r="T317" s="629"/>
      <c r="U317" s="627"/>
      <c r="V317" s="699"/>
      <c r="W317" s="986"/>
      <c r="X317" s="627"/>
      <c r="Y317" s="699"/>
      <c r="Z317" s="986"/>
      <c r="AA317" s="627"/>
      <c r="AB317" s="699"/>
      <c r="AC317" s="986"/>
      <c r="AD317" s="627"/>
      <c r="AE317" s="699"/>
      <c r="AF317" s="986"/>
      <c r="AG317" s="627"/>
      <c r="AH317" s="699"/>
      <c r="AI317" s="629"/>
      <c r="AJ317" s="627"/>
      <c r="AK317" s="699"/>
      <c r="AL317" s="629"/>
      <c r="AM317" s="627"/>
      <c r="AN317" s="699"/>
      <c r="AO317" s="629"/>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951"/>
      <c r="D318" s="952"/>
      <c r="E318" s="953"/>
      <c r="F318" s="951"/>
      <c r="G318" s="952"/>
      <c r="H318" s="953"/>
      <c r="I318" s="951"/>
      <c r="J318" s="952"/>
      <c r="K318" s="953"/>
      <c r="L318" s="951"/>
      <c r="M318" s="952"/>
      <c r="N318" s="953"/>
      <c r="O318" s="951"/>
      <c r="P318" s="952"/>
      <c r="Q318" s="953"/>
      <c r="R318" s="951"/>
      <c r="S318" s="952"/>
      <c r="T318" s="953"/>
      <c r="U318" s="951"/>
      <c r="V318" s="952"/>
      <c r="W318" s="1008"/>
      <c r="X318" s="951"/>
      <c r="Y318" s="952"/>
      <c r="Z318" s="1008"/>
      <c r="AA318" s="951"/>
      <c r="AB318" s="952"/>
      <c r="AC318" s="1008"/>
      <c r="AD318" s="951"/>
      <c r="AE318" s="952"/>
      <c r="AF318" s="1008"/>
      <c r="AG318" s="951"/>
      <c r="AH318" s="952"/>
      <c r="AI318" s="953"/>
      <c r="AJ318" s="951"/>
      <c r="AK318" s="952"/>
      <c r="AL318" s="953"/>
      <c r="AM318" s="951"/>
      <c r="AN318" s="952"/>
      <c r="AO318" s="953"/>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700"/>
      <c r="D319" s="701"/>
      <c r="E319" s="654"/>
      <c r="F319" s="700"/>
      <c r="G319" s="701"/>
      <c r="H319" s="654"/>
      <c r="I319" s="700"/>
      <c r="J319" s="701"/>
      <c r="K319" s="654"/>
      <c r="L319" s="700"/>
      <c r="M319" s="701"/>
      <c r="N319" s="654"/>
      <c r="O319" s="700"/>
      <c r="P319" s="701"/>
      <c r="Q319" s="654"/>
      <c r="R319" s="700"/>
      <c r="S319" s="701"/>
      <c r="T319" s="654"/>
      <c r="U319" s="700"/>
      <c r="V319" s="701"/>
      <c r="W319" s="995"/>
      <c r="X319" s="700"/>
      <c r="Y319" s="701"/>
      <c r="Z319" s="995"/>
      <c r="AA319" s="700"/>
      <c r="AB319" s="701"/>
      <c r="AC319" s="995"/>
      <c r="AD319" s="700"/>
      <c r="AE319" s="701"/>
      <c r="AF319" s="995"/>
      <c r="AG319" s="700"/>
      <c r="AH319" s="701"/>
      <c r="AI319" s="654"/>
      <c r="AJ319" s="700"/>
      <c r="AK319" s="701"/>
      <c r="AL319" s="654"/>
      <c r="AM319" s="700"/>
      <c r="AN319" s="701"/>
      <c r="AO319" s="654"/>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106</v>
      </c>
      <c r="C320" s="618"/>
      <c r="D320" s="625"/>
      <c r="E320" s="619"/>
      <c r="F320" s="618"/>
      <c r="G320" s="625"/>
      <c r="H320" s="1009"/>
      <c r="I320" s="618"/>
      <c r="J320" s="625"/>
      <c r="K320" s="1009"/>
      <c r="L320" s="618"/>
      <c r="M320" s="625"/>
      <c r="N320" s="619"/>
      <c r="O320" s="618"/>
      <c r="P320" s="625"/>
      <c r="Q320" s="619"/>
      <c r="R320" s="618"/>
      <c r="S320" s="625"/>
      <c r="T320" s="619"/>
      <c r="U320" s="618"/>
      <c r="V320" s="625"/>
      <c r="W320" s="619"/>
      <c r="X320" s="618"/>
      <c r="Y320" s="625"/>
      <c r="Z320" s="619"/>
      <c r="AA320" s="618"/>
      <c r="AB320" s="625"/>
      <c r="AC320" s="619"/>
      <c r="AD320" s="618"/>
      <c r="AE320" s="625"/>
      <c r="AF320" s="619"/>
      <c r="AG320" s="618"/>
      <c r="AH320" s="625"/>
      <c r="AI320" s="619"/>
      <c r="AJ320" s="618"/>
      <c r="AK320" s="625"/>
      <c r="AL320" s="619"/>
      <c r="AM320" s="618"/>
      <c r="AN320" s="625"/>
      <c r="AO320" s="619"/>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116</v>
      </c>
      <c r="C321" s="618"/>
      <c r="D321" s="625"/>
      <c r="E321" s="639"/>
      <c r="F321" s="618"/>
      <c r="G321" s="625"/>
      <c r="H321" s="639"/>
      <c r="I321" s="618"/>
      <c r="J321" s="625"/>
      <c r="K321" s="639"/>
      <c r="L321" s="618"/>
      <c r="M321" s="625"/>
      <c r="N321" s="639"/>
      <c r="O321" s="618"/>
      <c r="P321" s="625"/>
      <c r="Q321" s="639"/>
      <c r="R321" s="618"/>
      <c r="S321" s="625"/>
      <c r="T321" s="639"/>
      <c r="U321" s="618"/>
      <c r="V321" s="625"/>
      <c r="W321" s="639"/>
      <c r="X321" s="618"/>
      <c r="Y321" s="625"/>
      <c r="Z321" s="639"/>
      <c r="AA321" s="618"/>
      <c r="AB321" s="625"/>
      <c r="AC321" s="639"/>
      <c r="AD321" s="618"/>
      <c r="AE321" s="625"/>
      <c r="AF321" s="639"/>
      <c r="AG321" s="618"/>
      <c r="AH321" s="625"/>
      <c r="AI321" s="639"/>
      <c r="AJ321" s="618"/>
      <c r="AK321" s="625"/>
      <c r="AL321" s="639"/>
      <c r="AM321" s="618"/>
      <c r="AN321" s="625"/>
      <c r="AO321" s="988"/>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117</v>
      </c>
      <c r="C322" s="618"/>
      <c r="D322" s="625"/>
      <c r="E322" s="639"/>
      <c r="F322" s="618"/>
      <c r="G322" s="625"/>
      <c r="H322" s="639"/>
      <c r="I322" s="618"/>
      <c r="J322" s="625"/>
      <c r="K322" s="639"/>
      <c r="L322" s="618"/>
      <c r="M322" s="625"/>
      <c r="N322" s="639"/>
      <c r="O322" s="618"/>
      <c r="P322" s="625"/>
      <c r="Q322" s="639"/>
      <c r="R322" s="618"/>
      <c r="S322" s="625"/>
      <c r="T322" s="639"/>
      <c r="U322" s="618"/>
      <c r="V322" s="625"/>
      <c r="W322" s="639"/>
      <c r="X322" s="618"/>
      <c r="Y322" s="625"/>
      <c r="Z322" s="639"/>
      <c r="AA322" s="618"/>
      <c r="AB322" s="625"/>
      <c r="AC322" s="639"/>
      <c r="AD322" s="618"/>
      <c r="AE322" s="625"/>
      <c r="AF322" s="639"/>
      <c r="AG322" s="618"/>
      <c r="AH322" s="625"/>
      <c r="AI322" s="639"/>
      <c r="AJ322" s="618"/>
      <c r="AK322" s="625"/>
      <c r="AL322" s="639"/>
      <c r="AM322" s="618"/>
      <c r="AN322" s="625"/>
      <c r="AO322" s="988"/>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118</v>
      </c>
      <c r="C323" s="890"/>
      <c r="D323" s="908"/>
      <c r="E323" s="910"/>
      <c r="F323" s="890"/>
      <c r="G323" s="908"/>
      <c r="H323" s="910"/>
      <c r="I323" s="890"/>
      <c r="J323" s="908"/>
      <c r="K323" s="910"/>
      <c r="L323" s="890"/>
      <c r="M323" s="908"/>
      <c r="N323" s="910"/>
      <c r="O323" s="890"/>
      <c r="P323" s="908"/>
      <c r="Q323" s="910"/>
      <c r="R323" s="890"/>
      <c r="S323" s="908"/>
      <c r="T323" s="910"/>
      <c r="U323" s="890"/>
      <c r="V323" s="908"/>
      <c r="W323" s="910"/>
      <c r="X323" s="890"/>
      <c r="Y323" s="908"/>
      <c r="Z323" s="910"/>
      <c r="AA323" s="890"/>
      <c r="AB323" s="908"/>
      <c r="AC323" s="910"/>
      <c r="AD323" s="890"/>
      <c r="AE323" s="908"/>
      <c r="AF323" s="910"/>
      <c r="AG323" s="890"/>
      <c r="AH323" s="908"/>
      <c r="AI323" s="910"/>
      <c r="AJ323" s="890"/>
      <c r="AK323" s="908"/>
      <c r="AL323" s="910"/>
      <c r="AM323" s="890"/>
      <c r="AN323" s="908"/>
      <c r="AO323" s="991"/>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119</v>
      </c>
      <c r="C324" s="618"/>
      <c r="D324" s="625"/>
      <c r="E324" s="639"/>
      <c r="F324" s="618"/>
      <c r="G324" s="625"/>
      <c r="H324" s="639"/>
      <c r="I324" s="618"/>
      <c r="J324" s="625"/>
      <c r="K324" s="639"/>
      <c r="L324" s="618"/>
      <c r="M324" s="625"/>
      <c r="N324" s="639"/>
      <c r="O324" s="618"/>
      <c r="P324" s="625"/>
      <c r="Q324" s="639"/>
      <c r="R324" s="618"/>
      <c r="S324" s="625"/>
      <c r="T324" s="639"/>
      <c r="U324" s="618"/>
      <c r="V324" s="625"/>
      <c r="W324" s="639"/>
      <c r="X324" s="618"/>
      <c r="Y324" s="625"/>
      <c r="Z324" s="639"/>
      <c r="AA324" s="618"/>
      <c r="AB324" s="625"/>
      <c r="AC324" s="639"/>
      <c r="AD324" s="618"/>
      <c r="AE324" s="625"/>
      <c r="AF324" s="639"/>
      <c r="AG324" s="618"/>
      <c r="AH324" s="625"/>
      <c r="AI324" s="639"/>
      <c r="AJ324" s="618"/>
      <c r="AK324" s="625"/>
      <c r="AL324" s="639"/>
      <c r="AM324" s="618"/>
      <c r="AN324" s="625"/>
      <c r="AO324" s="988"/>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55</v>
      </c>
      <c r="C325" s="618"/>
      <c r="D325" s="625"/>
      <c r="E325" s="639"/>
      <c r="F325" s="618"/>
      <c r="G325" s="625"/>
      <c r="H325" s="639"/>
      <c r="I325" s="618"/>
      <c r="J325" s="625"/>
      <c r="K325" s="639"/>
      <c r="L325" s="618"/>
      <c r="M325" s="625"/>
      <c r="N325" s="639"/>
      <c r="O325" s="618"/>
      <c r="P325" s="625"/>
      <c r="Q325" s="639"/>
      <c r="R325" s="618"/>
      <c r="S325" s="625"/>
      <c r="T325" s="639"/>
      <c r="U325" s="618"/>
      <c r="V325" s="625"/>
      <c r="W325" s="639"/>
      <c r="X325" s="618"/>
      <c r="Y325" s="625"/>
      <c r="Z325" s="639"/>
      <c r="AA325" s="618"/>
      <c r="AB325" s="625"/>
      <c r="AC325" s="639"/>
      <c r="AD325" s="618"/>
      <c r="AE325" s="625"/>
      <c r="AF325" s="639"/>
      <c r="AG325" s="618"/>
      <c r="AH325" s="625"/>
      <c r="AI325" s="639"/>
      <c r="AJ325" s="618"/>
      <c r="AK325" s="625"/>
      <c r="AL325" s="639"/>
      <c r="AM325" s="618"/>
      <c r="AN325" s="625"/>
      <c r="AO325" s="988"/>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55</v>
      </c>
      <c r="C326" s="618"/>
      <c r="D326" s="625"/>
      <c r="E326" s="639"/>
      <c r="F326" s="618"/>
      <c r="G326" s="625"/>
      <c r="H326" s="639"/>
      <c r="I326" s="618"/>
      <c r="J326" s="625"/>
      <c r="K326" s="639"/>
      <c r="L326" s="618"/>
      <c r="M326" s="625"/>
      <c r="N326" s="639"/>
      <c r="O326" s="618"/>
      <c r="P326" s="625"/>
      <c r="Q326" s="639"/>
      <c r="R326" s="618"/>
      <c r="S326" s="625"/>
      <c r="T326" s="639"/>
      <c r="U326" s="618"/>
      <c r="V326" s="625"/>
      <c r="W326" s="639"/>
      <c r="X326" s="618"/>
      <c r="Y326" s="625"/>
      <c r="Z326" s="639"/>
      <c r="AA326" s="618"/>
      <c r="AB326" s="625"/>
      <c r="AC326" s="639"/>
      <c r="AD326" s="618"/>
      <c r="AE326" s="625"/>
      <c r="AF326" s="639"/>
      <c r="AG326" s="618"/>
      <c r="AH326" s="625"/>
      <c r="AI326" s="639"/>
      <c r="AJ326" s="618"/>
      <c r="AK326" s="625"/>
      <c r="AL326" s="639"/>
      <c r="AM326" s="618"/>
      <c r="AN326" s="625"/>
      <c r="AO326" s="988"/>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55</v>
      </c>
      <c r="C327" s="618"/>
      <c r="D327" s="625"/>
      <c r="E327" s="639"/>
      <c r="F327" s="618"/>
      <c r="G327" s="625"/>
      <c r="H327" s="639"/>
      <c r="I327" s="618"/>
      <c r="J327" s="625"/>
      <c r="K327" s="639"/>
      <c r="L327" s="618"/>
      <c r="M327" s="625"/>
      <c r="N327" s="639"/>
      <c r="O327" s="618"/>
      <c r="P327" s="625"/>
      <c r="Q327" s="639"/>
      <c r="R327" s="618"/>
      <c r="S327" s="625"/>
      <c r="T327" s="639"/>
      <c r="U327" s="618"/>
      <c r="V327" s="625"/>
      <c r="W327" s="639"/>
      <c r="X327" s="618"/>
      <c r="Y327" s="625"/>
      <c r="Z327" s="639"/>
      <c r="AA327" s="618"/>
      <c r="AB327" s="625"/>
      <c r="AC327" s="639"/>
      <c r="AD327" s="618"/>
      <c r="AE327" s="625"/>
      <c r="AF327" s="639"/>
      <c r="AG327" s="618"/>
      <c r="AH327" s="625"/>
      <c r="AI327" s="639"/>
      <c r="AJ327" s="618"/>
      <c r="AK327" s="625"/>
      <c r="AL327" s="639"/>
      <c r="AM327" s="618"/>
      <c r="AN327" s="625"/>
      <c r="AO327" s="988"/>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120</v>
      </c>
      <c r="C328" s="618"/>
      <c r="D328" s="625"/>
      <c r="E328" s="639"/>
      <c r="F328" s="618"/>
      <c r="G328" s="625"/>
      <c r="H328" s="639"/>
      <c r="I328" s="618"/>
      <c r="J328" s="625"/>
      <c r="K328" s="639"/>
      <c r="L328" s="618"/>
      <c r="M328" s="625"/>
      <c r="N328" s="639"/>
      <c r="O328" s="618"/>
      <c r="P328" s="625"/>
      <c r="Q328" s="639"/>
      <c r="R328" s="618"/>
      <c r="S328" s="625"/>
      <c r="T328" s="639"/>
      <c r="U328" s="618"/>
      <c r="V328" s="625"/>
      <c r="W328" s="639"/>
      <c r="X328" s="618"/>
      <c r="Y328" s="625"/>
      <c r="Z328" s="639"/>
      <c r="AA328" s="618"/>
      <c r="AB328" s="625"/>
      <c r="AC328" s="639"/>
      <c r="AD328" s="618"/>
      <c r="AE328" s="625"/>
      <c r="AF328" s="639"/>
      <c r="AG328" s="618"/>
      <c r="AH328" s="625"/>
      <c r="AI328" s="639"/>
      <c r="AJ328" s="618"/>
      <c r="AK328" s="625"/>
      <c r="AL328" s="639"/>
      <c r="AM328" s="618"/>
      <c r="AN328" s="625"/>
      <c r="AO328" s="988"/>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121</v>
      </c>
      <c r="C329" s="890"/>
      <c r="D329" s="908"/>
      <c r="E329" s="910"/>
      <c r="F329" s="890"/>
      <c r="G329" s="908"/>
      <c r="H329" s="910"/>
      <c r="I329" s="890"/>
      <c r="J329" s="908"/>
      <c r="K329" s="910"/>
      <c r="L329" s="890"/>
      <c r="M329" s="908"/>
      <c r="N329" s="910"/>
      <c r="O329" s="890"/>
      <c r="P329" s="908"/>
      <c r="Q329" s="910"/>
      <c r="R329" s="890"/>
      <c r="S329" s="908"/>
      <c r="T329" s="1010"/>
      <c r="U329" s="890"/>
      <c r="V329" s="908"/>
      <c r="W329" s="910"/>
      <c r="X329" s="890"/>
      <c r="Y329" s="908"/>
      <c r="Z329" s="910"/>
      <c r="AA329" s="890"/>
      <c r="AB329" s="908"/>
      <c r="AC329" s="910"/>
      <c r="AD329" s="890"/>
      <c r="AE329" s="908"/>
      <c r="AF329" s="910"/>
      <c r="AG329" s="890"/>
      <c r="AH329" s="908"/>
      <c r="AI329" s="910"/>
      <c r="AJ329" s="890"/>
      <c r="AK329" s="908"/>
      <c r="AL329" s="910"/>
      <c r="AM329" s="890"/>
      <c r="AN329" s="908"/>
      <c r="AO329" s="991"/>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122</v>
      </c>
      <c r="C330" s="618"/>
      <c r="D330" s="625"/>
      <c r="E330" s="639"/>
      <c r="F330" s="618"/>
      <c r="G330" s="625"/>
      <c r="H330" s="639"/>
      <c r="I330" s="618"/>
      <c r="J330" s="625"/>
      <c r="K330" s="639"/>
      <c r="L330" s="618"/>
      <c r="M330" s="625"/>
      <c r="N330" s="639"/>
      <c r="O330" s="618"/>
      <c r="P330" s="625"/>
      <c r="Q330" s="639"/>
      <c r="R330" s="618"/>
      <c r="S330" s="625"/>
      <c r="T330" s="639"/>
      <c r="U330" s="618"/>
      <c r="V330" s="625"/>
      <c r="W330" s="639"/>
      <c r="X330" s="618"/>
      <c r="Y330" s="625"/>
      <c r="Z330" s="639"/>
      <c r="AA330" s="618"/>
      <c r="AB330" s="625"/>
      <c r="AC330" s="639"/>
      <c r="AD330" s="618"/>
      <c r="AE330" s="625"/>
      <c r="AF330" s="639"/>
      <c r="AG330" s="618"/>
      <c r="AH330" s="625"/>
      <c r="AI330" s="639"/>
      <c r="AJ330" s="618"/>
      <c r="AK330" s="625"/>
      <c r="AL330" s="639"/>
      <c r="AM330" s="618"/>
      <c r="AN330" s="625"/>
      <c r="AO330" s="988"/>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123</v>
      </c>
      <c r="C331" s="618"/>
      <c r="D331" s="625"/>
      <c r="E331" s="639"/>
      <c r="F331" s="618"/>
      <c r="G331" s="625"/>
      <c r="H331" s="639"/>
      <c r="I331" s="618"/>
      <c r="J331" s="625"/>
      <c r="K331" s="639"/>
      <c r="L331" s="618"/>
      <c r="M331" s="625"/>
      <c r="N331" s="639"/>
      <c r="O331" s="618"/>
      <c r="P331" s="625"/>
      <c r="Q331" s="639"/>
      <c r="R331" s="618"/>
      <c r="S331" s="625"/>
      <c r="T331" s="1004"/>
      <c r="U331" s="618"/>
      <c r="V331" s="625"/>
      <c r="W331" s="639"/>
      <c r="X331" s="618"/>
      <c r="Y331" s="625"/>
      <c r="Z331" s="639"/>
      <c r="AA331" s="618"/>
      <c r="AB331" s="625"/>
      <c r="AC331" s="639"/>
      <c r="AD331" s="618"/>
      <c r="AE331" s="625"/>
      <c r="AF331" s="639"/>
      <c r="AG331" s="618"/>
      <c r="AH331" s="625"/>
      <c r="AI331" s="639"/>
      <c r="AJ331" s="618"/>
      <c r="AK331" s="625"/>
      <c r="AL331" s="639"/>
      <c r="AM331" s="618"/>
      <c r="AN331" s="625"/>
      <c r="AO331" s="988"/>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55</v>
      </c>
      <c r="C332" s="644"/>
      <c r="D332" s="645"/>
      <c r="E332" s="642"/>
      <c r="F332" s="644"/>
      <c r="G332" s="645"/>
      <c r="H332" s="642"/>
      <c r="I332" s="644"/>
      <c r="J332" s="645"/>
      <c r="K332" s="642"/>
      <c r="L332" s="644"/>
      <c r="M332" s="645"/>
      <c r="N332" s="642"/>
      <c r="O332" s="644"/>
      <c r="P332" s="645"/>
      <c r="Q332" s="642"/>
      <c r="R332" s="644"/>
      <c r="S332" s="645"/>
      <c r="T332" s="642"/>
      <c r="U332" s="644"/>
      <c r="V332" s="645"/>
      <c r="W332" s="642"/>
      <c r="X332" s="644"/>
      <c r="Y332" s="645"/>
      <c r="Z332" s="642"/>
      <c r="AA332" s="644"/>
      <c r="AB332" s="645"/>
      <c r="AC332" s="642"/>
      <c r="AD332" s="644"/>
      <c r="AE332" s="645"/>
      <c r="AF332" s="642"/>
      <c r="AG332" s="644"/>
      <c r="AH332" s="645"/>
      <c r="AI332" s="642"/>
      <c r="AJ332" s="644"/>
      <c r="AK332" s="645"/>
      <c r="AL332" s="642"/>
      <c r="AM332" s="644"/>
      <c r="AN332" s="645"/>
      <c r="AO332" s="1011"/>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124</v>
      </c>
      <c r="C333" s="903"/>
      <c r="D333" s="904"/>
      <c r="E333" s="905"/>
      <c r="F333" s="903"/>
      <c r="G333" s="904"/>
      <c r="H333" s="905"/>
      <c r="I333" s="903"/>
      <c r="J333" s="904"/>
      <c r="K333" s="905"/>
      <c r="L333" s="903"/>
      <c r="M333" s="904"/>
      <c r="N333" s="905"/>
      <c r="O333" s="903"/>
      <c r="P333" s="904"/>
      <c r="Q333" s="905"/>
      <c r="R333" s="903"/>
      <c r="S333" s="904"/>
      <c r="T333" s="905"/>
      <c r="U333" s="903"/>
      <c r="V333" s="904"/>
      <c r="W333" s="990"/>
      <c r="X333" s="903"/>
      <c r="Y333" s="904"/>
      <c r="Z333" s="990"/>
      <c r="AA333" s="903"/>
      <c r="AB333" s="904"/>
      <c r="AC333" s="990"/>
      <c r="AD333" s="903"/>
      <c r="AE333" s="904"/>
      <c r="AF333" s="990"/>
      <c r="AG333" s="903"/>
      <c r="AH333" s="904"/>
      <c r="AI333" s="905"/>
      <c r="AJ333" s="903"/>
      <c r="AK333" s="904"/>
      <c r="AL333" s="905"/>
      <c r="AM333" s="903"/>
      <c r="AN333" s="904"/>
      <c r="AO333" s="905"/>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125</v>
      </c>
      <c r="C334" s="618"/>
      <c r="D334" s="625"/>
      <c r="E334" s="639"/>
      <c r="F334" s="618"/>
      <c r="G334" s="625"/>
      <c r="H334" s="639"/>
      <c r="I334" s="618"/>
      <c r="J334" s="625"/>
      <c r="K334" s="639"/>
      <c r="L334" s="618"/>
      <c r="M334" s="625"/>
      <c r="N334" s="639"/>
      <c r="O334" s="618"/>
      <c r="P334" s="625"/>
      <c r="Q334" s="639"/>
      <c r="R334" s="618"/>
      <c r="S334" s="625"/>
      <c r="T334" s="639"/>
      <c r="U334" s="618"/>
      <c r="V334" s="625"/>
      <c r="W334" s="639"/>
      <c r="X334" s="618"/>
      <c r="Y334" s="625"/>
      <c r="Z334" s="639"/>
      <c r="AA334" s="618"/>
      <c r="AB334" s="625"/>
      <c r="AC334" s="639"/>
      <c r="AD334" s="618"/>
      <c r="AE334" s="625"/>
      <c r="AF334" s="639"/>
      <c r="AG334" s="618"/>
      <c r="AH334" s="625"/>
      <c r="AI334" s="639"/>
      <c r="AJ334" s="618"/>
      <c r="AK334" s="625"/>
      <c r="AL334" s="639"/>
      <c r="AM334" s="618"/>
      <c r="AN334" s="625"/>
      <c r="AO334" s="988"/>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126</v>
      </c>
      <c r="C335" s="618"/>
      <c r="D335" s="625"/>
      <c r="E335" s="639"/>
      <c r="F335" s="618"/>
      <c r="G335" s="625"/>
      <c r="H335" s="639"/>
      <c r="I335" s="618"/>
      <c r="J335" s="625"/>
      <c r="K335" s="639"/>
      <c r="L335" s="618"/>
      <c r="M335" s="625"/>
      <c r="N335" s="639"/>
      <c r="O335" s="618"/>
      <c r="P335" s="625"/>
      <c r="Q335" s="639"/>
      <c r="R335" s="618"/>
      <c r="S335" s="625"/>
      <c r="T335" s="639"/>
      <c r="U335" s="618"/>
      <c r="V335" s="625"/>
      <c r="W335" s="639"/>
      <c r="X335" s="618"/>
      <c r="Y335" s="625"/>
      <c r="Z335" s="639"/>
      <c r="AA335" s="618"/>
      <c r="AB335" s="625"/>
      <c r="AC335" s="639"/>
      <c r="AD335" s="618"/>
      <c r="AE335" s="625"/>
      <c r="AF335" s="639"/>
      <c r="AG335" s="618"/>
      <c r="AH335" s="625"/>
      <c r="AI335" s="639"/>
      <c r="AJ335" s="618"/>
      <c r="AK335" s="625"/>
      <c r="AL335" s="639"/>
      <c r="AM335" s="618"/>
      <c r="AN335" s="625"/>
      <c r="AO335" s="988"/>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127</v>
      </c>
      <c r="C336" s="644"/>
      <c r="D336" s="645"/>
      <c r="E336" s="643"/>
      <c r="F336" s="644"/>
      <c r="G336" s="645"/>
      <c r="H336" s="643"/>
      <c r="I336" s="644"/>
      <c r="J336" s="645"/>
      <c r="K336" s="643"/>
      <c r="L336" s="644"/>
      <c r="M336" s="645"/>
      <c r="N336" s="643"/>
      <c r="O336" s="644"/>
      <c r="P336" s="645"/>
      <c r="Q336" s="643"/>
      <c r="R336" s="644"/>
      <c r="S336" s="645"/>
      <c r="T336" s="643"/>
      <c r="U336" s="644"/>
      <c r="V336" s="645"/>
      <c r="W336" s="643"/>
      <c r="X336" s="644"/>
      <c r="Y336" s="645"/>
      <c r="Z336" s="643"/>
      <c r="AA336" s="644"/>
      <c r="AB336" s="645"/>
      <c r="AC336" s="643"/>
      <c r="AD336" s="644"/>
      <c r="AE336" s="645"/>
      <c r="AF336" s="643"/>
      <c r="AG336" s="644"/>
      <c r="AH336" s="645"/>
      <c r="AI336" s="643"/>
      <c r="AJ336" s="644"/>
      <c r="AK336" s="645"/>
      <c r="AL336" s="643"/>
      <c r="AM336" s="644"/>
      <c r="AN336" s="645"/>
      <c r="AO336" s="989"/>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128</v>
      </c>
      <c r="C337" s="618"/>
      <c r="D337" s="625"/>
      <c r="E337" s="639"/>
      <c r="F337" s="618"/>
      <c r="G337" s="625"/>
      <c r="H337" s="639"/>
      <c r="I337" s="618"/>
      <c r="J337" s="625"/>
      <c r="K337" s="639"/>
      <c r="L337" s="618"/>
      <c r="M337" s="625"/>
      <c r="N337" s="639"/>
      <c r="O337" s="618"/>
      <c r="P337" s="625"/>
      <c r="Q337" s="639"/>
      <c r="R337" s="618"/>
      <c r="S337" s="625"/>
      <c r="T337" s="639"/>
      <c r="U337" s="618"/>
      <c r="V337" s="625"/>
      <c r="W337" s="639"/>
      <c r="X337" s="618"/>
      <c r="Y337" s="625"/>
      <c r="Z337" s="639"/>
      <c r="AA337" s="618"/>
      <c r="AB337" s="625"/>
      <c r="AC337" s="639"/>
      <c r="AD337" s="618"/>
      <c r="AE337" s="625"/>
      <c r="AF337" s="639"/>
      <c r="AG337" s="618"/>
      <c r="AH337" s="625"/>
      <c r="AI337" s="639"/>
      <c r="AJ337" s="618"/>
      <c r="AK337" s="625"/>
      <c r="AL337" s="639"/>
      <c r="AM337" s="618"/>
      <c r="AN337" s="625"/>
      <c r="AO337" s="988"/>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129</v>
      </c>
      <c r="C338" s="618"/>
      <c r="D338" s="625"/>
      <c r="E338" s="639"/>
      <c r="F338" s="618"/>
      <c r="G338" s="625"/>
      <c r="H338" s="639"/>
      <c r="I338" s="618"/>
      <c r="J338" s="625"/>
      <c r="K338" s="639"/>
      <c r="L338" s="618"/>
      <c r="M338" s="625"/>
      <c r="N338" s="639"/>
      <c r="O338" s="618"/>
      <c r="P338" s="625"/>
      <c r="Q338" s="639"/>
      <c r="R338" s="618"/>
      <c r="S338" s="625"/>
      <c r="T338" s="639"/>
      <c r="U338" s="618"/>
      <c r="V338" s="625"/>
      <c r="W338" s="639"/>
      <c r="X338" s="618"/>
      <c r="Y338" s="625"/>
      <c r="Z338" s="639"/>
      <c r="AA338" s="618"/>
      <c r="AB338" s="625"/>
      <c r="AC338" s="639"/>
      <c r="AD338" s="618"/>
      <c r="AE338" s="625"/>
      <c r="AF338" s="639"/>
      <c r="AG338" s="618"/>
      <c r="AH338" s="625"/>
      <c r="AI338" s="639"/>
      <c r="AJ338" s="618"/>
      <c r="AK338" s="625"/>
      <c r="AL338" s="639"/>
      <c r="AM338" s="618"/>
      <c r="AN338" s="625"/>
      <c r="AO338" s="988"/>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130</v>
      </c>
      <c r="C339" s="644"/>
      <c r="D339" s="645"/>
      <c r="E339" s="643"/>
      <c r="F339" s="644"/>
      <c r="G339" s="645"/>
      <c r="H339" s="643"/>
      <c r="I339" s="644"/>
      <c r="J339" s="645"/>
      <c r="K339" s="643"/>
      <c r="L339" s="644"/>
      <c r="M339" s="645"/>
      <c r="N339" s="643"/>
      <c r="O339" s="644"/>
      <c r="P339" s="645"/>
      <c r="Q339" s="643"/>
      <c r="R339" s="644"/>
      <c r="S339" s="645"/>
      <c r="T339" s="643"/>
      <c r="U339" s="644"/>
      <c r="V339" s="645"/>
      <c r="W339" s="643"/>
      <c r="X339" s="644"/>
      <c r="Y339" s="645"/>
      <c r="Z339" s="643"/>
      <c r="AA339" s="644"/>
      <c r="AB339" s="645"/>
      <c r="AC339" s="643"/>
      <c r="AD339" s="644"/>
      <c r="AE339" s="645"/>
      <c r="AF339" s="643"/>
      <c r="AG339" s="644"/>
      <c r="AH339" s="645"/>
      <c r="AI339" s="643"/>
      <c r="AJ339" s="644"/>
      <c r="AK339" s="645"/>
      <c r="AL339" s="643"/>
      <c r="AM339" s="644"/>
      <c r="AN339" s="645"/>
      <c r="AO339" s="989"/>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483</v>
      </c>
      <c r="C340" s="618"/>
      <c r="D340" s="625"/>
      <c r="E340" s="639"/>
      <c r="F340" s="618"/>
      <c r="G340" s="625"/>
      <c r="H340" s="639"/>
      <c r="I340" s="618"/>
      <c r="J340" s="625"/>
      <c r="K340" s="639"/>
      <c r="L340" s="618"/>
      <c r="M340" s="625"/>
      <c r="N340" s="639"/>
      <c r="O340" s="618"/>
      <c r="P340" s="625"/>
      <c r="Q340" s="639"/>
      <c r="R340" s="618"/>
      <c r="S340" s="625"/>
      <c r="T340" s="639"/>
      <c r="U340" s="618"/>
      <c r="V340" s="625"/>
      <c r="W340" s="639"/>
      <c r="X340" s="618"/>
      <c r="Y340" s="625"/>
      <c r="Z340" s="639"/>
      <c r="AA340" s="618"/>
      <c r="AB340" s="625"/>
      <c r="AC340" s="639"/>
      <c r="AD340" s="618"/>
      <c r="AE340" s="625"/>
      <c r="AF340" s="639"/>
      <c r="AG340" s="618"/>
      <c r="AH340" s="625"/>
      <c r="AI340" s="639"/>
      <c r="AJ340" s="618"/>
      <c r="AK340" s="625"/>
      <c r="AL340" s="639"/>
      <c r="AM340" s="618"/>
      <c r="AN340" s="625"/>
      <c r="AO340" s="988"/>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131</v>
      </c>
      <c r="C341" s="618"/>
      <c r="D341" s="625"/>
      <c r="E341" s="639"/>
      <c r="F341" s="618"/>
      <c r="G341" s="625"/>
      <c r="H341" s="639"/>
      <c r="I341" s="618"/>
      <c r="J341" s="625"/>
      <c r="K341" s="639"/>
      <c r="L341" s="618"/>
      <c r="M341" s="625"/>
      <c r="N341" s="639"/>
      <c r="O341" s="618"/>
      <c r="P341" s="625"/>
      <c r="Q341" s="639"/>
      <c r="R341" s="618"/>
      <c r="S341" s="625"/>
      <c r="T341" s="639"/>
      <c r="U341" s="618"/>
      <c r="V341" s="625"/>
      <c r="W341" s="639"/>
      <c r="X341" s="618"/>
      <c r="Y341" s="625"/>
      <c r="Z341" s="639"/>
      <c r="AA341" s="618"/>
      <c r="AB341" s="625"/>
      <c r="AC341" s="639"/>
      <c r="AD341" s="618"/>
      <c r="AE341" s="625"/>
      <c r="AF341" s="639"/>
      <c r="AG341" s="618"/>
      <c r="AH341" s="625"/>
      <c r="AI341" s="639"/>
      <c r="AJ341" s="618"/>
      <c r="AK341" s="625"/>
      <c r="AL341" s="639"/>
      <c r="AM341" s="618"/>
      <c r="AN341" s="625"/>
      <c r="AO341" s="988"/>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132</v>
      </c>
      <c r="C342" s="618"/>
      <c r="D342" s="625"/>
      <c r="E342" s="639"/>
      <c r="F342" s="618"/>
      <c r="G342" s="625"/>
      <c r="H342" s="639"/>
      <c r="I342" s="618"/>
      <c r="J342" s="625"/>
      <c r="K342" s="639"/>
      <c r="L342" s="618"/>
      <c r="M342" s="625"/>
      <c r="N342" s="639"/>
      <c r="O342" s="618"/>
      <c r="P342" s="625"/>
      <c r="Q342" s="639"/>
      <c r="R342" s="618"/>
      <c r="S342" s="625"/>
      <c r="T342" s="639"/>
      <c r="U342" s="618"/>
      <c r="V342" s="625"/>
      <c r="W342" s="639"/>
      <c r="X342" s="618"/>
      <c r="Y342" s="625"/>
      <c r="Z342" s="639"/>
      <c r="AA342" s="618"/>
      <c r="AB342" s="625"/>
      <c r="AC342" s="639"/>
      <c r="AD342" s="618"/>
      <c r="AE342" s="625"/>
      <c r="AF342" s="639"/>
      <c r="AG342" s="618"/>
      <c r="AH342" s="625"/>
      <c r="AI342" s="639"/>
      <c r="AJ342" s="618"/>
      <c r="AK342" s="625"/>
      <c r="AL342" s="639"/>
      <c r="AM342" s="618"/>
      <c r="AN342" s="625"/>
      <c r="AO342" s="988"/>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133</v>
      </c>
      <c r="C343" s="618"/>
      <c r="D343" s="625"/>
      <c r="E343" s="639"/>
      <c r="F343" s="618"/>
      <c r="G343" s="625"/>
      <c r="H343" s="639"/>
      <c r="I343" s="618"/>
      <c r="J343" s="625"/>
      <c r="K343" s="639"/>
      <c r="L343" s="618"/>
      <c r="M343" s="625"/>
      <c r="N343" s="639"/>
      <c r="O343" s="618"/>
      <c r="P343" s="625"/>
      <c r="Q343" s="639"/>
      <c r="R343" s="618"/>
      <c r="S343" s="625"/>
      <c r="T343" s="639"/>
      <c r="U343" s="618"/>
      <c r="V343" s="625"/>
      <c r="W343" s="639"/>
      <c r="X343" s="618"/>
      <c r="Y343" s="625"/>
      <c r="Z343" s="639"/>
      <c r="AA343" s="618"/>
      <c r="AB343" s="625"/>
      <c r="AC343" s="639"/>
      <c r="AD343" s="618"/>
      <c r="AE343" s="625"/>
      <c r="AF343" s="639"/>
      <c r="AG343" s="618"/>
      <c r="AH343" s="625"/>
      <c r="AI343" s="639"/>
      <c r="AJ343" s="618"/>
      <c r="AK343" s="625"/>
      <c r="AL343" s="639"/>
      <c r="AM343" s="618"/>
      <c r="AN343" s="625"/>
      <c r="AO343" s="988"/>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134</v>
      </c>
      <c r="C344" s="618"/>
      <c r="D344" s="625"/>
      <c r="E344" s="639"/>
      <c r="F344" s="618"/>
      <c r="G344" s="625"/>
      <c r="H344" s="639"/>
      <c r="I344" s="618"/>
      <c r="J344" s="625"/>
      <c r="K344" s="639"/>
      <c r="L344" s="618"/>
      <c r="M344" s="625"/>
      <c r="N344" s="639"/>
      <c r="O344" s="618"/>
      <c r="P344" s="625"/>
      <c r="Q344" s="639"/>
      <c r="R344" s="618"/>
      <c r="S344" s="625"/>
      <c r="T344" s="639"/>
      <c r="U344" s="618"/>
      <c r="V344" s="625"/>
      <c r="W344" s="639"/>
      <c r="X344" s="618"/>
      <c r="Y344" s="625"/>
      <c r="Z344" s="639"/>
      <c r="AA344" s="618"/>
      <c r="AB344" s="625"/>
      <c r="AC344" s="639"/>
      <c r="AD344" s="618"/>
      <c r="AE344" s="625"/>
      <c r="AF344" s="639"/>
      <c r="AG344" s="618"/>
      <c r="AH344" s="625"/>
      <c r="AI344" s="639"/>
      <c r="AJ344" s="618"/>
      <c r="AK344" s="625"/>
      <c r="AL344" s="639"/>
      <c r="AM344" s="618"/>
      <c r="AN344" s="625"/>
      <c r="AO344" s="988"/>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135</v>
      </c>
      <c r="C345" s="618"/>
      <c r="D345" s="625"/>
      <c r="E345" s="639"/>
      <c r="F345" s="618"/>
      <c r="G345" s="625"/>
      <c r="H345" s="639"/>
      <c r="I345" s="618"/>
      <c r="J345" s="625"/>
      <c r="K345" s="639"/>
      <c r="L345" s="618"/>
      <c r="M345" s="625"/>
      <c r="N345" s="639"/>
      <c r="O345" s="618"/>
      <c r="P345" s="625"/>
      <c r="Q345" s="639"/>
      <c r="R345" s="618"/>
      <c r="S345" s="625"/>
      <c r="T345" s="639"/>
      <c r="U345" s="618"/>
      <c r="V345" s="625"/>
      <c r="W345" s="639"/>
      <c r="X345" s="618"/>
      <c r="Y345" s="625"/>
      <c r="Z345" s="639"/>
      <c r="AA345" s="618"/>
      <c r="AB345" s="625"/>
      <c r="AC345" s="639"/>
      <c r="AD345" s="618"/>
      <c r="AE345" s="625"/>
      <c r="AF345" s="639"/>
      <c r="AG345" s="618"/>
      <c r="AH345" s="625"/>
      <c r="AI345" s="639"/>
      <c r="AJ345" s="618"/>
      <c r="AK345" s="625"/>
      <c r="AL345" s="639"/>
      <c r="AM345" s="618"/>
      <c r="AN345" s="625"/>
      <c r="AO345" s="988"/>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136</v>
      </c>
      <c r="C346" s="618"/>
      <c r="D346" s="625"/>
      <c r="E346" s="639"/>
      <c r="F346" s="618"/>
      <c r="G346" s="625"/>
      <c r="H346" s="639"/>
      <c r="I346" s="618"/>
      <c r="J346" s="625"/>
      <c r="K346" s="639"/>
      <c r="L346" s="618"/>
      <c r="M346" s="625"/>
      <c r="N346" s="639"/>
      <c r="O346" s="618"/>
      <c r="P346" s="625"/>
      <c r="Q346" s="639"/>
      <c r="R346" s="618"/>
      <c r="S346" s="625"/>
      <c r="T346" s="639"/>
      <c r="U346" s="618"/>
      <c r="V346" s="625"/>
      <c r="W346" s="639"/>
      <c r="X346" s="618"/>
      <c r="Y346" s="625"/>
      <c r="Z346" s="639"/>
      <c r="AA346" s="618"/>
      <c r="AB346" s="625"/>
      <c r="AC346" s="639"/>
      <c r="AD346" s="618"/>
      <c r="AE346" s="625"/>
      <c r="AF346" s="639"/>
      <c r="AG346" s="618"/>
      <c r="AH346" s="625"/>
      <c r="AI346" s="639"/>
      <c r="AJ346" s="618"/>
      <c r="AK346" s="625"/>
      <c r="AL346" s="639"/>
      <c r="AM346" s="618"/>
      <c r="AN346" s="625"/>
      <c r="AO346" s="988"/>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137</v>
      </c>
      <c r="C347" s="618"/>
      <c r="D347" s="625"/>
      <c r="E347" s="639"/>
      <c r="F347" s="618"/>
      <c r="G347" s="625"/>
      <c r="H347" s="639"/>
      <c r="I347" s="618"/>
      <c r="J347" s="625"/>
      <c r="K347" s="639"/>
      <c r="L347" s="618"/>
      <c r="M347" s="625"/>
      <c r="N347" s="639"/>
      <c r="O347" s="618"/>
      <c r="P347" s="625"/>
      <c r="Q347" s="639"/>
      <c r="R347" s="618"/>
      <c r="S347" s="625"/>
      <c r="T347" s="639"/>
      <c r="U347" s="618"/>
      <c r="V347" s="625"/>
      <c r="W347" s="639"/>
      <c r="X347" s="618"/>
      <c r="Y347" s="625"/>
      <c r="Z347" s="639"/>
      <c r="AA347" s="618"/>
      <c r="AB347" s="625"/>
      <c r="AC347" s="639"/>
      <c r="AD347" s="618"/>
      <c r="AE347" s="625"/>
      <c r="AF347" s="639"/>
      <c r="AG347" s="618"/>
      <c r="AH347" s="625"/>
      <c r="AI347" s="639"/>
      <c r="AJ347" s="618"/>
      <c r="AK347" s="625"/>
      <c r="AL347" s="639"/>
      <c r="AM347" s="618"/>
      <c r="AN347" s="625"/>
      <c r="AO347" s="988"/>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138</v>
      </c>
      <c r="C348" s="618"/>
      <c r="D348" s="625"/>
      <c r="E348" s="639"/>
      <c r="F348" s="618"/>
      <c r="G348" s="625"/>
      <c r="H348" s="639"/>
      <c r="I348" s="618"/>
      <c r="J348" s="625"/>
      <c r="K348" s="639"/>
      <c r="L348" s="618"/>
      <c r="M348" s="625"/>
      <c r="N348" s="639"/>
      <c r="O348" s="618"/>
      <c r="P348" s="625"/>
      <c r="Q348" s="639"/>
      <c r="R348" s="618"/>
      <c r="S348" s="625"/>
      <c r="T348" s="639"/>
      <c r="U348" s="618"/>
      <c r="V348" s="625"/>
      <c r="W348" s="639"/>
      <c r="X348" s="618"/>
      <c r="Y348" s="625"/>
      <c r="Z348" s="639"/>
      <c r="AA348" s="618"/>
      <c r="AB348" s="625"/>
      <c r="AC348" s="639"/>
      <c r="AD348" s="618"/>
      <c r="AE348" s="625"/>
      <c r="AF348" s="639"/>
      <c r="AG348" s="618"/>
      <c r="AH348" s="625"/>
      <c r="AI348" s="639"/>
      <c r="AJ348" s="618"/>
      <c r="AK348" s="625"/>
      <c r="AL348" s="639"/>
      <c r="AM348" s="618"/>
      <c r="AN348" s="625"/>
      <c r="AO348" s="988"/>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55</v>
      </c>
      <c r="C349" s="618"/>
      <c r="D349" s="625"/>
      <c r="E349" s="626"/>
      <c r="F349" s="618"/>
      <c r="G349" s="625"/>
      <c r="H349" s="626"/>
      <c r="I349" s="618"/>
      <c r="J349" s="625"/>
      <c r="K349" s="626"/>
      <c r="L349" s="618"/>
      <c r="M349" s="625"/>
      <c r="N349" s="626"/>
      <c r="O349" s="618"/>
      <c r="P349" s="625"/>
      <c r="Q349" s="626"/>
      <c r="R349" s="618"/>
      <c r="S349" s="625"/>
      <c r="T349" s="626"/>
      <c r="U349" s="618"/>
      <c r="V349" s="625"/>
      <c r="W349" s="626"/>
      <c r="X349" s="618"/>
      <c r="Y349" s="625"/>
      <c r="Z349" s="626"/>
      <c r="AA349" s="618"/>
      <c r="AB349" s="625"/>
      <c r="AC349" s="626"/>
      <c r="AD349" s="618"/>
      <c r="AE349" s="625"/>
      <c r="AF349" s="626"/>
      <c r="AG349" s="618"/>
      <c r="AH349" s="625"/>
      <c r="AI349" s="626"/>
      <c r="AJ349" s="618"/>
      <c r="AK349" s="625"/>
      <c r="AL349" s="626"/>
      <c r="AM349" s="618"/>
      <c r="AN349" s="625"/>
      <c r="AO349" s="626"/>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55</v>
      </c>
      <c r="C350" s="618"/>
      <c r="D350" s="625"/>
      <c r="E350" s="626"/>
      <c r="F350" s="618"/>
      <c r="G350" s="625"/>
      <c r="H350" s="626"/>
      <c r="I350" s="618"/>
      <c r="J350" s="625"/>
      <c r="K350" s="626"/>
      <c r="L350" s="618"/>
      <c r="M350" s="625"/>
      <c r="N350" s="626"/>
      <c r="O350" s="618"/>
      <c r="P350" s="625"/>
      <c r="Q350" s="626"/>
      <c r="R350" s="618"/>
      <c r="S350" s="625"/>
      <c r="T350" s="626"/>
      <c r="U350" s="618"/>
      <c r="V350" s="625"/>
      <c r="W350" s="626"/>
      <c r="X350" s="618"/>
      <c r="Y350" s="625"/>
      <c r="Z350" s="626"/>
      <c r="AA350" s="618"/>
      <c r="AB350" s="625"/>
      <c r="AC350" s="626"/>
      <c r="AD350" s="618"/>
      <c r="AE350" s="625"/>
      <c r="AF350" s="626"/>
      <c r="AG350" s="618"/>
      <c r="AH350" s="625"/>
      <c r="AI350" s="626"/>
      <c r="AJ350" s="618"/>
      <c r="AK350" s="625"/>
      <c r="AL350" s="626"/>
      <c r="AM350" s="618"/>
      <c r="AN350" s="625"/>
      <c r="AO350" s="626"/>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55</v>
      </c>
      <c r="C351" s="618"/>
      <c r="D351" s="625"/>
      <c r="E351" s="626"/>
      <c r="F351" s="618"/>
      <c r="G351" s="625"/>
      <c r="H351" s="626"/>
      <c r="I351" s="618"/>
      <c r="J351" s="625"/>
      <c r="K351" s="626"/>
      <c r="L351" s="618"/>
      <c r="M351" s="625"/>
      <c r="N351" s="626"/>
      <c r="O351" s="618"/>
      <c r="P351" s="625"/>
      <c r="Q351" s="626"/>
      <c r="R351" s="618"/>
      <c r="S351" s="625"/>
      <c r="T351" s="626"/>
      <c r="U351" s="618"/>
      <c r="V351" s="625"/>
      <c r="W351" s="626"/>
      <c r="X351" s="618"/>
      <c r="Y351" s="625"/>
      <c r="Z351" s="626"/>
      <c r="AA351" s="618"/>
      <c r="AB351" s="625"/>
      <c r="AC351" s="626"/>
      <c r="AD351" s="618"/>
      <c r="AE351" s="625"/>
      <c r="AF351" s="626"/>
      <c r="AG351" s="618"/>
      <c r="AH351" s="625"/>
      <c r="AI351" s="626"/>
      <c r="AJ351" s="618"/>
      <c r="AK351" s="625"/>
      <c r="AL351" s="626"/>
      <c r="AM351" s="618"/>
      <c r="AN351" s="625"/>
      <c r="AO351" s="626"/>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139</v>
      </c>
      <c r="C352" s="903"/>
      <c r="D352" s="904"/>
      <c r="E352" s="905"/>
      <c r="F352" s="903"/>
      <c r="G352" s="904"/>
      <c r="H352" s="905"/>
      <c r="I352" s="903"/>
      <c r="J352" s="904"/>
      <c r="K352" s="905"/>
      <c r="L352" s="903"/>
      <c r="M352" s="904"/>
      <c r="N352" s="905"/>
      <c r="O352" s="903"/>
      <c r="P352" s="904"/>
      <c r="Q352" s="905"/>
      <c r="R352" s="903"/>
      <c r="S352" s="904"/>
      <c r="T352" s="905"/>
      <c r="U352" s="903"/>
      <c r="V352" s="904"/>
      <c r="W352" s="990"/>
      <c r="X352" s="903"/>
      <c r="Y352" s="904"/>
      <c r="Z352" s="990"/>
      <c r="AA352" s="903"/>
      <c r="AB352" s="904"/>
      <c r="AC352" s="990"/>
      <c r="AD352" s="903"/>
      <c r="AE352" s="904"/>
      <c r="AF352" s="990"/>
      <c r="AG352" s="903"/>
      <c r="AH352" s="904"/>
      <c r="AI352" s="905"/>
      <c r="AJ352" s="903"/>
      <c r="AK352" s="904"/>
      <c r="AL352" s="905"/>
      <c r="AM352" s="903"/>
      <c r="AN352" s="904"/>
      <c r="AO352" s="905"/>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644"/>
      <c r="D353" s="645"/>
      <c r="E353" s="642"/>
      <c r="F353" s="644"/>
      <c r="G353" s="645"/>
      <c r="H353" s="642"/>
      <c r="I353" s="644"/>
      <c r="J353" s="645"/>
      <c r="K353" s="642"/>
      <c r="L353" s="644"/>
      <c r="M353" s="645"/>
      <c r="N353" s="642"/>
      <c r="O353" s="644"/>
      <c r="P353" s="645"/>
      <c r="Q353" s="642"/>
      <c r="R353" s="644"/>
      <c r="S353" s="645"/>
      <c r="T353" s="642"/>
      <c r="U353" s="644"/>
      <c r="V353" s="645"/>
      <c r="W353" s="642"/>
      <c r="X353" s="644"/>
      <c r="Y353" s="645"/>
      <c r="Z353" s="642"/>
      <c r="AA353" s="644"/>
      <c r="AB353" s="645"/>
      <c r="AC353" s="642"/>
      <c r="AD353" s="644"/>
      <c r="AE353" s="645"/>
      <c r="AF353" s="642"/>
      <c r="AG353" s="644"/>
      <c r="AH353" s="645"/>
      <c r="AI353" s="642"/>
      <c r="AJ353" s="644"/>
      <c r="AK353" s="645"/>
      <c r="AL353" s="642"/>
      <c r="AM353" s="644"/>
      <c r="AN353" s="645"/>
      <c r="AO353" s="642"/>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140</v>
      </c>
      <c r="C354" s="903"/>
      <c r="D354" s="925"/>
      <c r="E354" s="913"/>
      <c r="F354" s="903"/>
      <c r="G354" s="925"/>
      <c r="H354" s="913"/>
      <c r="I354" s="903"/>
      <c r="J354" s="925"/>
      <c r="K354" s="913"/>
      <c r="L354" s="903"/>
      <c r="M354" s="925"/>
      <c r="N354" s="913"/>
      <c r="O354" s="903"/>
      <c r="P354" s="925"/>
      <c r="Q354" s="913"/>
      <c r="R354" s="903"/>
      <c r="S354" s="925"/>
      <c r="T354" s="913"/>
      <c r="U354" s="903"/>
      <c r="V354" s="925"/>
      <c r="W354" s="993"/>
      <c r="X354" s="903"/>
      <c r="Y354" s="925"/>
      <c r="Z354" s="993"/>
      <c r="AA354" s="903"/>
      <c r="AB354" s="925"/>
      <c r="AC354" s="993"/>
      <c r="AD354" s="903"/>
      <c r="AE354" s="925"/>
      <c r="AF354" s="993"/>
      <c r="AG354" s="903"/>
      <c r="AH354" s="925"/>
      <c r="AI354" s="913"/>
      <c r="AJ354" s="903"/>
      <c r="AK354" s="925"/>
      <c r="AL354" s="913"/>
      <c r="AM354" s="903"/>
      <c r="AN354" s="925"/>
      <c r="AO354" s="913"/>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618"/>
      <c r="D355" s="625"/>
      <c r="E355" s="626"/>
      <c r="F355" s="618"/>
      <c r="G355" s="625"/>
      <c r="H355" s="626"/>
      <c r="I355" s="618"/>
      <c r="J355" s="625"/>
      <c r="K355" s="626"/>
      <c r="L355" s="618"/>
      <c r="M355" s="625"/>
      <c r="N355" s="626"/>
      <c r="O355" s="618"/>
      <c r="P355" s="625"/>
      <c r="Q355" s="626"/>
      <c r="R355" s="618"/>
      <c r="S355" s="625"/>
      <c r="T355" s="626"/>
      <c r="U355" s="618"/>
      <c r="V355" s="625"/>
      <c r="W355" s="626"/>
      <c r="X355" s="618"/>
      <c r="Y355" s="625"/>
      <c r="Z355" s="626"/>
      <c r="AA355" s="618"/>
      <c r="AB355" s="625"/>
      <c r="AC355" s="626"/>
      <c r="AD355" s="618"/>
      <c r="AE355" s="625"/>
      <c r="AF355" s="626"/>
      <c r="AG355" s="618"/>
      <c r="AH355" s="625"/>
      <c r="AI355" s="626"/>
      <c r="AJ355" s="618"/>
      <c r="AK355" s="625"/>
      <c r="AL355" s="626"/>
      <c r="AM355" s="618"/>
      <c r="AN355" s="625"/>
      <c r="AO355" s="626"/>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147</v>
      </c>
      <c r="C356" s="916"/>
      <c r="D356" s="927"/>
      <c r="E356" s="919"/>
      <c r="F356" s="916"/>
      <c r="G356" s="927"/>
      <c r="H356" s="919"/>
      <c r="I356" s="916"/>
      <c r="J356" s="927"/>
      <c r="K356" s="919"/>
      <c r="L356" s="916"/>
      <c r="M356" s="927"/>
      <c r="N356" s="919"/>
      <c r="O356" s="916"/>
      <c r="P356" s="927"/>
      <c r="Q356" s="919"/>
      <c r="R356" s="916"/>
      <c r="S356" s="927"/>
      <c r="T356" s="919"/>
      <c r="U356" s="916"/>
      <c r="V356" s="927"/>
      <c r="W356" s="996"/>
      <c r="X356" s="916"/>
      <c r="Y356" s="927"/>
      <c r="Z356" s="996"/>
      <c r="AA356" s="916"/>
      <c r="AB356" s="927"/>
      <c r="AC356" s="996"/>
      <c r="AD356" s="916"/>
      <c r="AE356" s="927"/>
      <c r="AF356" s="996"/>
      <c r="AG356" s="916"/>
      <c r="AH356" s="927"/>
      <c r="AI356" s="919"/>
      <c r="AJ356" s="916"/>
      <c r="AK356" s="927"/>
      <c r="AL356" s="919"/>
      <c r="AM356" s="916"/>
      <c r="AN356" s="927"/>
      <c r="AO356" s="919"/>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666"/>
      <c r="D357" s="666"/>
      <c r="E357" s="702">
        <v>833551.51999999769</v>
      </c>
      <c r="F357" s="666"/>
      <c r="G357" s="666"/>
      <c r="H357" s="702"/>
      <c r="I357" s="666"/>
      <c r="J357" s="666"/>
      <c r="K357" s="702"/>
      <c r="L357" s="666"/>
      <c r="M357" s="666"/>
      <c r="N357" s="702"/>
      <c r="O357" s="666"/>
      <c r="P357" s="666"/>
      <c r="Q357" s="702"/>
      <c r="R357" s="666"/>
      <c r="S357" s="666"/>
      <c r="T357" s="702"/>
      <c r="U357" s="666"/>
      <c r="V357" s="666"/>
      <c r="W357" s="702"/>
      <c r="X357" s="666"/>
      <c r="Y357" s="666"/>
      <c r="Z357" s="702"/>
      <c r="AA357" s="666"/>
      <c r="AB357" s="666"/>
      <c r="AC357" s="702"/>
      <c r="AD357" s="666"/>
      <c r="AE357" s="666"/>
      <c r="AF357" s="702"/>
      <c r="AG357" s="666"/>
      <c r="AH357" s="666"/>
      <c r="AI357" s="702"/>
      <c r="AJ357" s="666"/>
      <c r="AK357" s="666"/>
      <c r="AL357" s="702"/>
      <c r="AM357" s="666"/>
      <c r="AN357" s="666"/>
      <c r="AO357" s="702"/>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666"/>
      <c r="D358" s="666"/>
      <c r="E358" s="702"/>
      <c r="F358" s="666"/>
      <c r="G358" s="666"/>
      <c r="H358" s="702"/>
      <c r="I358" s="666"/>
      <c r="J358" s="666"/>
      <c r="K358" s="702"/>
      <c r="L358" s="666"/>
      <c r="M358" s="666"/>
      <c r="N358" s="702"/>
      <c r="O358" s="666"/>
      <c r="P358" s="666"/>
      <c r="Q358" s="702"/>
      <c r="R358" s="666"/>
      <c r="S358" s="666"/>
      <c r="T358" s="702"/>
      <c r="U358" s="666"/>
      <c r="V358" s="666"/>
      <c r="W358" s="702"/>
      <c r="X358" s="666"/>
      <c r="Y358" s="666"/>
      <c r="Z358" s="702"/>
      <c r="AA358" s="666"/>
      <c r="AB358" s="666"/>
      <c r="AC358" s="702"/>
      <c r="AD358" s="666"/>
      <c r="AE358" s="666"/>
      <c r="AF358" s="702"/>
      <c r="AG358" s="666"/>
      <c r="AH358" s="666"/>
      <c r="AI358" s="702"/>
      <c r="AJ358" s="666"/>
      <c r="AK358" s="666"/>
      <c r="AL358" s="702"/>
      <c r="AM358" s="666"/>
      <c r="AN358" s="666"/>
      <c r="AO358" s="702"/>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1110</v>
      </c>
      <c r="C359" s="658" t="s">
        <v>192</v>
      </c>
      <c r="D359" s="658"/>
      <c r="E359" s="658"/>
      <c r="F359" s="658"/>
      <c r="G359" s="658"/>
      <c r="H359" s="658"/>
      <c r="I359" s="658"/>
      <c r="J359" s="658"/>
      <c r="K359" s="658"/>
      <c r="L359" s="658"/>
      <c r="M359" s="658"/>
      <c r="N359" s="658"/>
      <c r="O359" s="658"/>
      <c r="P359" s="658"/>
      <c r="Q359" s="658"/>
      <c r="R359" s="658"/>
      <c r="S359" s="658"/>
      <c r="T359" s="658"/>
      <c r="U359" s="658"/>
      <c r="V359" s="658"/>
      <c r="W359" s="658"/>
      <c r="X359" s="658"/>
      <c r="Y359" s="658"/>
      <c r="Z359" s="658"/>
      <c r="AA359" s="658"/>
      <c r="AB359" s="658"/>
      <c r="AC359" s="658"/>
      <c r="AD359" s="658"/>
      <c r="AE359" s="658"/>
      <c r="AF359" s="658"/>
      <c r="AG359" s="658"/>
      <c r="AH359" s="658"/>
      <c r="AI359" s="658"/>
      <c r="AJ359" s="658"/>
      <c r="AK359" s="658"/>
      <c r="AL359" s="658"/>
      <c r="AM359" s="658"/>
      <c r="AN359" s="658"/>
      <c r="AO359" s="658"/>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657"/>
      <c r="D360" s="657"/>
      <c r="E360" s="657"/>
      <c r="F360" s="657"/>
      <c r="G360" s="657"/>
      <c r="H360" s="657"/>
      <c r="I360" s="657"/>
      <c r="J360" s="657"/>
      <c r="K360" s="657"/>
      <c r="L360" s="657"/>
      <c r="M360" s="657"/>
      <c r="N360" s="657"/>
      <c r="O360" s="657"/>
      <c r="P360" s="657"/>
      <c r="Q360" s="657"/>
      <c r="R360" s="657"/>
      <c r="S360" s="657"/>
      <c r="T360" s="657"/>
      <c r="U360" s="657"/>
      <c r="V360" s="657"/>
      <c r="W360" s="657"/>
      <c r="X360" s="657"/>
      <c r="Y360" s="657"/>
      <c r="Z360" s="657"/>
      <c r="AA360" s="657"/>
      <c r="AB360" s="657"/>
      <c r="AC360" s="657"/>
      <c r="AD360" s="657"/>
      <c r="AE360" s="657"/>
      <c r="AF360" s="657"/>
      <c r="AG360" s="657"/>
      <c r="AH360" s="657"/>
      <c r="AI360" s="657"/>
      <c r="AJ360" s="657"/>
      <c r="AK360" s="657"/>
      <c r="AL360" s="657"/>
      <c r="AM360" s="657"/>
      <c r="AN360" s="657"/>
      <c r="AO360" s="657"/>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2</v>
      </c>
      <c r="C361" s="603">
        <v>2025</v>
      </c>
      <c r="D361" s="604"/>
      <c r="E361" s="605"/>
      <c r="F361" s="603" t="s">
        <v>6</v>
      </c>
      <c r="G361" s="604"/>
      <c r="H361" s="605"/>
      <c r="I361" s="603" t="s">
        <v>8</v>
      </c>
      <c r="J361" s="604"/>
      <c r="K361" s="605"/>
      <c r="L361" s="603" t="s">
        <v>9</v>
      </c>
      <c r="M361" s="604"/>
      <c r="N361" s="605"/>
      <c r="O361" s="603" t="s">
        <v>10</v>
      </c>
      <c r="P361" s="604"/>
      <c r="Q361" s="605"/>
      <c r="R361" s="603" t="s">
        <v>11</v>
      </c>
      <c r="S361" s="604"/>
      <c r="T361" s="605"/>
      <c r="U361" s="603" t="s">
        <v>12</v>
      </c>
      <c r="V361" s="604"/>
      <c r="W361" s="605"/>
      <c r="X361" s="603" t="s">
        <v>14</v>
      </c>
      <c r="Y361" s="604"/>
      <c r="Z361" s="605"/>
      <c r="AA361" s="603" t="s">
        <v>15</v>
      </c>
      <c r="AB361" s="604"/>
      <c r="AC361" s="605"/>
      <c r="AD361" s="603" t="s">
        <v>17</v>
      </c>
      <c r="AE361" s="604"/>
      <c r="AF361" s="605"/>
      <c r="AG361" s="603" t="s">
        <v>18</v>
      </c>
      <c r="AH361" s="604"/>
      <c r="AI361" s="605"/>
      <c r="AJ361" s="603" t="s">
        <v>19</v>
      </c>
      <c r="AK361" s="604"/>
      <c r="AL361" s="605"/>
      <c r="AM361" s="603" t="s">
        <v>5</v>
      </c>
      <c r="AN361" s="604"/>
      <c r="AO361" s="605"/>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659" t="s">
        <v>159</v>
      </c>
      <c r="D362" s="636" t="s">
        <v>177</v>
      </c>
      <c r="E362" s="660" t="s">
        <v>91</v>
      </c>
      <c r="F362" s="659" t="s">
        <v>159</v>
      </c>
      <c r="G362" s="636" t="s">
        <v>177</v>
      </c>
      <c r="H362" s="660" t="s">
        <v>91</v>
      </c>
      <c r="I362" s="659" t="s">
        <v>159</v>
      </c>
      <c r="J362" s="636" t="s">
        <v>177</v>
      </c>
      <c r="K362" s="660" t="s">
        <v>91</v>
      </c>
      <c r="L362" s="659" t="s">
        <v>159</v>
      </c>
      <c r="M362" s="636" t="s">
        <v>177</v>
      </c>
      <c r="N362" s="660" t="s">
        <v>91</v>
      </c>
      <c r="O362" s="659" t="s">
        <v>159</v>
      </c>
      <c r="P362" s="636" t="s">
        <v>177</v>
      </c>
      <c r="Q362" s="660" t="s">
        <v>91</v>
      </c>
      <c r="R362" s="659" t="s">
        <v>159</v>
      </c>
      <c r="S362" s="636" t="s">
        <v>177</v>
      </c>
      <c r="T362" s="660" t="s">
        <v>91</v>
      </c>
      <c r="U362" s="659" t="s">
        <v>159</v>
      </c>
      <c r="V362" s="636" t="s">
        <v>177</v>
      </c>
      <c r="W362" s="660" t="s">
        <v>91</v>
      </c>
      <c r="X362" s="659" t="s">
        <v>159</v>
      </c>
      <c r="Y362" s="636" t="s">
        <v>177</v>
      </c>
      <c r="Z362" s="660" t="s">
        <v>91</v>
      </c>
      <c r="AA362" s="659" t="s">
        <v>159</v>
      </c>
      <c r="AB362" s="636" t="s">
        <v>177</v>
      </c>
      <c r="AC362" s="660" t="s">
        <v>91</v>
      </c>
      <c r="AD362" s="659" t="s">
        <v>159</v>
      </c>
      <c r="AE362" s="636" t="s">
        <v>177</v>
      </c>
      <c r="AF362" s="660" t="s">
        <v>91</v>
      </c>
      <c r="AG362" s="659" t="s">
        <v>159</v>
      </c>
      <c r="AH362" s="636" t="s">
        <v>177</v>
      </c>
      <c r="AI362" s="660" t="s">
        <v>91</v>
      </c>
      <c r="AJ362" s="659" t="s">
        <v>159</v>
      </c>
      <c r="AK362" s="636" t="s">
        <v>177</v>
      </c>
      <c r="AL362" s="660" t="s">
        <v>91</v>
      </c>
      <c r="AM362" s="659" t="s">
        <v>159</v>
      </c>
      <c r="AN362" s="636" t="s">
        <v>177</v>
      </c>
      <c r="AO362" s="660" t="s">
        <v>91</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192</v>
      </c>
      <c r="C363" s="627">
        <v>0</v>
      </c>
      <c r="D363" s="699">
        <v>0</v>
      </c>
      <c r="E363" s="629">
        <v>0</v>
      </c>
      <c r="F363" s="627">
        <v>0</v>
      </c>
      <c r="G363" s="699">
        <v>0</v>
      </c>
      <c r="H363" s="629">
        <v>0</v>
      </c>
      <c r="I363" s="627">
        <v>0</v>
      </c>
      <c r="J363" s="699">
        <v>0</v>
      </c>
      <c r="K363" s="629">
        <v>0</v>
      </c>
      <c r="L363" s="627">
        <v>0</v>
      </c>
      <c r="M363" s="699">
        <v>0</v>
      </c>
      <c r="N363" s="629">
        <v>0</v>
      </c>
      <c r="O363" s="627">
        <v>0</v>
      </c>
      <c r="P363" s="699">
        <v>0</v>
      </c>
      <c r="Q363" s="629">
        <v>0</v>
      </c>
      <c r="R363" s="627">
        <v>0</v>
      </c>
      <c r="S363" s="699">
        <v>0</v>
      </c>
      <c r="T363" s="629">
        <v>0</v>
      </c>
      <c r="U363" s="627">
        <v>0</v>
      </c>
      <c r="V363" s="699">
        <v>0</v>
      </c>
      <c r="W363" s="986">
        <v>0</v>
      </c>
      <c r="X363" s="627">
        <v>0</v>
      </c>
      <c r="Y363" s="699">
        <v>0</v>
      </c>
      <c r="Z363" s="986">
        <v>0</v>
      </c>
      <c r="AA363" s="627">
        <v>0</v>
      </c>
      <c r="AB363" s="699">
        <v>0</v>
      </c>
      <c r="AC363" s="986">
        <v>0</v>
      </c>
      <c r="AD363" s="627">
        <v>0</v>
      </c>
      <c r="AE363" s="699">
        <v>0</v>
      </c>
      <c r="AF363" s="986">
        <v>0</v>
      </c>
      <c r="AG363" s="627">
        <v>0</v>
      </c>
      <c r="AH363" s="699">
        <v>0</v>
      </c>
      <c r="AI363" s="629">
        <v>0</v>
      </c>
      <c r="AJ363" s="627">
        <v>0</v>
      </c>
      <c r="AK363" s="699">
        <v>0</v>
      </c>
      <c r="AL363" s="629">
        <v>0</v>
      </c>
      <c r="AM363" s="627">
        <v>0</v>
      </c>
      <c r="AN363" s="699">
        <v>0</v>
      </c>
      <c r="AO363" s="629">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951"/>
      <c r="D364" s="952"/>
      <c r="E364" s="953"/>
      <c r="F364" s="951"/>
      <c r="G364" s="952"/>
      <c r="H364" s="953"/>
      <c r="I364" s="951"/>
      <c r="J364" s="952"/>
      <c r="K364" s="953"/>
      <c r="L364" s="951"/>
      <c r="M364" s="952"/>
      <c r="N364" s="953"/>
      <c r="O364" s="951"/>
      <c r="P364" s="952"/>
      <c r="Q364" s="953"/>
      <c r="R364" s="951"/>
      <c r="S364" s="952"/>
      <c r="T364" s="953"/>
      <c r="U364" s="951"/>
      <c r="V364" s="952"/>
      <c r="W364" s="1008"/>
      <c r="X364" s="951"/>
      <c r="Y364" s="952"/>
      <c r="Z364" s="1008"/>
      <c r="AA364" s="951"/>
      <c r="AB364" s="952"/>
      <c r="AC364" s="1008"/>
      <c r="AD364" s="951"/>
      <c r="AE364" s="952"/>
      <c r="AF364" s="1008"/>
      <c r="AG364" s="951"/>
      <c r="AH364" s="952"/>
      <c r="AI364" s="953"/>
      <c r="AJ364" s="951"/>
      <c r="AK364" s="952"/>
      <c r="AL364" s="953"/>
      <c r="AM364" s="951"/>
      <c r="AN364" s="952"/>
      <c r="AO364" s="953"/>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193</v>
      </c>
      <c r="C365" s="700">
        <v>0</v>
      </c>
      <c r="D365" s="701">
        <v>0</v>
      </c>
      <c r="E365" s="654">
        <v>0</v>
      </c>
      <c r="F365" s="700">
        <v>0</v>
      </c>
      <c r="G365" s="701">
        <v>0</v>
      </c>
      <c r="H365" s="654">
        <v>0</v>
      </c>
      <c r="I365" s="700">
        <v>0</v>
      </c>
      <c r="J365" s="701">
        <v>0</v>
      </c>
      <c r="K365" s="654">
        <v>0</v>
      </c>
      <c r="L365" s="700">
        <v>0</v>
      </c>
      <c r="M365" s="701">
        <v>0</v>
      </c>
      <c r="N365" s="654">
        <v>0</v>
      </c>
      <c r="O365" s="700">
        <v>0</v>
      </c>
      <c r="P365" s="701">
        <v>0</v>
      </c>
      <c r="Q365" s="654">
        <v>0</v>
      </c>
      <c r="R365" s="700">
        <v>0</v>
      </c>
      <c r="S365" s="701">
        <v>0</v>
      </c>
      <c r="T365" s="654">
        <v>0</v>
      </c>
      <c r="U365" s="700">
        <v>0</v>
      </c>
      <c r="V365" s="701">
        <v>0</v>
      </c>
      <c r="W365" s="995">
        <v>0</v>
      </c>
      <c r="X365" s="700">
        <v>0</v>
      </c>
      <c r="Y365" s="701">
        <v>0</v>
      </c>
      <c r="Z365" s="995">
        <v>0</v>
      </c>
      <c r="AA365" s="700">
        <v>0</v>
      </c>
      <c r="AB365" s="701">
        <v>0</v>
      </c>
      <c r="AC365" s="995">
        <v>0</v>
      </c>
      <c r="AD365" s="700">
        <v>0</v>
      </c>
      <c r="AE365" s="701">
        <v>0</v>
      </c>
      <c r="AF365" s="995">
        <v>0</v>
      </c>
      <c r="AG365" s="700">
        <v>0</v>
      </c>
      <c r="AH365" s="701">
        <v>0</v>
      </c>
      <c r="AI365" s="654">
        <v>0</v>
      </c>
      <c r="AJ365" s="700">
        <v>0</v>
      </c>
      <c r="AK365" s="701">
        <v>0</v>
      </c>
      <c r="AL365" s="654">
        <v>0</v>
      </c>
      <c r="AM365" s="700">
        <v>0</v>
      </c>
      <c r="AN365" s="701">
        <v>0</v>
      </c>
      <c r="AO365" s="654">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618"/>
      <c r="D366" s="625"/>
      <c r="E366" s="619"/>
      <c r="F366" s="618"/>
      <c r="G366" s="625"/>
      <c r="H366" s="619"/>
      <c r="I366" s="618"/>
      <c r="J366" s="625"/>
      <c r="K366" s="619"/>
      <c r="L366" s="618"/>
      <c r="M366" s="625"/>
      <c r="N366" s="619"/>
      <c r="O366" s="618"/>
      <c r="P366" s="625"/>
      <c r="Q366" s="619"/>
      <c r="R366" s="618"/>
      <c r="S366" s="625"/>
      <c r="T366" s="619"/>
      <c r="U366" s="618"/>
      <c r="V366" s="625"/>
      <c r="W366" s="619"/>
      <c r="X366" s="618"/>
      <c r="Y366" s="625"/>
      <c r="Z366" s="619"/>
      <c r="AA366" s="618"/>
      <c r="AB366" s="625"/>
      <c r="AC366" s="619"/>
      <c r="AD366" s="618"/>
      <c r="AE366" s="625"/>
      <c r="AF366" s="619"/>
      <c r="AG366" s="618"/>
      <c r="AH366" s="625"/>
      <c r="AI366" s="619"/>
      <c r="AJ366" s="618"/>
      <c r="AK366" s="625"/>
      <c r="AL366" s="619"/>
      <c r="AM366" s="618"/>
      <c r="AN366" s="625"/>
      <c r="AO366" s="619"/>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106</v>
      </c>
      <c r="C367" s="618"/>
      <c r="D367" s="625"/>
      <c r="E367" s="619"/>
      <c r="F367" s="618"/>
      <c r="G367" s="625"/>
      <c r="H367" s="619"/>
      <c r="I367" s="618"/>
      <c r="J367" s="625"/>
      <c r="K367" s="619"/>
      <c r="L367" s="618"/>
      <c r="M367" s="625"/>
      <c r="N367" s="619"/>
      <c r="O367" s="618"/>
      <c r="P367" s="625"/>
      <c r="Q367" s="619"/>
      <c r="R367" s="618"/>
      <c r="S367" s="625"/>
      <c r="T367" s="619"/>
      <c r="U367" s="618"/>
      <c r="V367" s="625"/>
      <c r="W367" s="619"/>
      <c r="X367" s="618"/>
      <c r="Y367" s="625"/>
      <c r="Z367" s="619"/>
      <c r="AA367" s="618"/>
      <c r="AB367" s="625"/>
      <c r="AC367" s="619"/>
      <c r="AD367" s="618"/>
      <c r="AE367" s="625"/>
      <c r="AF367" s="619"/>
      <c r="AG367" s="618"/>
      <c r="AH367" s="625"/>
      <c r="AI367" s="619"/>
      <c r="AJ367" s="618"/>
      <c r="AK367" s="625"/>
      <c r="AL367" s="619"/>
      <c r="AM367" s="618"/>
      <c r="AN367" s="625"/>
      <c r="AO367" s="619"/>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116</v>
      </c>
      <c r="C368" s="618"/>
      <c r="D368" s="625"/>
      <c r="E368" s="639">
        <v>0</v>
      </c>
      <c r="F368" s="618"/>
      <c r="G368" s="625"/>
      <c r="H368" s="639">
        <v>0</v>
      </c>
      <c r="I368" s="618"/>
      <c r="J368" s="625"/>
      <c r="K368" s="639">
        <v>0</v>
      </c>
      <c r="L368" s="618"/>
      <c r="M368" s="625"/>
      <c r="N368" s="639">
        <v>0</v>
      </c>
      <c r="O368" s="618"/>
      <c r="P368" s="625"/>
      <c r="Q368" s="639">
        <v>0</v>
      </c>
      <c r="R368" s="618"/>
      <c r="S368" s="625"/>
      <c r="T368" s="639">
        <v>0</v>
      </c>
      <c r="U368" s="618"/>
      <c r="V368" s="625"/>
      <c r="W368" s="639">
        <v>0</v>
      </c>
      <c r="X368" s="618"/>
      <c r="Y368" s="625"/>
      <c r="Z368" s="639">
        <v>0</v>
      </c>
      <c r="AA368" s="618"/>
      <c r="AB368" s="625"/>
      <c r="AC368" s="639">
        <v>0</v>
      </c>
      <c r="AD368" s="618"/>
      <c r="AE368" s="625"/>
      <c r="AF368" s="639">
        <v>0</v>
      </c>
      <c r="AG368" s="618"/>
      <c r="AH368" s="625"/>
      <c r="AI368" s="639">
        <v>0</v>
      </c>
      <c r="AJ368" s="618"/>
      <c r="AK368" s="625"/>
      <c r="AL368" s="639">
        <v>0</v>
      </c>
      <c r="AM368" s="618"/>
      <c r="AN368" s="625"/>
      <c r="AO368" s="988">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117</v>
      </c>
      <c r="C369" s="618"/>
      <c r="D369" s="625"/>
      <c r="E369" s="639">
        <v>0</v>
      </c>
      <c r="F369" s="618"/>
      <c r="G369" s="625"/>
      <c r="H369" s="639">
        <v>0</v>
      </c>
      <c r="I369" s="618"/>
      <c r="J369" s="625"/>
      <c r="K369" s="639">
        <v>0</v>
      </c>
      <c r="L369" s="618"/>
      <c r="M369" s="625"/>
      <c r="N369" s="639">
        <v>0</v>
      </c>
      <c r="O369" s="618"/>
      <c r="P369" s="625"/>
      <c r="Q369" s="639">
        <v>0</v>
      </c>
      <c r="R369" s="618"/>
      <c r="S369" s="625"/>
      <c r="T369" s="639">
        <v>0</v>
      </c>
      <c r="U369" s="618"/>
      <c r="V369" s="625"/>
      <c r="W369" s="639">
        <v>0</v>
      </c>
      <c r="X369" s="618"/>
      <c r="Y369" s="625"/>
      <c r="Z369" s="639">
        <v>0</v>
      </c>
      <c r="AA369" s="618"/>
      <c r="AB369" s="625"/>
      <c r="AC369" s="639">
        <v>0</v>
      </c>
      <c r="AD369" s="618"/>
      <c r="AE369" s="625"/>
      <c r="AF369" s="639">
        <v>0</v>
      </c>
      <c r="AG369" s="618"/>
      <c r="AH369" s="625"/>
      <c r="AI369" s="639">
        <v>0</v>
      </c>
      <c r="AJ369" s="618"/>
      <c r="AK369" s="625"/>
      <c r="AL369" s="639">
        <v>0</v>
      </c>
      <c r="AM369" s="618"/>
      <c r="AN369" s="625"/>
      <c r="AO369" s="988">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118</v>
      </c>
      <c r="C370" s="890"/>
      <c r="D370" s="908"/>
      <c r="E370" s="910">
        <v>0</v>
      </c>
      <c r="F370" s="890"/>
      <c r="G370" s="908"/>
      <c r="H370" s="910">
        <v>0</v>
      </c>
      <c r="I370" s="890"/>
      <c r="J370" s="908"/>
      <c r="K370" s="910">
        <v>0</v>
      </c>
      <c r="L370" s="890"/>
      <c r="M370" s="908"/>
      <c r="N370" s="910">
        <v>0</v>
      </c>
      <c r="O370" s="890"/>
      <c r="P370" s="908"/>
      <c r="Q370" s="910">
        <v>0</v>
      </c>
      <c r="R370" s="890"/>
      <c r="S370" s="908"/>
      <c r="T370" s="910">
        <v>0</v>
      </c>
      <c r="U370" s="890"/>
      <c r="V370" s="908"/>
      <c r="W370" s="910">
        <v>0</v>
      </c>
      <c r="X370" s="890"/>
      <c r="Y370" s="908"/>
      <c r="Z370" s="910">
        <v>0</v>
      </c>
      <c r="AA370" s="890"/>
      <c r="AB370" s="908"/>
      <c r="AC370" s="910">
        <v>0</v>
      </c>
      <c r="AD370" s="890"/>
      <c r="AE370" s="908"/>
      <c r="AF370" s="910">
        <v>0</v>
      </c>
      <c r="AG370" s="890"/>
      <c r="AH370" s="908"/>
      <c r="AI370" s="910">
        <v>0</v>
      </c>
      <c r="AJ370" s="890"/>
      <c r="AK370" s="908"/>
      <c r="AL370" s="910">
        <v>0</v>
      </c>
      <c r="AM370" s="890"/>
      <c r="AN370" s="908"/>
      <c r="AO370" s="991">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119</v>
      </c>
      <c r="C371" s="618"/>
      <c r="D371" s="625"/>
      <c r="E371" s="639">
        <v>0</v>
      </c>
      <c r="F371" s="618"/>
      <c r="G371" s="625"/>
      <c r="H371" s="639">
        <v>0</v>
      </c>
      <c r="I371" s="618"/>
      <c r="J371" s="625"/>
      <c r="K371" s="639">
        <v>0</v>
      </c>
      <c r="L371" s="618"/>
      <c r="M371" s="625"/>
      <c r="N371" s="639">
        <v>0</v>
      </c>
      <c r="O371" s="618"/>
      <c r="P371" s="625"/>
      <c r="Q371" s="639">
        <v>0</v>
      </c>
      <c r="R371" s="618"/>
      <c r="S371" s="625"/>
      <c r="T371" s="639">
        <v>0</v>
      </c>
      <c r="U371" s="618"/>
      <c r="V371" s="625"/>
      <c r="W371" s="639">
        <v>0</v>
      </c>
      <c r="X371" s="618"/>
      <c r="Y371" s="625"/>
      <c r="Z371" s="639">
        <v>0</v>
      </c>
      <c r="AA371" s="618"/>
      <c r="AB371" s="625"/>
      <c r="AC371" s="639">
        <v>0</v>
      </c>
      <c r="AD371" s="618"/>
      <c r="AE371" s="625"/>
      <c r="AF371" s="639">
        <v>0</v>
      </c>
      <c r="AG371" s="618"/>
      <c r="AH371" s="625"/>
      <c r="AI371" s="639">
        <v>0</v>
      </c>
      <c r="AJ371" s="618"/>
      <c r="AK371" s="625"/>
      <c r="AL371" s="639">
        <v>0</v>
      </c>
      <c r="AM371" s="618"/>
      <c r="AN371" s="625"/>
      <c r="AO371" s="988">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55</v>
      </c>
      <c r="C372" s="618"/>
      <c r="D372" s="625"/>
      <c r="E372" s="639"/>
      <c r="F372" s="618"/>
      <c r="G372" s="625"/>
      <c r="H372" s="639"/>
      <c r="I372" s="618"/>
      <c r="J372" s="625"/>
      <c r="K372" s="639"/>
      <c r="L372" s="618"/>
      <c r="M372" s="625"/>
      <c r="N372" s="639"/>
      <c r="O372" s="618"/>
      <c r="P372" s="625"/>
      <c r="Q372" s="639"/>
      <c r="R372" s="618"/>
      <c r="S372" s="625"/>
      <c r="T372" s="639"/>
      <c r="U372" s="618"/>
      <c r="V372" s="625"/>
      <c r="W372" s="639"/>
      <c r="X372" s="618"/>
      <c r="Y372" s="625"/>
      <c r="Z372" s="639"/>
      <c r="AA372" s="618"/>
      <c r="AB372" s="625"/>
      <c r="AC372" s="639"/>
      <c r="AD372" s="618"/>
      <c r="AE372" s="625"/>
      <c r="AF372" s="639"/>
      <c r="AG372" s="618"/>
      <c r="AH372" s="625"/>
      <c r="AI372" s="639"/>
      <c r="AJ372" s="618"/>
      <c r="AK372" s="625"/>
      <c r="AL372" s="639"/>
      <c r="AM372" s="618"/>
      <c r="AN372" s="625"/>
      <c r="AO372" s="988"/>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55</v>
      </c>
      <c r="C373" s="618"/>
      <c r="D373" s="625"/>
      <c r="E373" s="639"/>
      <c r="F373" s="618"/>
      <c r="G373" s="625"/>
      <c r="H373" s="639"/>
      <c r="I373" s="618"/>
      <c r="J373" s="625"/>
      <c r="K373" s="639"/>
      <c r="L373" s="618"/>
      <c r="M373" s="625"/>
      <c r="N373" s="639"/>
      <c r="O373" s="618"/>
      <c r="P373" s="625"/>
      <c r="Q373" s="639"/>
      <c r="R373" s="618"/>
      <c r="S373" s="625"/>
      <c r="T373" s="639"/>
      <c r="U373" s="618"/>
      <c r="V373" s="625"/>
      <c r="W373" s="639"/>
      <c r="X373" s="618"/>
      <c r="Y373" s="625"/>
      <c r="Z373" s="639"/>
      <c r="AA373" s="618"/>
      <c r="AB373" s="625"/>
      <c r="AC373" s="639"/>
      <c r="AD373" s="618"/>
      <c r="AE373" s="625"/>
      <c r="AF373" s="639"/>
      <c r="AG373" s="618"/>
      <c r="AH373" s="625"/>
      <c r="AI373" s="639"/>
      <c r="AJ373" s="618"/>
      <c r="AK373" s="625"/>
      <c r="AL373" s="639"/>
      <c r="AM373" s="618"/>
      <c r="AN373" s="625"/>
      <c r="AO373" s="988"/>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55</v>
      </c>
      <c r="C374" s="618"/>
      <c r="D374" s="625"/>
      <c r="E374" s="639"/>
      <c r="F374" s="618"/>
      <c r="G374" s="625"/>
      <c r="H374" s="639"/>
      <c r="I374" s="618"/>
      <c r="J374" s="625"/>
      <c r="K374" s="639"/>
      <c r="L374" s="618"/>
      <c r="M374" s="625"/>
      <c r="N374" s="639"/>
      <c r="O374" s="618"/>
      <c r="P374" s="625"/>
      <c r="Q374" s="639"/>
      <c r="R374" s="618"/>
      <c r="S374" s="625"/>
      <c r="T374" s="639"/>
      <c r="U374" s="618"/>
      <c r="V374" s="625"/>
      <c r="W374" s="639"/>
      <c r="X374" s="618"/>
      <c r="Y374" s="625"/>
      <c r="Z374" s="639"/>
      <c r="AA374" s="618"/>
      <c r="AB374" s="625"/>
      <c r="AC374" s="639"/>
      <c r="AD374" s="618"/>
      <c r="AE374" s="625"/>
      <c r="AF374" s="639"/>
      <c r="AG374" s="618"/>
      <c r="AH374" s="625"/>
      <c r="AI374" s="639"/>
      <c r="AJ374" s="618"/>
      <c r="AK374" s="625"/>
      <c r="AL374" s="639"/>
      <c r="AM374" s="618"/>
      <c r="AN374" s="625"/>
      <c r="AO374" s="988"/>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120</v>
      </c>
      <c r="C375" s="618"/>
      <c r="D375" s="625"/>
      <c r="E375" s="639">
        <v>0</v>
      </c>
      <c r="F375" s="618"/>
      <c r="G375" s="625"/>
      <c r="H375" s="639">
        <v>0</v>
      </c>
      <c r="I375" s="618"/>
      <c r="J375" s="625"/>
      <c r="K375" s="639">
        <v>0</v>
      </c>
      <c r="L375" s="618"/>
      <c r="M375" s="625"/>
      <c r="N375" s="639">
        <v>0</v>
      </c>
      <c r="O375" s="618"/>
      <c r="P375" s="625"/>
      <c r="Q375" s="639">
        <v>0</v>
      </c>
      <c r="R375" s="618"/>
      <c r="S375" s="625"/>
      <c r="T375" s="639">
        <v>0</v>
      </c>
      <c r="U375" s="618"/>
      <c r="V375" s="625"/>
      <c r="W375" s="639">
        <v>0</v>
      </c>
      <c r="X375" s="618"/>
      <c r="Y375" s="625"/>
      <c r="Z375" s="639">
        <v>0</v>
      </c>
      <c r="AA375" s="618"/>
      <c r="AB375" s="625"/>
      <c r="AC375" s="639">
        <v>0</v>
      </c>
      <c r="AD375" s="618"/>
      <c r="AE375" s="625"/>
      <c r="AF375" s="639">
        <v>0</v>
      </c>
      <c r="AG375" s="618"/>
      <c r="AH375" s="625"/>
      <c r="AI375" s="639">
        <v>0</v>
      </c>
      <c r="AJ375" s="618"/>
      <c r="AK375" s="625"/>
      <c r="AL375" s="639">
        <v>0</v>
      </c>
      <c r="AM375" s="618"/>
      <c r="AN375" s="625"/>
      <c r="AO375" s="988">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121</v>
      </c>
      <c r="C376" s="890"/>
      <c r="D376" s="908"/>
      <c r="E376" s="910">
        <v>0</v>
      </c>
      <c r="F376" s="890"/>
      <c r="G376" s="908"/>
      <c r="H376" s="910">
        <v>0</v>
      </c>
      <c r="I376" s="890"/>
      <c r="J376" s="908"/>
      <c r="K376" s="910">
        <v>0</v>
      </c>
      <c r="L376" s="890"/>
      <c r="M376" s="908"/>
      <c r="N376" s="910">
        <v>0</v>
      </c>
      <c r="O376" s="890"/>
      <c r="P376" s="908"/>
      <c r="Q376" s="910">
        <v>0</v>
      </c>
      <c r="R376" s="890"/>
      <c r="S376" s="908"/>
      <c r="T376" s="910">
        <v>0</v>
      </c>
      <c r="U376" s="890"/>
      <c r="V376" s="908"/>
      <c r="W376" s="910">
        <v>0</v>
      </c>
      <c r="X376" s="890"/>
      <c r="Y376" s="908"/>
      <c r="Z376" s="910">
        <v>0</v>
      </c>
      <c r="AA376" s="890"/>
      <c r="AB376" s="908"/>
      <c r="AC376" s="910">
        <v>0</v>
      </c>
      <c r="AD376" s="890"/>
      <c r="AE376" s="908"/>
      <c r="AF376" s="910">
        <v>0</v>
      </c>
      <c r="AG376" s="890"/>
      <c r="AH376" s="908"/>
      <c r="AI376" s="910">
        <v>0</v>
      </c>
      <c r="AJ376" s="890"/>
      <c r="AK376" s="908"/>
      <c r="AL376" s="910">
        <v>0</v>
      </c>
      <c r="AM376" s="890"/>
      <c r="AN376" s="908"/>
      <c r="AO376" s="991">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122</v>
      </c>
      <c r="C377" s="618"/>
      <c r="D377" s="625"/>
      <c r="E377" s="639">
        <v>0</v>
      </c>
      <c r="F377" s="618"/>
      <c r="G377" s="625"/>
      <c r="H377" s="639">
        <v>0</v>
      </c>
      <c r="I377" s="618"/>
      <c r="J377" s="625"/>
      <c r="K377" s="639">
        <v>0</v>
      </c>
      <c r="L377" s="618"/>
      <c r="M377" s="625"/>
      <c r="N377" s="639">
        <v>0</v>
      </c>
      <c r="O377" s="618"/>
      <c r="P377" s="625"/>
      <c r="Q377" s="639">
        <v>0</v>
      </c>
      <c r="R377" s="618"/>
      <c r="S377" s="625"/>
      <c r="T377" s="639">
        <v>0</v>
      </c>
      <c r="U377" s="618"/>
      <c r="V377" s="625"/>
      <c r="W377" s="639">
        <v>0</v>
      </c>
      <c r="X377" s="618"/>
      <c r="Y377" s="625"/>
      <c r="Z377" s="639">
        <v>0</v>
      </c>
      <c r="AA377" s="618"/>
      <c r="AB377" s="625"/>
      <c r="AC377" s="639">
        <v>0</v>
      </c>
      <c r="AD377" s="618"/>
      <c r="AE377" s="625"/>
      <c r="AF377" s="639">
        <v>0</v>
      </c>
      <c r="AG377" s="618"/>
      <c r="AH377" s="625"/>
      <c r="AI377" s="639">
        <v>0</v>
      </c>
      <c r="AJ377" s="618"/>
      <c r="AK377" s="625"/>
      <c r="AL377" s="639">
        <v>0</v>
      </c>
      <c r="AM377" s="618"/>
      <c r="AN377" s="625"/>
      <c r="AO377" s="988">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123</v>
      </c>
      <c r="C378" s="618"/>
      <c r="D378" s="625"/>
      <c r="E378" s="639">
        <v>0</v>
      </c>
      <c r="F378" s="618"/>
      <c r="G378" s="625"/>
      <c r="H378" s="639">
        <v>0</v>
      </c>
      <c r="I378" s="618"/>
      <c r="J378" s="625"/>
      <c r="K378" s="639">
        <v>0</v>
      </c>
      <c r="L378" s="618"/>
      <c r="M378" s="625"/>
      <c r="N378" s="639">
        <v>0</v>
      </c>
      <c r="O378" s="618"/>
      <c r="P378" s="625"/>
      <c r="Q378" s="639">
        <v>0</v>
      </c>
      <c r="R378" s="618"/>
      <c r="S378" s="625"/>
      <c r="T378" s="639">
        <v>0</v>
      </c>
      <c r="U378" s="618"/>
      <c r="V378" s="625"/>
      <c r="W378" s="639">
        <v>0</v>
      </c>
      <c r="X378" s="618"/>
      <c r="Y378" s="625"/>
      <c r="Z378" s="639">
        <v>0</v>
      </c>
      <c r="AA378" s="618"/>
      <c r="AB378" s="625"/>
      <c r="AC378" s="639">
        <v>0</v>
      </c>
      <c r="AD378" s="618"/>
      <c r="AE378" s="625"/>
      <c r="AF378" s="639">
        <v>0</v>
      </c>
      <c r="AG378" s="618"/>
      <c r="AH378" s="625"/>
      <c r="AI378" s="639">
        <v>0</v>
      </c>
      <c r="AJ378" s="618"/>
      <c r="AK378" s="625"/>
      <c r="AL378" s="639">
        <v>0</v>
      </c>
      <c r="AM378" s="618"/>
      <c r="AN378" s="625"/>
      <c r="AO378" s="988">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55</v>
      </c>
      <c r="C379" s="644"/>
      <c r="D379" s="645"/>
      <c r="E379" s="642"/>
      <c r="F379" s="644"/>
      <c r="G379" s="645"/>
      <c r="H379" s="642"/>
      <c r="I379" s="644"/>
      <c r="J379" s="645"/>
      <c r="K379" s="642"/>
      <c r="L379" s="644"/>
      <c r="M379" s="645"/>
      <c r="N379" s="642"/>
      <c r="O379" s="644"/>
      <c r="P379" s="645"/>
      <c r="Q379" s="642"/>
      <c r="R379" s="644"/>
      <c r="S379" s="645"/>
      <c r="T379" s="642"/>
      <c r="U379" s="644"/>
      <c r="V379" s="645"/>
      <c r="W379" s="642"/>
      <c r="X379" s="644"/>
      <c r="Y379" s="645"/>
      <c r="Z379" s="642"/>
      <c r="AA379" s="644"/>
      <c r="AB379" s="645"/>
      <c r="AC379" s="642"/>
      <c r="AD379" s="644"/>
      <c r="AE379" s="645"/>
      <c r="AF379" s="642"/>
      <c r="AG379" s="644"/>
      <c r="AH379" s="645"/>
      <c r="AI379" s="642"/>
      <c r="AJ379" s="644"/>
      <c r="AK379" s="645"/>
      <c r="AL379" s="642"/>
      <c r="AM379" s="644"/>
      <c r="AN379" s="645"/>
      <c r="AO379" s="642"/>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124</v>
      </c>
      <c r="C380" s="903" t="s">
        <v>115</v>
      </c>
      <c r="D380" s="904">
        <v>0</v>
      </c>
      <c r="E380" s="905">
        <v>0</v>
      </c>
      <c r="F380" s="903"/>
      <c r="G380" s="904"/>
      <c r="H380" s="905">
        <v>0</v>
      </c>
      <c r="I380" s="903"/>
      <c r="J380" s="904"/>
      <c r="K380" s="905">
        <v>0</v>
      </c>
      <c r="L380" s="903"/>
      <c r="M380" s="904"/>
      <c r="N380" s="905">
        <v>0</v>
      </c>
      <c r="O380" s="903"/>
      <c r="P380" s="904"/>
      <c r="Q380" s="905">
        <v>0</v>
      </c>
      <c r="R380" s="903"/>
      <c r="S380" s="904"/>
      <c r="T380" s="905">
        <v>0</v>
      </c>
      <c r="U380" s="903"/>
      <c r="V380" s="904"/>
      <c r="W380" s="990">
        <v>0</v>
      </c>
      <c r="X380" s="903"/>
      <c r="Y380" s="904"/>
      <c r="Z380" s="990">
        <v>0</v>
      </c>
      <c r="AA380" s="903"/>
      <c r="AB380" s="904"/>
      <c r="AC380" s="990">
        <v>0</v>
      </c>
      <c r="AD380" s="903"/>
      <c r="AE380" s="904"/>
      <c r="AF380" s="990">
        <v>0</v>
      </c>
      <c r="AG380" s="903"/>
      <c r="AH380" s="904"/>
      <c r="AI380" s="905">
        <v>0</v>
      </c>
      <c r="AJ380" s="903"/>
      <c r="AK380" s="904"/>
      <c r="AL380" s="905">
        <v>0</v>
      </c>
      <c r="AM380" s="903"/>
      <c r="AN380" s="904"/>
      <c r="AO380" s="905">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125</v>
      </c>
      <c r="C381" s="618"/>
      <c r="D381" s="625"/>
      <c r="E381" s="639">
        <v>0</v>
      </c>
      <c r="F381" s="618"/>
      <c r="G381" s="625"/>
      <c r="H381" s="639">
        <v>0</v>
      </c>
      <c r="I381" s="618"/>
      <c r="J381" s="625"/>
      <c r="K381" s="639">
        <v>0</v>
      </c>
      <c r="L381" s="618"/>
      <c r="M381" s="625"/>
      <c r="N381" s="639">
        <v>0</v>
      </c>
      <c r="O381" s="618"/>
      <c r="P381" s="625"/>
      <c r="Q381" s="639">
        <v>0</v>
      </c>
      <c r="R381" s="618"/>
      <c r="S381" s="625"/>
      <c r="T381" s="639">
        <v>0</v>
      </c>
      <c r="U381" s="618"/>
      <c r="V381" s="625"/>
      <c r="W381" s="639">
        <v>0</v>
      </c>
      <c r="X381" s="618"/>
      <c r="Y381" s="625"/>
      <c r="Z381" s="639">
        <v>0</v>
      </c>
      <c r="AA381" s="618"/>
      <c r="AB381" s="625"/>
      <c r="AC381" s="639">
        <v>0</v>
      </c>
      <c r="AD381" s="618"/>
      <c r="AE381" s="625"/>
      <c r="AF381" s="639">
        <v>0</v>
      </c>
      <c r="AG381" s="618"/>
      <c r="AH381" s="625"/>
      <c r="AI381" s="639">
        <v>0</v>
      </c>
      <c r="AJ381" s="618"/>
      <c r="AK381" s="625"/>
      <c r="AL381" s="639">
        <v>0</v>
      </c>
      <c r="AM381" s="618"/>
      <c r="AN381" s="625"/>
      <c r="AO381" s="988">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126</v>
      </c>
      <c r="C382" s="618"/>
      <c r="D382" s="625"/>
      <c r="E382" s="639">
        <v>0</v>
      </c>
      <c r="F382" s="618"/>
      <c r="G382" s="625"/>
      <c r="H382" s="639">
        <v>0</v>
      </c>
      <c r="I382" s="618"/>
      <c r="J382" s="625"/>
      <c r="K382" s="639">
        <v>0</v>
      </c>
      <c r="L382" s="618"/>
      <c r="M382" s="625"/>
      <c r="N382" s="639">
        <v>0</v>
      </c>
      <c r="O382" s="618"/>
      <c r="P382" s="625"/>
      <c r="Q382" s="639">
        <v>0</v>
      </c>
      <c r="R382" s="618"/>
      <c r="S382" s="625"/>
      <c r="T382" s="639">
        <v>0</v>
      </c>
      <c r="U382" s="618"/>
      <c r="V382" s="625"/>
      <c r="W382" s="639">
        <v>0</v>
      </c>
      <c r="X382" s="618"/>
      <c r="Y382" s="625"/>
      <c r="Z382" s="639">
        <v>0</v>
      </c>
      <c r="AA382" s="618"/>
      <c r="AB382" s="625"/>
      <c r="AC382" s="639">
        <v>0</v>
      </c>
      <c r="AD382" s="618"/>
      <c r="AE382" s="625"/>
      <c r="AF382" s="639">
        <v>0</v>
      </c>
      <c r="AG382" s="618"/>
      <c r="AH382" s="625"/>
      <c r="AI382" s="639">
        <v>0</v>
      </c>
      <c r="AJ382" s="618"/>
      <c r="AK382" s="625"/>
      <c r="AL382" s="639">
        <v>0</v>
      </c>
      <c r="AM382" s="618"/>
      <c r="AN382" s="625"/>
      <c r="AO382" s="988">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127</v>
      </c>
      <c r="C383" s="644"/>
      <c r="D383" s="645"/>
      <c r="E383" s="643">
        <v>0</v>
      </c>
      <c r="F383" s="644"/>
      <c r="G383" s="645"/>
      <c r="H383" s="643">
        <v>0</v>
      </c>
      <c r="I383" s="644"/>
      <c r="J383" s="645"/>
      <c r="K383" s="643">
        <v>0</v>
      </c>
      <c r="L383" s="644"/>
      <c r="M383" s="645"/>
      <c r="N383" s="643">
        <v>0</v>
      </c>
      <c r="O383" s="644"/>
      <c r="P383" s="645"/>
      <c r="Q383" s="643">
        <v>0</v>
      </c>
      <c r="R383" s="644"/>
      <c r="S383" s="645"/>
      <c r="T383" s="643">
        <v>0</v>
      </c>
      <c r="U383" s="644"/>
      <c r="V383" s="645"/>
      <c r="W383" s="643">
        <v>0</v>
      </c>
      <c r="X383" s="644"/>
      <c r="Y383" s="645"/>
      <c r="Z383" s="643">
        <v>0</v>
      </c>
      <c r="AA383" s="644"/>
      <c r="AB383" s="645"/>
      <c r="AC383" s="643">
        <v>0</v>
      </c>
      <c r="AD383" s="644"/>
      <c r="AE383" s="645"/>
      <c r="AF383" s="643">
        <v>0</v>
      </c>
      <c r="AG383" s="644"/>
      <c r="AH383" s="645"/>
      <c r="AI383" s="643">
        <v>0</v>
      </c>
      <c r="AJ383" s="644"/>
      <c r="AK383" s="645"/>
      <c r="AL383" s="643">
        <v>0</v>
      </c>
      <c r="AM383" s="644"/>
      <c r="AN383" s="645"/>
      <c r="AO383" s="989">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128</v>
      </c>
      <c r="C384" s="618"/>
      <c r="D384" s="625"/>
      <c r="E384" s="639">
        <v>0</v>
      </c>
      <c r="F384" s="618"/>
      <c r="G384" s="625"/>
      <c r="H384" s="639">
        <v>0</v>
      </c>
      <c r="I384" s="618"/>
      <c r="J384" s="625"/>
      <c r="K384" s="639">
        <v>0</v>
      </c>
      <c r="L384" s="618"/>
      <c r="M384" s="625"/>
      <c r="N384" s="639">
        <v>0</v>
      </c>
      <c r="O384" s="618"/>
      <c r="P384" s="625"/>
      <c r="Q384" s="639">
        <v>0</v>
      </c>
      <c r="R384" s="618"/>
      <c r="S384" s="625"/>
      <c r="T384" s="639">
        <v>0</v>
      </c>
      <c r="U384" s="618"/>
      <c r="V384" s="625"/>
      <c r="W384" s="639">
        <v>0</v>
      </c>
      <c r="X384" s="618"/>
      <c r="Y384" s="625"/>
      <c r="Z384" s="639">
        <v>0</v>
      </c>
      <c r="AA384" s="618"/>
      <c r="AB384" s="625"/>
      <c r="AC384" s="639">
        <v>0</v>
      </c>
      <c r="AD384" s="618"/>
      <c r="AE384" s="625"/>
      <c r="AF384" s="639">
        <v>0</v>
      </c>
      <c r="AG384" s="618"/>
      <c r="AH384" s="625"/>
      <c r="AI384" s="639">
        <v>0</v>
      </c>
      <c r="AJ384" s="618"/>
      <c r="AK384" s="625"/>
      <c r="AL384" s="639">
        <v>0</v>
      </c>
      <c r="AM384" s="618"/>
      <c r="AN384" s="625"/>
      <c r="AO384" s="988">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129</v>
      </c>
      <c r="C385" s="618"/>
      <c r="D385" s="625"/>
      <c r="E385" s="639">
        <v>0</v>
      </c>
      <c r="F385" s="618"/>
      <c r="G385" s="625"/>
      <c r="H385" s="639">
        <v>0</v>
      </c>
      <c r="I385" s="618"/>
      <c r="J385" s="625"/>
      <c r="K385" s="639">
        <v>0</v>
      </c>
      <c r="L385" s="618"/>
      <c r="M385" s="625"/>
      <c r="N385" s="639">
        <v>0</v>
      </c>
      <c r="O385" s="618"/>
      <c r="P385" s="625"/>
      <c r="Q385" s="639">
        <v>0</v>
      </c>
      <c r="R385" s="618"/>
      <c r="S385" s="625"/>
      <c r="T385" s="639">
        <v>0</v>
      </c>
      <c r="U385" s="618"/>
      <c r="V385" s="625"/>
      <c r="W385" s="639">
        <v>0</v>
      </c>
      <c r="X385" s="618"/>
      <c r="Y385" s="625"/>
      <c r="Z385" s="639">
        <v>0</v>
      </c>
      <c r="AA385" s="618"/>
      <c r="AB385" s="625"/>
      <c r="AC385" s="639">
        <v>0</v>
      </c>
      <c r="AD385" s="618"/>
      <c r="AE385" s="625"/>
      <c r="AF385" s="639">
        <v>0</v>
      </c>
      <c r="AG385" s="618"/>
      <c r="AH385" s="625"/>
      <c r="AI385" s="639">
        <v>0</v>
      </c>
      <c r="AJ385" s="618"/>
      <c r="AK385" s="625"/>
      <c r="AL385" s="639">
        <v>0</v>
      </c>
      <c r="AM385" s="618"/>
      <c r="AN385" s="625"/>
      <c r="AO385" s="988">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130</v>
      </c>
      <c r="C386" s="644"/>
      <c r="D386" s="645"/>
      <c r="E386" s="643">
        <v>0</v>
      </c>
      <c r="F386" s="644"/>
      <c r="G386" s="645"/>
      <c r="H386" s="643">
        <v>0</v>
      </c>
      <c r="I386" s="644"/>
      <c r="J386" s="645"/>
      <c r="K386" s="643">
        <v>0</v>
      </c>
      <c r="L386" s="644"/>
      <c r="M386" s="645"/>
      <c r="N386" s="643">
        <v>0</v>
      </c>
      <c r="O386" s="644"/>
      <c r="P386" s="645"/>
      <c r="Q386" s="643">
        <v>0</v>
      </c>
      <c r="R386" s="644"/>
      <c r="S386" s="645"/>
      <c r="T386" s="643">
        <v>0</v>
      </c>
      <c r="U386" s="644"/>
      <c r="V386" s="645"/>
      <c r="W386" s="643">
        <v>0</v>
      </c>
      <c r="X386" s="644"/>
      <c r="Y386" s="645"/>
      <c r="Z386" s="643">
        <v>0</v>
      </c>
      <c r="AA386" s="644"/>
      <c r="AB386" s="645"/>
      <c r="AC386" s="643">
        <v>0</v>
      </c>
      <c r="AD386" s="644"/>
      <c r="AE386" s="645"/>
      <c r="AF386" s="643">
        <v>0</v>
      </c>
      <c r="AG386" s="644"/>
      <c r="AH386" s="645"/>
      <c r="AI386" s="643">
        <v>0</v>
      </c>
      <c r="AJ386" s="644"/>
      <c r="AK386" s="645"/>
      <c r="AL386" s="643">
        <v>0</v>
      </c>
      <c r="AM386" s="644"/>
      <c r="AN386" s="645"/>
      <c r="AO386" s="989">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131</v>
      </c>
      <c r="C387" s="618"/>
      <c r="D387" s="625"/>
      <c r="E387" s="639">
        <v>0</v>
      </c>
      <c r="F387" s="618"/>
      <c r="G387" s="625"/>
      <c r="H387" s="639">
        <v>0</v>
      </c>
      <c r="I387" s="618"/>
      <c r="J387" s="625"/>
      <c r="K387" s="639">
        <v>0</v>
      </c>
      <c r="L387" s="618"/>
      <c r="M387" s="625"/>
      <c r="N387" s="639">
        <v>0</v>
      </c>
      <c r="O387" s="618"/>
      <c r="P387" s="625"/>
      <c r="Q387" s="639">
        <v>0</v>
      </c>
      <c r="R387" s="618"/>
      <c r="S387" s="625"/>
      <c r="T387" s="639">
        <v>0</v>
      </c>
      <c r="U387" s="618"/>
      <c r="V387" s="625"/>
      <c r="W387" s="639">
        <v>0</v>
      </c>
      <c r="X387" s="618"/>
      <c r="Y387" s="625"/>
      <c r="Z387" s="639">
        <v>0</v>
      </c>
      <c r="AA387" s="618"/>
      <c r="AB387" s="625"/>
      <c r="AC387" s="639">
        <v>0</v>
      </c>
      <c r="AD387" s="618"/>
      <c r="AE387" s="625"/>
      <c r="AF387" s="639">
        <v>0</v>
      </c>
      <c r="AG387" s="618"/>
      <c r="AH387" s="625"/>
      <c r="AI387" s="639">
        <v>0</v>
      </c>
      <c r="AJ387" s="618"/>
      <c r="AK387" s="625"/>
      <c r="AL387" s="639">
        <v>0</v>
      </c>
      <c r="AM387" s="618"/>
      <c r="AN387" s="625"/>
      <c r="AO387" s="988">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132</v>
      </c>
      <c r="C388" s="618"/>
      <c r="D388" s="625"/>
      <c r="E388" s="639">
        <v>0</v>
      </c>
      <c r="F388" s="618"/>
      <c r="G388" s="625"/>
      <c r="H388" s="639">
        <v>0</v>
      </c>
      <c r="I388" s="618"/>
      <c r="J388" s="625"/>
      <c r="K388" s="639">
        <v>0</v>
      </c>
      <c r="L388" s="618"/>
      <c r="M388" s="625"/>
      <c r="N388" s="639">
        <v>0</v>
      </c>
      <c r="O388" s="618"/>
      <c r="P388" s="625"/>
      <c r="Q388" s="639">
        <v>0</v>
      </c>
      <c r="R388" s="618"/>
      <c r="S388" s="625"/>
      <c r="T388" s="639">
        <v>0</v>
      </c>
      <c r="U388" s="618"/>
      <c r="V388" s="625"/>
      <c r="W388" s="639">
        <v>0</v>
      </c>
      <c r="X388" s="618"/>
      <c r="Y388" s="625"/>
      <c r="Z388" s="639">
        <v>0</v>
      </c>
      <c r="AA388" s="618"/>
      <c r="AB388" s="625"/>
      <c r="AC388" s="639">
        <v>0</v>
      </c>
      <c r="AD388" s="618"/>
      <c r="AE388" s="625"/>
      <c r="AF388" s="639">
        <v>0</v>
      </c>
      <c r="AG388" s="618"/>
      <c r="AH388" s="625"/>
      <c r="AI388" s="639">
        <v>0</v>
      </c>
      <c r="AJ388" s="618"/>
      <c r="AK388" s="625"/>
      <c r="AL388" s="639">
        <v>0</v>
      </c>
      <c r="AM388" s="618"/>
      <c r="AN388" s="625"/>
      <c r="AO388" s="988">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133</v>
      </c>
      <c r="C389" s="618"/>
      <c r="D389" s="625"/>
      <c r="E389" s="639">
        <v>0</v>
      </c>
      <c r="F389" s="618"/>
      <c r="G389" s="625"/>
      <c r="H389" s="639">
        <v>0</v>
      </c>
      <c r="I389" s="618"/>
      <c r="J389" s="625"/>
      <c r="K389" s="639">
        <v>0</v>
      </c>
      <c r="L389" s="618"/>
      <c r="M389" s="625"/>
      <c r="N389" s="639">
        <v>0</v>
      </c>
      <c r="O389" s="618"/>
      <c r="P389" s="625"/>
      <c r="Q389" s="639">
        <v>0</v>
      </c>
      <c r="R389" s="618"/>
      <c r="S389" s="625"/>
      <c r="T389" s="639">
        <v>0</v>
      </c>
      <c r="U389" s="618"/>
      <c r="V389" s="625"/>
      <c r="W389" s="639">
        <v>0</v>
      </c>
      <c r="X389" s="618"/>
      <c r="Y389" s="625"/>
      <c r="Z389" s="639">
        <v>0</v>
      </c>
      <c r="AA389" s="618"/>
      <c r="AB389" s="625"/>
      <c r="AC389" s="639">
        <v>0</v>
      </c>
      <c r="AD389" s="618"/>
      <c r="AE389" s="625"/>
      <c r="AF389" s="639">
        <v>0</v>
      </c>
      <c r="AG389" s="618"/>
      <c r="AH389" s="625"/>
      <c r="AI389" s="639">
        <v>0</v>
      </c>
      <c r="AJ389" s="618"/>
      <c r="AK389" s="625"/>
      <c r="AL389" s="639">
        <v>0</v>
      </c>
      <c r="AM389" s="618"/>
      <c r="AN389" s="625"/>
      <c r="AO389" s="988">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134</v>
      </c>
      <c r="C390" s="618"/>
      <c r="D390" s="625"/>
      <c r="E390" s="639">
        <v>0</v>
      </c>
      <c r="F390" s="618"/>
      <c r="G390" s="625"/>
      <c r="H390" s="639">
        <v>0</v>
      </c>
      <c r="I390" s="618"/>
      <c r="J390" s="625"/>
      <c r="K390" s="639">
        <v>0</v>
      </c>
      <c r="L390" s="618"/>
      <c r="M390" s="625"/>
      <c r="N390" s="639">
        <v>0</v>
      </c>
      <c r="O390" s="618"/>
      <c r="P390" s="625"/>
      <c r="Q390" s="639">
        <v>0</v>
      </c>
      <c r="R390" s="618"/>
      <c r="S390" s="625"/>
      <c r="T390" s="639">
        <v>0</v>
      </c>
      <c r="U390" s="618"/>
      <c r="V390" s="625"/>
      <c r="W390" s="639">
        <v>0</v>
      </c>
      <c r="X390" s="618"/>
      <c r="Y390" s="625"/>
      <c r="Z390" s="639">
        <v>0</v>
      </c>
      <c r="AA390" s="618"/>
      <c r="AB390" s="625"/>
      <c r="AC390" s="639">
        <v>0</v>
      </c>
      <c r="AD390" s="618"/>
      <c r="AE390" s="625"/>
      <c r="AF390" s="639">
        <v>0</v>
      </c>
      <c r="AG390" s="618"/>
      <c r="AH390" s="625"/>
      <c r="AI390" s="639">
        <v>0</v>
      </c>
      <c r="AJ390" s="618"/>
      <c r="AK390" s="625"/>
      <c r="AL390" s="639">
        <v>0</v>
      </c>
      <c r="AM390" s="618"/>
      <c r="AN390" s="625"/>
      <c r="AO390" s="988">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135</v>
      </c>
      <c r="C391" s="618"/>
      <c r="D391" s="625"/>
      <c r="E391" s="639">
        <v>0</v>
      </c>
      <c r="F391" s="618"/>
      <c r="G391" s="625"/>
      <c r="H391" s="639">
        <v>0</v>
      </c>
      <c r="I391" s="618"/>
      <c r="J391" s="625"/>
      <c r="K391" s="639">
        <v>0</v>
      </c>
      <c r="L391" s="618"/>
      <c r="M391" s="625"/>
      <c r="N391" s="639">
        <v>0</v>
      </c>
      <c r="O391" s="618"/>
      <c r="P391" s="625"/>
      <c r="Q391" s="639">
        <v>0</v>
      </c>
      <c r="R391" s="618"/>
      <c r="S391" s="625"/>
      <c r="T391" s="639">
        <v>0</v>
      </c>
      <c r="U391" s="618"/>
      <c r="V391" s="625"/>
      <c r="W391" s="639">
        <v>0</v>
      </c>
      <c r="X391" s="618"/>
      <c r="Y391" s="625"/>
      <c r="Z391" s="639">
        <v>0</v>
      </c>
      <c r="AA391" s="618"/>
      <c r="AB391" s="625"/>
      <c r="AC391" s="639">
        <v>0</v>
      </c>
      <c r="AD391" s="618"/>
      <c r="AE391" s="625"/>
      <c r="AF391" s="639">
        <v>0</v>
      </c>
      <c r="AG391" s="618"/>
      <c r="AH391" s="625"/>
      <c r="AI391" s="639">
        <v>0</v>
      </c>
      <c r="AJ391" s="618"/>
      <c r="AK391" s="625"/>
      <c r="AL391" s="639">
        <v>0</v>
      </c>
      <c r="AM391" s="618"/>
      <c r="AN391" s="625"/>
      <c r="AO391" s="988">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136</v>
      </c>
      <c r="C392" s="618"/>
      <c r="D392" s="625"/>
      <c r="E392" s="639">
        <v>0</v>
      </c>
      <c r="F392" s="618"/>
      <c r="G392" s="625"/>
      <c r="H392" s="639">
        <v>0</v>
      </c>
      <c r="I392" s="618"/>
      <c r="J392" s="625"/>
      <c r="K392" s="639">
        <v>0</v>
      </c>
      <c r="L392" s="618"/>
      <c r="M392" s="625"/>
      <c r="N392" s="639">
        <v>0</v>
      </c>
      <c r="O392" s="618"/>
      <c r="P392" s="625"/>
      <c r="Q392" s="639">
        <v>0</v>
      </c>
      <c r="R392" s="618"/>
      <c r="S392" s="625"/>
      <c r="T392" s="639">
        <v>0</v>
      </c>
      <c r="U392" s="618"/>
      <c r="V392" s="625"/>
      <c r="W392" s="639">
        <v>0</v>
      </c>
      <c r="X392" s="618"/>
      <c r="Y392" s="625"/>
      <c r="Z392" s="639">
        <v>0</v>
      </c>
      <c r="AA392" s="618"/>
      <c r="AB392" s="625"/>
      <c r="AC392" s="639">
        <v>0</v>
      </c>
      <c r="AD392" s="618"/>
      <c r="AE392" s="625"/>
      <c r="AF392" s="639">
        <v>0</v>
      </c>
      <c r="AG392" s="618"/>
      <c r="AH392" s="625"/>
      <c r="AI392" s="639">
        <v>0</v>
      </c>
      <c r="AJ392" s="618"/>
      <c r="AK392" s="625"/>
      <c r="AL392" s="639">
        <v>0</v>
      </c>
      <c r="AM392" s="618"/>
      <c r="AN392" s="625"/>
      <c r="AO392" s="988">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137</v>
      </c>
      <c r="C393" s="618"/>
      <c r="D393" s="625"/>
      <c r="E393" s="639">
        <v>0</v>
      </c>
      <c r="F393" s="618"/>
      <c r="G393" s="625"/>
      <c r="H393" s="639">
        <v>0</v>
      </c>
      <c r="I393" s="618"/>
      <c r="J393" s="625"/>
      <c r="K393" s="639">
        <v>0</v>
      </c>
      <c r="L393" s="618"/>
      <c r="M393" s="625"/>
      <c r="N393" s="639">
        <v>0</v>
      </c>
      <c r="O393" s="618"/>
      <c r="P393" s="625"/>
      <c r="Q393" s="639">
        <v>0</v>
      </c>
      <c r="R393" s="618"/>
      <c r="S393" s="625"/>
      <c r="T393" s="639">
        <v>0</v>
      </c>
      <c r="U393" s="618"/>
      <c r="V393" s="625"/>
      <c r="W393" s="639">
        <v>0</v>
      </c>
      <c r="X393" s="618"/>
      <c r="Y393" s="625"/>
      <c r="Z393" s="639">
        <v>0</v>
      </c>
      <c r="AA393" s="618"/>
      <c r="AB393" s="625"/>
      <c r="AC393" s="639">
        <v>0</v>
      </c>
      <c r="AD393" s="618"/>
      <c r="AE393" s="625"/>
      <c r="AF393" s="639">
        <v>0</v>
      </c>
      <c r="AG393" s="618"/>
      <c r="AH393" s="625"/>
      <c r="AI393" s="639">
        <v>0</v>
      </c>
      <c r="AJ393" s="618"/>
      <c r="AK393" s="625"/>
      <c r="AL393" s="639">
        <v>0</v>
      </c>
      <c r="AM393" s="618"/>
      <c r="AN393" s="625"/>
      <c r="AO393" s="988">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138</v>
      </c>
      <c r="C394" s="618"/>
      <c r="D394" s="625"/>
      <c r="E394" s="639">
        <v>0</v>
      </c>
      <c r="F394" s="618"/>
      <c r="G394" s="625"/>
      <c r="H394" s="639"/>
      <c r="I394" s="618"/>
      <c r="J394" s="625"/>
      <c r="K394" s="639"/>
      <c r="L394" s="618"/>
      <c r="M394" s="625"/>
      <c r="N394" s="639"/>
      <c r="O394" s="618"/>
      <c r="P394" s="625"/>
      <c r="Q394" s="639"/>
      <c r="R394" s="618"/>
      <c r="S394" s="625"/>
      <c r="T394" s="639"/>
      <c r="U394" s="618"/>
      <c r="V394" s="625"/>
      <c r="W394" s="639"/>
      <c r="X394" s="618"/>
      <c r="Y394" s="625"/>
      <c r="Z394" s="639"/>
      <c r="AA394" s="618"/>
      <c r="AB394" s="625"/>
      <c r="AC394" s="639"/>
      <c r="AD394" s="618"/>
      <c r="AE394" s="625"/>
      <c r="AF394" s="639"/>
      <c r="AG394" s="618"/>
      <c r="AH394" s="625"/>
      <c r="AI394" s="639"/>
      <c r="AJ394" s="618"/>
      <c r="AK394" s="625"/>
      <c r="AL394" s="639"/>
      <c r="AM394" s="618"/>
      <c r="AN394" s="625"/>
      <c r="AO394" s="988"/>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55</v>
      </c>
      <c r="C395" s="618"/>
      <c r="D395" s="625"/>
      <c r="E395" s="626"/>
      <c r="F395" s="618"/>
      <c r="G395" s="625"/>
      <c r="H395" s="626"/>
      <c r="I395" s="618"/>
      <c r="J395" s="625"/>
      <c r="K395" s="626"/>
      <c r="L395" s="618"/>
      <c r="M395" s="625"/>
      <c r="N395" s="626"/>
      <c r="O395" s="618"/>
      <c r="P395" s="625"/>
      <c r="Q395" s="626"/>
      <c r="R395" s="618"/>
      <c r="S395" s="625"/>
      <c r="T395" s="626"/>
      <c r="U395" s="618"/>
      <c r="V395" s="625"/>
      <c r="W395" s="626"/>
      <c r="X395" s="618"/>
      <c r="Y395" s="625"/>
      <c r="Z395" s="626"/>
      <c r="AA395" s="618"/>
      <c r="AB395" s="625"/>
      <c r="AC395" s="626"/>
      <c r="AD395" s="618"/>
      <c r="AE395" s="625"/>
      <c r="AF395" s="626"/>
      <c r="AG395" s="618"/>
      <c r="AH395" s="625"/>
      <c r="AI395" s="626"/>
      <c r="AJ395" s="618"/>
      <c r="AK395" s="625"/>
      <c r="AL395" s="626"/>
      <c r="AM395" s="618"/>
      <c r="AN395" s="625"/>
      <c r="AO395" s="626"/>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55</v>
      </c>
      <c r="C396" s="618"/>
      <c r="D396" s="625"/>
      <c r="E396" s="626"/>
      <c r="F396" s="618"/>
      <c r="G396" s="625"/>
      <c r="H396" s="626"/>
      <c r="I396" s="618"/>
      <c r="J396" s="625"/>
      <c r="K396" s="626"/>
      <c r="L396" s="618"/>
      <c r="M396" s="625"/>
      <c r="N396" s="626"/>
      <c r="O396" s="618"/>
      <c r="P396" s="625"/>
      <c r="Q396" s="626"/>
      <c r="R396" s="618"/>
      <c r="S396" s="625"/>
      <c r="T396" s="626"/>
      <c r="U396" s="618"/>
      <c r="V396" s="625"/>
      <c r="W396" s="626"/>
      <c r="X396" s="618"/>
      <c r="Y396" s="625"/>
      <c r="Z396" s="626"/>
      <c r="AA396" s="618"/>
      <c r="AB396" s="625"/>
      <c r="AC396" s="626"/>
      <c r="AD396" s="618"/>
      <c r="AE396" s="625"/>
      <c r="AF396" s="626"/>
      <c r="AG396" s="618"/>
      <c r="AH396" s="625"/>
      <c r="AI396" s="626"/>
      <c r="AJ396" s="618"/>
      <c r="AK396" s="625"/>
      <c r="AL396" s="626"/>
      <c r="AM396" s="618"/>
      <c r="AN396" s="625"/>
      <c r="AO396" s="626"/>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55</v>
      </c>
      <c r="C397" s="644"/>
      <c r="D397" s="645"/>
      <c r="E397" s="626"/>
      <c r="F397" s="644"/>
      <c r="G397" s="645"/>
      <c r="H397" s="626"/>
      <c r="I397" s="644"/>
      <c r="J397" s="645"/>
      <c r="K397" s="626"/>
      <c r="L397" s="644"/>
      <c r="M397" s="645"/>
      <c r="N397" s="626"/>
      <c r="O397" s="644"/>
      <c r="P397" s="645"/>
      <c r="Q397" s="626"/>
      <c r="R397" s="644"/>
      <c r="S397" s="645"/>
      <c r="T397" s="626"/>
      <c r="U397" s="644"/>
      <c r="V397" s="645"/>
      <c r="W397" s="626"/>
      <c r="X397" s="644"/>
      <c r="Y397" s="645"/>
      <c r="Z397" s="626"/>
      <c r="AA397" s="644"/>
      <c r="AB397" s="645"/>
      <c r="AC397" s="626"/>
      <c r="AD397" s="644"/>
      <c r="AE397" s="645"/>
      <c r="AF397" s="626"/>
      <c r="AG397" s="644"/>
      <c r="AH397" s="645"/>
      <c r="AI397" s="626"/>
      <c r="AJ397" s="644"/>
      <c r="AK397" s="645"/>
      <c r="AL397" s="626"/>
      <c r="AM397" s="644"/>
      <c r="AN397" s="645"/>
      <c r="AO397" s="626"/>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139</v>
      </c>
      <c r="C398" s="903" t="s">
        <v>115</v>
      </c>
      <c r="D398" s="904">
        <v>0</v>
      </c>
      <c r="E398" s="905">
        <v>0</v>
      </c>
      <c r="F398" s="903" t="s">
        <v>115</v>
      </c>
      <c r="G398" s="904">
        <v>0</v>
      </c>
      <c r="H398" s="905">
        <v>0</v>
      </c>
      <c r="I398" s="903" t="s">
        <v>115</v>
      </c>
      <c r="J398" s="904">
        <v>0</v>
      </c>
      <c r="K398" s="905">
        <v>0</v>
      </c>
      <c r="L398" s="903" t="s">
        <v>115</v>
      </c>
      <c r="M398" s="904">
        <v>0</v>
      </c>
      <c r="N398" s="905">
        <v>0</v>
      </c>
      <c r="O398" s="903" t="s">
        <v>115</v>
      </c>
      <c r="P398" s="904">
        <v>0</v>
      </c>
      <c r="Q398" s="905">
        <v>0</v>
      </c>
      <c r="R398" s="903" t="s">
        <v>115</v>
      </c>
      <c r="S398" s="904">
        <v>0</v>
      </c>
      <c r="T398" s="905">
        <v>0</v>
      </c>
      <c r="U398" s="903" t="s">
        <v>115</v>
      </c>
      <c r="V398" s="904">
        <v>0</v>
      </c>
      <c r="W398" s="990">
        <v>0</v>
      </c>
      <c r="X398" s="903" t="s">
        <v>115</v>
      </c>
      <c r="Y398" s="904">
        <v>0</v>
      </c>
      <c r="Z398" s="990">
        <v>0</v>
      </c>
      <c r="AA398" s="903" t="s">
        <v>115</v>
      </c>
      <c r="AB398" s="904">
        <v>0</v>
      </c>
      <c r="AC398" s="990">
        <v>0</v>
      </c>
      <c r="AD398" s="903" t="s">
        <v>115</v>
      </c>
      <c r="AE398" s="904">
        <v>0</v>
      </c>
      <c r="AF398" s="990">
        <v>0</v>
      </c>
      <c r="AG398" s="903" t="s">
        <v>115</v>
      </c>
      <c r="AH398" s="904">
        <v>0</v>
      </c>
      <c r="AI398" s="905">
        <v>0</v>
      </c>
      <c r="AJ398" s="903" t="s">
        <v>115</v>
      </c>
      <c r="AK398" s="904">
        <v>0</v>
      </c>
      <c r="AL398" s="905">
        <v>0</v>
      </c>
      <c r="AM398" s="903" t="s">
        <v>115</v>
      </c>
      <c r="AN398" s="904">
        <v>0</v>
      </c>
      <c r="AO398" s="905">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618"/>
      <c r="D399" s="625"/>
      <c r="E399" s="619"/>
      <c r="F399" s="618"/>
      <c r="G399" s="625"/>
      <c r="H399" s="619"/>
      <c r="I399" s="618"/>
      <c r="J399" s="625"/>
      <c r="K399" s="619"/>
      <c r="L399" s="618"/>
      <c r="M399" s="625"/>
      <c r="N399" s="619"/>
      <c r="O399" s="618"/>
      <c r="P399" s="625"/>
      <c r="Q399" s="619"/>
      <c r="R399" s="618"/>
      <c r="S399" s="625"/>
      <c r="T399" s="619"/>
      <c r="U399" s="618"/>
      <c r="V399" s="625"/>
      <c r="W399" s="619"/>
      <c r="X399" s="618"/>
      <c r="Y399" s="625"/>
      <c r="Z399" s="619"/>
      <c r="AA399" s="618"/>
      <c r="AB399" s="625"/>
      <c r="AC399" s="619"/>
      <c r="AD399" s="618"/>
      <c r="AE399" s="625"/>
      <c r="AF399" s="619"/>
      <c r="AG399" s="618"/>
      <c r="AH399" s="625"/>
      <c r="AI399" s="619"/>
      <c r="AJ399" s="618"/>
      <c r="AK399" s="625"/>
      <c r="AL399" s="619"/>
      <c r="AM399" s="618"/>
      <c r="AN399" s="625"/>
      <c r="AO399" s="619"/>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140</v>
      </c>
      <c r="C400" s="903" t="s">
        <v>115</v>
      </c>
      <c r="D400" s="904">
        <v>0</v>
      </c>
      <c r="E400" s="905">
        <v>0</v>
      </c>
      <c r="F400" s="903" t="s">
        <v>115</v>
      </c>
      <c r="G400" s="904">
        <v>0</v>
      </c>
      <c r="H400" s="905">
        <v>0</v>
      </c>
      <c r="I400" s="903" t="s">
        <v>115</v>
      </c>
      <c r="J400" s="904">
        <v>0</v>
      </c>
      <c r="K400" s="905">
        <v>0</v>
      </c>
      <c r="L400" s="903" t="s">
        <v>115</v>
      </c>
      <c r="M400" s="904">
        <v>0</v>
      </c>
      <c r="N400" s="905">
        <v>0</v>
      </c>
      <c r="O400" s="903" t="s">
        <v>115</v>
      </c>
      <c r="P400" s="904">
        <v>0</v>
      </c>
      <c r="Q400" s="905">
        <v>0</v>
      </c>
      <c r="R400" s="903" t="s">
        <v>115</v>
      </c>
      <c r="S400" s="904">
        <v>0</v>
      </c>
      <c r="T400" s="905">
        <v>0</v>
      </c>
      <c r="U400" s="903" t="s">
        <v>115</v>
      </c>
      <c r="V400" s="904">
        <v>0</v>
      </c>
      <c r="W400" s="990">
        <v>0</v>
      </c>
      <c r="X400" s="903" t="s">
        <v>115</v>
      </c>
      <c r="Y400" s="904">
        <v>0</v>
      </c>
      <c r="Z400" s="990">
        <v>0</v>
      </c>
      <c r="AA400" s="903" t="s">
        <v>115</v>
      </c>
      <c r="AB400" s="904">
        <v>0</v>
      </c>
      <c r="AC400" s="990">
        <v>0</v>
      </c>
      <c r="AD400" s="903" t="s">
        <v>115</v>
      </c>
      <c r="AE400" s="904">
        <v>0</v>
      </c>
      <c r="AF400" s="990">
        <v>0</v>
      </c>
      <c r="AG400" s="903" t="s">
        <v>115</v>
      </c>
      <c r="AH400" s="904">
        <v>0</v>
      </c>
      <c r="AI400" s="905">
        <v>0</v>
      </c>
      <c r="AJ400" s="903" t="s">
        <v>115</v>
      </c>
      <c r="AK400" s="904">
        <v>0</v>
      </c>
      <c r="AL400" s="905">
        <v>0</v>
      </c>
      <c r="AM400" s="903" t="s">
        <v>115</v>
      </c>
      <c r="AN400" s="904">
        <v>0</v>
      </c>
      <c r="AO400" s="905">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618"/>
      <c r="D401" s="625"/>
      <c r="E401" s="626"/>
      <c r="F401" s="618"/>
      <c r="G401" s="625"/>
      <c r="H401" s="626"/>
      <c r="I401" s="618"/>
      <c r="J401" s="625"/>
      <c r="K401" s="626"/>
      <c r="L401" s="618"/>
      <c r="M401" s="625"/>
      <c r="N401" s="626"/>
      <c r="O401" s="618"/>
      <c r="P401" s="625"/>
      <c r="Q401" s="626"/>
      <c r="R401" s="618"/>
      <c r="S401" s="625"/>
      <c r="T401" s="626"/>
      <c r="U401" s="618"/>
      <c r="V401" s="625"/>
      <c r="W401" s="626"/>
      <c r="X401" s="618"/>
      <c r="Y401" s="625"/>
      <c r="Z401" s="626"/>
      <c r="AA401" s="618"/>
      <c r="AB401" s="625"/>
      <c r="AC401" s="626"/>
      <c r="AD401" s="618"/>
      <c r="AE401" s="625"/>
      <c r="AF401" s="626"/>
      <c r="AG401" s="618"/>
      <c r="AH401" s="625"/>
      <c r="AI401" s="626"/>
      <c r="AJ401" s="618"/>
      <c r="AK401" s="625"/>
      <c r="AL401" s="626"/>
      <c r="AM401" s="618"/>
      <c r="AN401" s="625"/>
      <c r="AO401" s="626"/>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147</v>
      </c>
      <c r="C402" s="703"/>
      <c r="D402" s="704"/>
      <c r="E402" s="705">
        <v>0</v>
      </c>
      <c r="F402" s="703"/>
      <c r="G402" s="704"/>
      <c r="H402" s="705">
        <v>0</v>
      </c>
      <c r="I402" s="703"/>
      <c r="J402" s="704"/>
      <c r="K402" s="705">
        <v>0</v>
      </c>
      <c r="L402" s="703"/>
      <c r="M402" s="704"/>
      <c r="N402" s="705">
        <v>0</v>
      </c>
      <c r="O402" s="703"/>
      <c r="P402" s="704"/>
      <c r="Q402" s="705">
        <v>0</v>
      </c>
      <c r="R402" s="703"/>
      <c r="S402" s="704"/>
      <c r="T402" s="705">
        <v>0</v>
      </c>
      <c r="U402" s="703"/>
      <c r="V402" s="704"/>
      <c r="W402" s="1012">
        <v>0</v>
      </c>
      <c r="X402" s="703"/>
      <c r="Y402" s="704"/>
      <c r="Z402" s="1012">
        <v>0</v>
      </c>
      <c r="AA402" s="703"/>
      <c r="AB402" s="704"/>
      <c r="AC402" s="1012">
        <v>0</v>
      </c>
      <c r="AD402" s="703"/>
      <c r="AE402" s="704"/>
      <c r="AF402" s="1012">
        <v>0</v>
      </c>
      <c r="AG402" s="703"/>
      <c r="AH402" s="704"/>
      <c r="AI402" s="705">
        <v>0</v>
      </c>
      <c r="AJ402" s="703"/>
      <c r="AK402" s="704"/>
      <c r="AL402" s="705">
        <v>0</v>
      </c>
      <c r="AM402" s="703"/>
      <c r="AN402" s="704"/>
      <c r="AO402" s="705">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666"/>
      <c r="D403" s="666"/>
      <c r="E403" s="702">
        <v>0</v>
      </c>
      <c r="F403" s="666"/>
      <c r="G403" s="666"/>
      <c r="H403" s="702"/>
      <c r="I403" s="666"/>
      <c r="J403" s="666"/>
      <c r="K403" s="702"/>
      <c r="L403" s="666"/>
      <c r="M403" s="666"/>
      <c r="N403" s="702"/>
      <c r="O403" s="666"/>
      <c r="P403" s="666"/>
      <c r="Q403" s="702"/>
      <c r="R403" s="666"/>
      <c r="S403" s="666"/>
      <c r="T403" s="702"/>
      <c r="U403" s="666"/>
      <c r="V403" s="666"/>
      <c r="W403" s="702"/>
      <c r="X403" s="666"/>
      <c r="Y403" s="666"/>
      <c r="Z403" s="702"/>
      <c r="AA403" s="666"/>
      <c r="AB403" s="666"/>
      <c r="AC403" s="702"/>
      <c r="AD403" s="666"/>
      <c r="AE403" s="666"/>
      <c r="AF403" s="702"/>
      <c r="AG403" s="666"/>
      <c r="AH403" s="666"/>
      <c r="AI403" s="702"/>
      <c r="AJ403" s="666"/>
      <c r="AK403" s="666"/>
      <c r="AL403" s="702"/>
      <c r="AM403" s="666"/>
      <c r="AN403" s="666"/>
      <c r="AO403" s="702"/>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625"/>
      <c r="D404" s="625"/>
      <c r="E404" s="638"/>
      <c r="F404" s="625"/>
      <c r="G404" s="625"/>
      <c r="H404" s="638">
        <v>0</v>
      </c>
      <c r="I404" s="625"/>
      <c r="J404" s="625"/>
      <c r="K404" s="638">
        <v>0</v>
      </c>
      <c r="L404" s="625"/>
      <c r="M404" s="625"/>
      <c r="N404" s="638">
        <v>0</v>
      </c>
      <c r="O404" s="625"/>
      <c r="P404" s="625"/>
      <c r="Q404" s="638">
        <v>0</v>
      </c>
      <c r="R404" s="625"/>
      <c r="S404" s="625"/>
      <c r="T404" s="638">
        <v>0</v>
      </c>
      <c r="U404" s="625"/>
      <c r="V404" s="625"/>
      <c r="W404" s="638">
        <v>0</v>
      </c>
      <c r="X404" s="625"/>
      <c r="Y404" s="625"/>
      <c r="Z404" s="638">
        <v>0</v>
      </c>
      <c r="AA404" s="625"/>
      <c r="AB404" s="625"/>
      <c r="AC404" s="638">
        <v>0</v>
      </c>
      <c r="AD404" s="625"/>
      <c r="AE404" s="625"/>
      <c r="AF404" s="638">
        <v>0</v>
      </c>
      <c r="AG404" s="625"/>
      <c r="AH404" s="625"/>
      <c r="AI404" s="638">
        <v>0</v>
      </c>
      <c r="AJ404" s="625"/>
      <c r="AK404" s="625"/>
      <c r="AL404" s="638">
        <v>0</v>
      </c>
      <c r="AM404" s="625"/>
      <c r="AN404" s="625"/>
      <c r="AO404" s="638">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1110</v>
      </c>
      <c r="C405" s="658" t="s">
        <v>194</v>
      </c>
      <c r="D405" s="658"/>
      <c r="E405" s="658"/>
      <c r="F405" s="658"/>
      <c r="G405" s="658"/>
      <c r="H405" s="658"/>
      <c r="I405" s="658"/>
      <c r="J405" s="658"/>
      <c r="K405" s="658"/>
      <c r="L405" s="658"/>
      <c r="M405" s="658"/>
      <c r="N405" s="658"/>
      <c r="O405" s="658"/>
      <c r="P405" s="658"/>
      <c r="Q405" s="658"/>
      <c r="R405" s="658"/>
      <c r="S405" s="658"/>
      <c r="T405" s="658"/>
      <c r="U405" s="658"/>
      <c r="V405" s="658"/>
      <c r="W405" s="658"/>
      <c r="X405" s="658"/>
      <c r="Y405" s="658"/>
      <c r="Z405" s="658"/>
      <c r="AA405" s="658"/>
      <c r="AB405" s="658"/>
      <c r="AC405" s="658"/>
      <c r="AD405" s="658"/>
      <c r="AE405" s="658"/>
      <c r="AF405" s="658"/>
      <c r="AG405" s="658"/>
      <c r="AH405" s="658"/>
      <c r="AI405" s="658"/>
      <c r="AJ405" s="658"/>
      <c r="AK405" s="658"/>
      <c r="AL405" s="658"/>
      <c r="AM405" s="658"/>
      <c r="AN405" s="658"/>
      <c r="AO405" s="658"/>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707"/>
      <c r="D406" s="707"/>
      <c r="E406" s="707"/>
      <c r="F406" s="707"/>
      <c r="G406" s="707"/>
      <c r="H406" s="708">
        <v>7055316.1389505528</v>
      </c>
      <c r="I406" s="707"/>
      <c r="J406" s="707"/>
      <c r="K406" s="708">
        <v>7055316.1389505528</v>
      </c>
      <c r="L406" s="707"/>
      <c r="M406" s="707"/>
      <c r="N406" s="708">
        <v>7055316.1389505528</v>
      </c>
      <c r="O406" s="707"/>
      <c r="P406" s="707"/>
      <c r="Q406" s="708">
        <v>7055316.1389505528</v>
      </c>
      <c r="R406" s="707"/>
      <c r="S406" s="707"/>
      <c r="T406" s="708">
        <v>7055316.1389505528</v>
      </c>
      <c r="U406" s="707"/>
      <c r="V406" s="707"/>
      <c r="W406" s="708">
        <v>7055316.1389505528</v>
      </c>
      <c r="X406" s="707"/>
      <c r="Y406" s="707"/>
      <c r="Z406" s="708">
        <v>7055316.1389505528</v>
      </c>
      <c r="AA406" s="707"/>
      <c r="AB406" s="707"/>
      <c r="AC406" s="708">
        <v>7055316.1389505528</v>
      </c>
      <c r="AD406" s="707"/>
      <c r="AE406" s="707"/>
      <c r="AF406" s="708">
        <v>7055316.1389505528</v>
      </c>
      <c r="AG406" s="707"/>
      <c r="AH406" s="707"/>
      <c r="AI406" s="708">
        <v>7055316.1389505528</v>
      </c>
      <c r="AJ406" s="707"/>
      <c r="AK406" s="707"/>
      <c r="AL406" s="708">
        <v>7055316.1389505528</v>
      </c>
      <c r="AM406" s="707"/>
      <c r="AN406" s="707"/>
      <c r="AO406" s="708">
        <v>7055316.1389505528</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2</v>
      </c>
      <c r="C407" s="603">
        <v>2025</v>
      </c>
      <c r="D407" s="604"/>
      <c r="E407" s="605"/>
      <c r="F407" s="603" t="s">
        <v>6</v>
      </c>
      <c r="G407" s="604"/>
      <c r="H407" s="605"/>
      <c r="I407" s="603" t="s">
        <v>8</v>
      </c>
      <c r="J407" s="604"/>
      <c r="K407" s="605"/>
      <c r="L407" s="603" t="s">
        <v>9</v>
      </c>
      <c r="M407" s="604"/>
      <c r="N407" s="605"/>
      <c r="O407" s="603" t="s">
        <v>10</v>
      </c>
      <c r="P407" s="604"/>
      <c r="Q407" s="605"/>
      <c r="R407" s="603" t="s">
        <v>11</v>
      </c>
      <c r="S407" s="604"/>
      <c r="T407" s="605"/>
      <c r="U407" s="603" t="s">
        <v>12</v>
      </c>
      <c r="V407" s="604"/>
      <c r="W407" s="605"/>
      <c r="X407" s="603" t="s">
        <v>14</v>
      </c>
      <c r="Y407" s="604"/>
      <c r="Z407" s="605"/>
      <c r="AA407" s="603" t="s">
        <v>15</v>
      </c>
      <c r="AB407" s="604"/>
      <c r="AC407" s="605"/>
      <c r="AD407" s="603" t="s">
        <v>17</v>
      </c>
      <c r="AE407" s="604"/>
      <c r="AF407" s="605"/>
      <c r="AG407" s="603" t="s">
        <v>18</v>
      </c>
      <c r="AH407" s="604"/>
      <c r="AI407" s="605"/>
      <c r="AJ407" s="603" t="s">
        <v>19</v>
      </c>
      <c r="AK407" s="604"/>
      <c r="AL407" s="605"/>
      <c r="AM407" s="603" t="s">
        <v>5</v>
      </c>
      <c r="AN407" s="604"/>
      <c r="AO407" s="605"/>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709" t="s">
        <v>195</v>
      </c>
      <c r="D408" s="710" t="s">
        <v>196</v>
      </c>
      <c r="E408" s="711" t="s">
        <v>197</v>
      </c>
      <c r="F408" s="709" t="s">
        <v>195</v>
      </c>
      <c r="G408" s="710" t="s">
        <v>196</v>
      </c>
      <c r="H408" s="711" t="s">
        <v>197</v>
      </c>
      <c r="I408" s="709" t="s">
        <v>195</v>
      </c>
      <c r="J408" s="710" t="s">
        <v>196</v>
      </c>
      <c r="K408" s="711" t="s">
        <v>197</v>
      </c>
      <c r="L408" s="709" t="s">
        <v>195</v>
      </c>
      <c r="M408" s="710" t="s">
        <v>196</v>
      </c>
      <c r="N408" s="711" t="s">
        <v>197</v>
      </c>
      <c r="O408" s="709" t="s">
        <v>195</v>
      </c>
      <c r="P408" s="710" t="s">
        <v>196</v>
      </c>
      <c r="Q408" s="711" t="s">
        <v>197</v>
      </c>
      <c r="R408" s="709" t="s">
        <v>195</v>
      </c>
      <c r="S408" s="710" t="s">
        <v>196</v>
      </c>
      <c r="T408" s="711" t="s">
        <v>197</v>
      </c>
      <c r="U408" s="709" t="s">
        <v>195</v>
      </c>
      <c r="V408" s="710" t="s">
        <v>196</v>
      </c>
      <c r="W408" s="711" t="s">
        <v>197</v>
      </c>
      <c r="X408" s="709" t="s">
        <v>195</v>
      </c>
      <c r="Y408" s="710" t="s">
        <v>196</v>
      </c>
      <c r="Z408" s="711" t="s">
        <v>197</v>
      </c>
      <c r="AA408" s="709" t="s">
        <v>195</v>
      </c>
      <c r="AB408" s="710" t="s">
        <v>196</v>
      </c>
      <c r="AC408" s="711" t="s">
        <v>197</v>
      </c>
      <c r="AD408" s="709" t="s">
        <v>195</v>
      </c>
      <c r="AE408" s="710" t="s">
        <v>196</v>
      </c>
      <c r="AF408" s="711" t="s">
        <v>197</v>
      </c>
      <c r="AG408" s="709" t="s">
        <v>195</v>
      </c>
      <c r="AH408" s="710" t="s">
        <v>196</v>
      </c>
      <c r="AI408" s="711" t="s">
        <v>197</v>
      </c>
      <c r="AJ408" s="709" t="s">
        <v>195</v>
      </c>
      <c r="AK408" s="710" t="s">
        <v>196</v>
      </c>
      <c r="AL408" s="711" t="s">
        <v>197</v>
      </c>
      <c r="AM408" s="709" t="s">
        <v>195</v>
      </c>
      <c r="AN408" s="710" t="s">
        <v>196</v>
      </c>
      <c r="AO408" s="711" t="s">
        <v>197</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92</v>
      </c>
      <c r="C409" s="712"/>
      <c r="D409" s="713"/>
      <c r="E409" s="714"/>
      <c r="F409" s="712"/>
      <c r="G409" s="713"/>
      <c r="H409" s="714"/>
      <c r="I409" s="712"/>
      <c r="J409" s="713"/>
      <c r="K409" s="714"/>
      <c r="L409" s="712"/>
      <c r="M409" s="713"/>
      <c r="N409" s="714"/>
      <c r="O409" s="712"/>
      <c r="P409" s="713"/>
      <c r="Q409" s="714"/>
      <c r="R409" s="712"/>
      <c r="S409" s="713"/>
      <c r="T409" s="714"/>
      <c r="U409" s="712"/>
      <c r="V409" s="713"/>
      <c r="W409" s="714"/>
      <c r="X409" s="712"/>
      <c r="Y409" s="713"/>
      <c r="Z409" s="714"/>
      <c r="AA409" s="712"/>
      <c r="AB409" s="713"/>
      <c r="AC409" s="714"/>
      <c r="AD409" s="712"/>
      <c r="AE409" s="713"/>
      <c r="AF409" s="714"/>
      <c r="AG409" s="712"/>
      <c r="AH409" s="713"/>
      <c r="AI409" s="714"/>
      <c r="AJ409" s="712"/>
      <c r="AK409" s="713"/>
      <c r="AL409" s="714"/>
      <c r="AM409" s="712"/>
      <c r="AN409" s="713"/>
      <c r="AO409" s="714"/>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198</v>
      </c>
      <c r="C410" s="715"/>
      <c r="D410" s="716"/>
      <c r="E410" s="717"/>
      <c r="F410" s="715"/>
      <c r="G410" s="716"/>
      <c r="H410" s="717"/>
      <c r="I410" s="715"/>
      <c r="J410" s="716"/>
      <c r="K410" s="717"/>
      <c r="L410" s="715"/>
      <c r="M410" s="716"/>
      <c r="N410" s="717"/>
      <c r="O410" s="715"/>
      <c r="P410" s="716"/>
      <c r="Q410" s="717"/>
      <c r="R410" s="715"/>
      <c r="S410" s="716"/>
      <c r="T410" s="717"/>
      <c r="U410" s="715"/>
      <c r="V410" s="716"/>
      <c r="W410" s="1013"/>
      <c r="X410" s="715"/>
      <c r="Y410" s="716"/>
      <c r="Z410" s="1013"/>
      <c r="AA410" s="715"/>
      <c r="AB410" s="716"/>
      <c r="AC410" s="1013"/>
      <c r="AD410" s="715"/>
      <c r="AE410" s="716"/>
      <c r="AF410" s="1013"/>
      <c r="AG410" s="715"/>
      <c r="AH410" s="716"/>
      <c r="AI410" s="717"/>
      <c r="AJ410" s="715"/>
      <c r="AK410" s="716"/>
      <c r="AL410" s="717"/>
      <c r="AM410" s="715"/>
      <c r="AN410" s="716"/>
      <c r="AO410" s="717"/>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199</v>
      </c>
      <c r="C411" s="718"/>
      <c r="D411" s="719"/>
      <c r="E411" s="720"/>
      <c r="F411" s="718"/>
      <c r="G411" s="719"/>
      <c r="H411" s="720"/>
      <c r="I411" s="718"/>
      <c r="J411" s="719"/>
      <c r="K411" s="720"/>
      <c r="L411" s="718"/>
      <c r="M411" s="719"/>
      <c r="N411" s="720"/>
      <c r="O411" s="718"/>
      <c r="P411" s="719"/>
      <c r="Q411" s="720"/>
      <c r="R411" s="718"/>
      <c r="S411" s="719"/>
      <c r="T411" s="720"/>
      <c r="U411" s="718"/>
      <c r="V411" s="719"/>
      <c r="W411" s="720"/>
      <c r="X411" s="718"/>
      <c r="Y411" s="719"/>
      <c r="Z411" s="720"/>
      <c r="AA411" s="718"/>
      <c r="AB411" s="719"/>
      <c r="AC411" s="720"/>
      <c r="AD411" s="718"/>
      <c r="AE411" s="719"/>
      <c r="AF411" s="720"/>
      <c r="AG411" s="718"/>
      <c r="AH411" s="719"/>
      <c r="AI411" s="720"/>
      <c r="AJ411" s="718"/>
      <c r="AK411" s="719"/>
      <c r="AL411" s="720"/>
      <c r="AM411" s="718"/>
      <c r="AN411" s="719"/>
      <c r="AO411" s="720"/>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107</v>
      </c>
      <c r="C412" s="723"/>
      <c r="D412" s="722"/>
      <c r="E412" s="720"/>
      <c r="F412" s="723"/>
      <c r="G412" s="722"/>
      <c r="H412" s="720"/>
      <c r="I412" s="723"/>
      <c r="J412" s="722"/>
      <c r="K412" s="720"/>
      <c r="L412" s="723"/>
      <c r="M412" s="722"/>
      <c r="N412" s="720"/>
      <c r="O412" s="723"/>
      <c r="P412" s="722"/>
      <c r="Q412" s="720"/>
      <c r="R412" s="723"/>
      <c r="S412" s="722"/>
      <c r="T412" s="720"/>
      <c r="U412" s="723"/>
      <c r="V412" s="722"/>
      <c r="W412" s="720"/>
      <c r="X412" s="723"/>
      <c r="Y412" s="722"/>
      <c r="Z412" s="720"/>
      <c r="AA412" s="723"/>
      <c r="AB412" s="722"/>
      <c r="AC412" s="720"/>
      <c r="AD412" s="723"/>
      <c r="AE412" s="722"/>
      <c r="AF412" s="720"/>
      <c r="AG412" s="723"/>
      <c r="AH412" s="722"/>
      <c r="AI412" s="720"/>
      <c r="AJ412" s="723"/>
      <c r="AK412" s="722"/>
      <c r="AL412" s="720"/>
      <c r="AM412" s="723"/>
      <c r="AN412" s="722"/>
      <c r="AO412" s="720"/>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108</v>
      </c>
      <c r="C413" s="726"/>
      <c r="D413" s="725"/>
      <c r="E413" s="714"/>
      <c r="F413" s="726"/>
      <c r="G413" s="725"/>
      <c r="H413" s="714"/>
      <c r="I413" s="726"/>
      <c r="J413" s="725"/>
      <c r="K413" s="714"/>
      <c r="L413" s="726"/>
      <c r="M413" s="725"/>
      <c r="N413" s="714"/>
      <c r="O413" s="726"/>
      <c r="P413" s="725"/>
      <c r="Q413" s="714"/>
      <c r="R413" s="726"/>
      <c r="S413" s="725"/>
      <c r="T413" s="714"/>
      <c r="U413" s="726"/>
      <c r="V413" s="725"/>
      <c r="W413" s="714"/>
      <c r="X413" s="726"/>
      <c r="Y413" s="725"/>
      <c r="Z413" s="714"/>
      <c r="AA413" s="726"/>
      <c r="AB413" s="725"/>
      <c r="AC413" s="714"/>
      <c r="AD413" s="726"/>
      <c r="AE413" s="725"/>
      <c r="AF413" s="714"/>
      <c r="AG413" s="726"/>
      <c r="AH413" s="725"/>
      <c r="AI413" s="714"/>
      <c r="AJ413" s="726"/>
      <c r="AK413" s="725"/>
      <c r="AL413" s="714"/>
      <c r="AM413" s="726"/>
      <c r="AN413" s="725"/>
      <c r="AO413" s="714"/>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109</v>
      </c>
      <c r="C414" s="723"/>
      <c r="D414" s="722"/>
      <c r="E414" s="720"/>
      <c r="F414" s="723"/>
      <c r="G414" s="722"/>
      <c r="H414" s="720"/>
      <c r="I414" s="723"/>
      <c r="J414" s="722"/>
      <c r="K414" s="720"/>
      <c r="L414" s="723"/>
      <c r="M414" s="722"/>
      <c r="N414" s="720"/>
      <c r="O414" s="723"/>
      <c r="P414" s="722"/>
      <c r="Q414" s="720"/>
      <c r="R414" s="723"/>
      <c r="S414" s="722"/>
      <c r="T414" s="720"/>
      <c r="U414" s="723"/>
      <c r="V414" s="722"/>
      <c r="W414" s="720"/>
      <c r="X414" s="723"/>
      <c r="Y414" s="722"/>
      <c r="Z414" s="720"/>
      <c r="AA414" s="723"/>
      <c r="AB414" s="722"/>
      <c r="AC414" s="720"/>
      <c r="AD414" s="723"/>
      <c r="AE414" s="722"/>
      <c r="AF414" s="720"/>
      <c r="AG414" s="723"/>
      <c r="AH414" s="722"/>
      <c r="AI414" s="720"/>
      <c r="AJ414" s="723"/>
      <c r="AK414" s="722"/>
      <c r="AL414" s="720"/>
      <c r="AM414" s="723"/>
      <c r="AN414" s="722"/>
      <c r="AO414" s="720"/>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110</v>
      </c>
      <c r="C415" s="723"/>
      <c r="D415" s="722"/>
      <c r="E415" s="720"/>
      <c r="F415" s="723"/>
      <c r="G415" s="722"/>
      <c r="H415" s="720"/>
      <c r="I415" s="723"/>
      <c r="J415" s="722"/>
      <c r="K415" s="720"/>
      <c r="L415" s="723"/>
      <c r="M415" s="722"/>
      <c r="N415" s="720"/>
      <c r="O415" s="723"/>
      <c r="P415" s="722"/>
      <c r="Q415" s="720"/>
      <c r="R415" s="723"/>
      <c r="S415" s="722"/>
      <c r="T415" s="720"/>
      <c r="U415" s="723"/>
      <c r="V415" s="722"/>
      <c r="W415" s="720"/>
      <c r="X415" s="723"/>
      <c r="Y415" s="722"/>
      <c r="Z415" s="720"/>
      <c r="AA415" s="723"/>
      <c r="AB415" s="722"/>
      <c r="AC415" s="720"/>
      <c r="AD415" s="723"/>
      <c r="AE415" s="722"/>
      <c r="AF415" s="720"/>
      <c r="AG415" s="723"/>
      <c r="AH415" s="722"/>
      <c r="AI415" s="720"/>
      <c r="AJ415" s="723"/>
      <c r="AK415" s="722"/>
      <c r="AL415" s="720"/>
      <c r="AM415" s="723"/>
      <c r="AN415" s="722"/>
      <c r="AO415" s="720"/>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111</v>
      </c>
      <c r="C416" s="726"/>
      <c r="D416" s="725"/>
      <c r="E416" s="714"/>
      <c r="F416" s="726"/>
      <c r="G416" s="725"/>
      <c r="H416" s="714"/>
      <c r="I416" s="726"/>
      <c r="J416" s="725"/>
      <c r="K416" s="714"/>
      <c r="L416" s="726"/>
      <c r="M416" s="725"/>
      <c r="N416" s="714"/>
      <c r="O416" s="726"/>
      <c r="P416" s="725"/>
      <c r="Q416" s="714"/>
      <c r="R416" s="726"/>
      <c r="S416" s="725"/>
      <c r="T416" s="714"/>
      <c r="U416" s="726"/>
      <c r="V416" s="725"/>
      <c r="W416" s="714"/>
      <c r="X416" s="726"/>
      <c r="Y416" s="725"/>
      <c r="Z416" s="714"/>
      <c r="AA416" s="726"/>
      <c r="AB416" s="725"/>
      <c r="AC416" s="714"/>
      <c r="AD416" s="726"/>
      <c r="AE416" s="725"/>
      <c r="AF416" s="714"/>
      <c r="AG416" s="726"/>
      <c r="AH416" s="725"/>
      <c r="AI416" s="714"/>
      <c r="AJ416" s="726"/>
      <c r="AK416" s="725"/>
      <c r="AL416" s="714"/>
      <c r="AM416" s="726"/>
      <c r="AN416" s="725"/>
      <c r="AO416" s="714"/>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112</v>
      </c>
      <c r="C417" s="723"/>
      <c r="D417" s="722"/>
      <c r="E417" s="720"/>
      <c r="F417" s="723"/>
      <c r="G417" s="722"/>
      <c r="H417" s="720"/>
      <c r="I417" s="723"/>
      <c r="J417" s="722"/>
      <c r="K417" s="720"/>
      <c r="L417" s="723"/>
      <c r="M417" s="722"/>
      <c r="N417" s="720"/>
      <c r="O417" s="723"/>
      <c r="P417" s="722"/>
      <c r="Q417" s="720"/>
      <c r="R417" s="723"/>
      <c r="S417" s="722"/>
      <c r="T417" s="720"/>
      <c r="U417" s="723"/>
      <c r="V417" s="722"/>
      <c r="W417" s="720"/>
      <c r="X417" s="723"/>
      <c r="Y417" s="722"/>
      <c r="Z417" s="720"/>
      <c r="AA417" s="723"/>
      <c r="AB417" s="722"/>
      <c r="AC417" s="720"/>
      <c r="AD417" s="723"/>
      <c r="AE417" s="722"/>
      <c r="AF417" s="720"/>
      <c r="AG417" s="723"/>
      <c r="AH417" s="722"/>
      <c r="AI417" s="720"/>
      <c r="AJ417" s="723"/>
      <c r="AK417" s="722"/>
      <c r="AL417" s="720"/>
      <c r="AM417" s="723"/>
      <c r="AN417" s="722"/>
      <c r="AO417" s="720"/>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113</v>
      </c>
      <c r="C418" s="723"/>
      <c r="D418" s="722"/>
      <c r="E418" s="720"/>
      <c r="F418" s="723"/>
      <c r="G418" s="722"/>
      <c r="H418" s="720"/>
      <c r="I418" s="723"/>
      <c r="J418" s="722"/>
      <c r="K418" s="720"/>
      <c r="L418" s="723"/>
      <c r="M418" s="722"/>
      <c r="N418" s="720"/>
      <c r="O418" s="723"/>
      <c r="P418" s="722"/>
      <c r="Q418" s="720"/>
      <c r="R418" s="723"/>
      <c r="S418" s="722"/>
      <c r="T418" s="720"/>
      <c r="U418" s="723"/>
      <c r="V418" s="722"/>
      <c r="W418" s="720"/>
      <c r="X418" s="723"/>
      <c r="Y418" s="722"/>
      <c r="Z418" s="720"/>
      <c r="AA418" s="723"/>
      <c r="AB418" s="722"/>
      <c r="AC418" s="720"/>
      <c r="AD418" s="723"/>
      <c r="AE418" s="722"/>
      <c r="AF418" s="720"/>
      <c r="AG418" s="723"/>
      <c r="AH418" s="722"/>
      <c r="AI418" s="720"/>
      <c r="AJ418" s="723"/>
      <c r="AK418" s="722"/>
      <c r="AL418" s="720"/>
      <c r="AM418" s="723"/>
      <c r="AN418" s="722"/>
      <c r="AO418" s="720"/>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55</v>
      </c>
      <c r="C419" s="723"/>
      <c r="D419" s="722"/>
      <c r="E419" s="720"/>
      <c r="F419" s="723"/>
      <c r="G419" s="722"/>
      <c r="H419" s="720"/>
      <c r="I419" s="723"/>
      <c r="J419" s="722"/>
      <c r="K419" s="720"/>
      <c r="L419" s="723"/>
      <c r="M419" s="722"/>
      <c r="N419" s="720"/>
      <c r="O419" s="723"/>
      <c r="P419" s="722"/>
      <c r="Q419" s="720"/>
      <c r="R419" s="723"/>
      <c r="S419" s="722"/>
      <c r="T419" s="720"/>
      <c r="U419" s="723"/>
      <c r="V419" s="722"/>
      <c r="W419" s="720"/>
      <c r="X419" s="723"/>
      <c r="Y419" s="722"/>
      <c r="Z419" s="720"/>
      <c r="AA419" s="723"/>
      <c r="AB419" s="722"/>
      <c r="AC419" s="720"/>
      <c r="AD419" s="723"/>
      <c r="AE419" s="722"/>
      <c r="AF419" s="720"/>
      <c r="AG419" s="723"/>
      <c r="AH419" s="722"/>
      <c r="AI419" s="720"/>
      <c r="AJ419" s="723"/>
      <c r="AK419" s="722"/>
      <c r="AL419" s="720"/>
      <c r="AM419" s="723"/>
      <c r="AN419" s="722"/>
      <c r="AO419" s="720"/>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55</v>
      </c>
      <c r="C420" s="723"/>
      <c r="D420" s="722"/>
      <c r="E420" s="720"/>
      <c r="F420" s="723"/>
      <c r="G420" s="722"/>
      <c r="H420" s="720"/>
      <c r="I420" s="723"/>
      <c r="J420" s="722"/>
      <c r="K420" s="720"/>
      <c r="L420" s="723"/>
      <c r="M420" s="722"/>
      <c r="N420" s="720"/>
      <c r="O420" s="723"/>
      <c r="P420" s="722"/>
      <c r="Q420" s="720"/>
      <c r="R420" s="723"/>
      <c r="S420" s="722"/>
      <c r="T420" s="720"/>
      <c r="U420" s="723"/>
      <c r="V420" s="722"/>
      <c r="W420" s="720"/>
      <c r="X420" s="723"/>
      <c r="Y420" s="722"/>
      <c r="Z420" s="720"/>
      <c r="AA420" s="723"/>
      <c r="AB420" s="722"/>
      <c r="AC420" s="720"/>
      <c r="AD420" s="723"/>
      <c r="AE420" s="722"/>
      <c r="AF420" s="720"/>
      <c r="AG420" s="723"/>
      <c r="AH420" s="722"/>
      <c r="AI420" s="720"/>
      <c r="AJ420" s="723"/>
      <c r="AK420" s="722"/>
      <c r="AL420" s="720"/>
      <c r="AM420" s="723"/>
      <c r="AN420" s="722"/>
      <c r="AO420" s="720"/>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55</v>
      </c>
      <c r="C421" s="723"/>
      <c r="D421" s="722"/>
      <c r="E421" s="720"/>
      <c r="F421" s="723"/>
      <c r="G421" s="722"/>
      <c r="H421" s="720"/>
      <c r="I421" s="723"/>
      <c r="J421" s="722"/>
      <c r="K421" s="720"/>
      <c r="L421" s="723"/>
      <c r="M421" s="722"/>
      <c r="N421" s="720"/>
      <c r="O421" s="723"/>
      <c r="P421" s="722"/>
      <c r="Q421" s="720"/>
      <c r="R421" s="723"/>
      <c r="S421" s="722"/>
      <c r="T421" s="720"/>
      <c r="U421" s="723"/>
      <c r="V421" s="722"/>
      <c r="W421" s="720"/>
      <c r="X421" s="723"/>
      <c r="Y421" s="722"/>
      <c r="Z421" s="720"/>
      <c r="AA421" s="723"/>
      <c r="AB421" s="722"/>
      <c r="AC421" s="720"/>
      <c r="AD421" s="723"/>
      <c r="AE421" s="722"/>
      <c r="AF421" s="720"/>
      <c r="AG421" s="723"/>
      <c r="AH421" s="722"/>
      <c r="AI421" s="720"/>
      <c r="AJ421" s="723"/>
      <c r="AK421" s="722"/>
      <c r="AL421" s="720"/>
      <c r="AM421" s="723"/>
      <c r="AN421" s="722"/>
      <c r="AO421" s="720"/>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114</v>
      </c>
      <c r="C422" s="963"/>
      <c r="D422" s="966"/>
      <c r="E422" s="965"/>
      <c r="F422" s="963"/>
      <c r="G422" s="966"/>
      <c r="H422" s="965"/>
      <c r="I422" s="963"/>
      <c r="J422" s="966"/>
      <c r="K422" s="965"/>
      <c r="L422" s="963"/>
      <c r="M422" s="966"/>
      <c r="N422" s="965"/>
      <c r="O422" s="963"/>
      <c r="P422" s="966"/>
      <c r="Q422" s="965"/>
      <c r="R422" s="963"/>
      <c r="S422" s="966"/>
      <c r="T422" s="965"/>
      <c r="U422" s="963"/>
      <c r="V422" s="966"/>
      <c r="W422" s="1014"/>
      <c r="X422" s="963"/>
      <c r="Y422" s="966"/>
      <c r="Z422" s="1014"/>
      <c r="AA422" s="963"/>
      <c r="AB422" s="966"/>
      <c r="AC422" s="1014"/>
      <c r="AD422" s="963"/>
      <c r="AE422" s="966"/>
      <c r="AF422" s="1014"/>
      <c r="AG422" s="963"/>
      <c r="AH422" s="966"/>
      <c r="AI422" s="965"/>
      <c r="AJ422" s="963"/>
      <c r="AK422" s="966"/>
      <c r="AL422" s="965"/>
      <c r="AM422" s="963"/>
      <c r="AN422" s="966"/>
      <c r="AO422" s="965"/>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200</v>
      </c>
      <c r="C423" s="723"/>
      <c r="D423" s="722"/>
      <c r="E423" s="727"/>
      <c r="F423" s="723"/>
      <c r="G423" s="722"/>
      <c r="H423" s="727"/>
      <c r="I423" s="723"/>
      <c r="J423" s="722"/>
      <c r="K423" s="727"/>
      <c r="L423" s="723"/>
      <c r="M423" s="722"/>
      <c r="N423" s="727"/>
      <c r="O423" s="723"/>
      <c r="P423" s="722"/>
      <c r="Q423" s="727"/>
      <c r="R423" s="723"/>
      <c r="S423" s="722"/>
      <c r="T423" s="727"/>
      <c r="U423" s="723"/>
      <c r="V423" s="722"/>
      <c r="W423" s="727"/>
      <c r="X423" s="723"/>
      <c r="Y423" s="722"/>
      <c r="Z423" s="727"/>
      <c r="AA423" s="723"/>
      <c r="AB423" s="722"/>
      <c r="AC423" s="727"/>
      <c r="AD423" s="723"/>
      <c r="AE423" s="722"/>
      <c r="AF423" s="727"/>
      <c r="AG423" s="723"/>
      <c r="AH423" s="722"/>
      <c r="AI423" s="727"/>
      <c r="AJ423" s="723"/>
      <c r="AK423" s="722"/>
      <c r="AL423" s="727"/>
      <c r="AM423" s="723"/>
      <c r="AN423" s="722"/>
      <c r="AO423" s="1015"/>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116</v>
      </c>
      <c r="C424" s="723"/>
      <c r="D424" s="722"/>
      <c r="E424" s="720"/>
      <c r="F424" s="723"/>
      <c r="G424" s="722"/>
      <c r="H424" s="720"/>
      <c r="I424" s="723"/>
      <c r="J424" s="722"/>
      <c r="K424" s="720"/>
      <c r="L424" s="723"/>
      <c r="M424" s="722"/>
      <c r="N424" s="720"/>
      <c r="O424" s="723"/>
      <c r="P424" s="722"/>
      <c r="Q424" s="720"/>
      <c r="R424" s="723"/>
      <c r="S424" s="722"/>
      <c r="T424" s="720"/>
      <c r="U424" s="723"/>
      <c r="V424" s="722"/>
      <c r="W424" s="720"/>
      <c r="X424" s="723"/>
      <c r="Y424" s="722"/>
      <c r="Z424" s="720"/>
      <c r="AA424" s="723"/>
      <c r="AB424" s="722"/>
      <c r="AC424" s="720"/>
      <c r="AD424" s="723"/>
      <c r="AE424" s="722"/>
      <c r="AF424" s="720"/>
      <c r="AG424" s="723"/>
      <c r="AH424" s="722"/>
      <c r="AI424" s="720"/>
      <c r="AJ424" s="723"/>
      <c r="AK424" s="722"/>
      <c r="AL424" s="720"/>
      <c r="AM424" s="723"/>
      <c r="AN424" s="722"/>
      <c r="AO424" s="720"/>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117</v>
      </c>
      <c r="C425" s="726"/>
      <c r="D425" s="725"/>
      <c r="E425" s="714"/>
      <c r="F425" s="726"/>
      <c r="G425" s="725"/>
      <c r="H425" s="714"/>
      <c r="I425" s="726"/>
      <c r="J425" s="725"/>
      <c r="K425" s="714"/>
      <c r="L425" s="726"/>
      <c r="M425" s="725"/>
      <c r="N425" s="714"/>
      <c r="O425" s="726"/>
      <c r="P425" s="725"/>
      <c r="Q425" s="714"/>
      <c r="R425" s="726"/>
      <c r="S425" s="725"/>
      <c r="T425" s="714"/>
      <c r="U425" s="726"/>
      <c r="V425" s="725"/>
      <c r="W425" s="714"/>
      <c r="X425" s="726"/>
      <c r="Y425" s="725"/>
      <c r="Z425" s="714"/>
      <c r="AA425" s="726"/>
      <c r="AB425" s="725"/>
      <c r="AC425" s="714"/>
      <c r="AD425" s="726"/>
      <c r="AE425" s="725"/>
      <c r="AF425" s="714"/>
      <c r="AG425" s="726"/>
      <c r="AH425" s="725"/>
      <c r="AI425" s="714"/>
      <c r="AJ425" s="726"/>
      <c r="AK425" s="725"/>
      <c r="AL425" s="714"/>
      <c r="AM425" s="726"/>
      <c r="AN425" s="725"/>
      <c r="AO425" s="714"/>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118</v>
      </c>
      <c r="C426" s="723"/>
      <c r="D426" s="722"/>
      <c r="E426" s="720"/>
      <c r="F426" s="723"/>
      <c r="G426" s="722"/>
      <c r="H426" s="720"/>
      <c r="I426" s="723"/>
      <c r="J426" s="722"/>
      <c r="K426" s="720"/>
      <c r="L426" s="723"/>
      <c r="M426" s="722"/>
      <c r="N426" s="720"/>
      <c r="O426" s="723"/>
      <c r="P426" s="722"/>
      <c r="Q426" s="720"/>
      <c r="R426" s="723"/>
      <c r="S426" s="722"/>
      <c r="T426" s="720"/>
      <c r="U426" s="723"/>
      <c r="V426" s="722"/>
      <c r="W426" s="720"/>
      <c r="X426" s="723"/>
      <c r="Y426" s="722"/>
      <c r="Z426" s="720"/>
      <c r="AA426" s="723"/>
      <c r="AB426" s="722"/>
      <c r="AC426" s="720"/>
      <c r="AD426" s="723"/>
      <c r="AE426" s="722"/>
      <c r="AF426" s="720"/>
      <c r="AG426" s="723"/>
      <c r="AH426" s="722"/>
      <c r="AI426" s="720"/>
      <c r="AJ426" s="723"/>
      <c r="AK426" s="722"/>
      <c r="AL426" s="720"/>
      <c r="AM426" s="723"/>
      <c r="AN426" s="722"/>
      <c r="AO426" s="720"/>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119</v>
      </c>
      <c r="C427" s="723"/>
      <c r="D427" s="722"/>
      <c r="E427" s="720"/>
      <c r="F427" s="723"/>
      <c r="G427" s="722"/>
      <c r="H427" s="720"/>
      <c r="I427" s="723"/>
      <c r="J427" s="722"/>
      <c r="K427" s="720"/>
      <c r="L427" s="723"/>
      <c r="M427" s="722"/>
      <c r="N427" s="720"/>
      <c r="O427" s="723"/>
      <c r="P427" s="722"/>
      <c r="Q427" s="720"/>
      <c r="R427" s="723"/>
      <c r="S427" s="722"/>
      <c r="T427" s="720"/>
      <c r="U427" s="723"/>
      <c r="V427" s="722"/>
      <c r="W427" s="720"/>
      <c r="X427" s="723"/>
      <c r="Y427" s="722"/>
      <c r="Z427" s="720"/>
      <c r="AA427" s="723"/>
      <c r="AB427" s="722"/>
      <c r="AC427" s="720"/>
      <c r="AD427" s="723"/>
      <c r="AE427" s="722"/>
      <c r="AF427" s="720"/>
      <c r="AG427" s="723"/>
      <c r="AH427" s="722"/>
      <c r="AI427" s="720"/>
      <c r="AJ427" s="723"/>
      <c r="AK427" s="722"/>
      <c r="AL427" s="720"/>
      <c r="AM427" s="723"/>
      <c r="AN427" s="722"/>
      <c r="AO427" s="720"/>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55</v>
      </c>
      <c r="C428" s="723"/>
      <c r="D428" s="722"/>
      <c r="E428" s="720"/>
      <c r="F428" s="723"/>
      <c r="G428" s="722"/>
      <c r="H428" s="720"/>
      <c r="I428" s="723"/>
      <c r="J428" s="722"/>
      <c r="K428" s="720"/>
      <c r="L428" s="723"/>
      <c r="M428" s="722"/>
      <c r="N428" s="720"/>
      <c r="O428" s="723"/>
      <c r="P428" s="722"/>
      <c r="Q428" s="720"/>
      <c r="R428" s="723"/>
      <c r="S428" s="722"/>
      <c r="T428" s="720"/>
      <c r="U428" s="723"/>
      <c r="V428" s="722"/>
      <c r="W428" s="720"/>
      <c r="X428" s="723"/>
      <c r="Y428" s="722"/>
      <c r="Z428" s="720"/>
      <c r="AA428" s="723"/>
      <c r="AB428" s="722"/>
      <c r="AC428" s="720"/>
      <c r="AD428" s="723"/>
      <c r="AE428" s="722"/>
      <c r="AF428" s="720"/>
      <c r="AG428" s="723"/>
      <c r="AH428" s="722"/>
      <c r="AI428" s="720"/>
      <c r="AJ428" s="723"/>
      <c r="AK428" s="722"/>
      <c r="AL428" s="720"/>
      <c r="AM428" s="723"/>
      <c r="AN428" s="722"/>
      <c r="AO428" s="720"/>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55</v>
      </c>
      <c r="C429" s="723"/>
      <c r="D429" s="722"/>
      <c r="E429" s="720"/>
      <c r="F429" s="723"/>
      <c r="G429" s="722"/>
      <c r="H429" s="720"/>
      <c r="I429" s="723"/>
      <c r="J429" s="722"/>
      <c r="K429" s="720"/>
      <c r="L429" s="723"/>
      <c r="M429" s="722"/>
      <c r="N429" s="720"/>
      <c r="O429" s="723"/>
      <c r="P429" s="722"/>
      <c r="Q429" s="720"/>
      <c r="R429" s="723"/>
      <c r="S429" s="722"/>
      <c r="T429" s="720"/>
      <c r="U429" s="723"/>
      <c r="V429" s="722"/>
      <c r="W429" s="720"/>
      <c r="X429" s="723"/>
      <c r="Y429" s="722"/>
      <c r="Z429" s="720"/>
      <c r="AA429" s="723"/>
      <c r="AB429" s="722"/>
      <c r="AC429" s="720"/>
      <c r="AD429" s="723"/>
      <c r="AE429" s="722"/>
      <c r="AF429" s="720"/>
      <c r="AG429" s="723"/>
      <c r="AH429" s="722"/>
      <c r="AI429" s="720"/>
      <c r="AJ429" s="723"/>
      <c r="AK429" s="722"/>
      <c r="AL429" s="720"/>
      <c r="AM429" s="723"/>
      <c r="AN429" s="722"/>
      <c r="AO429" s="720"/>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55</v>
      </c>
      <c r="C430" s="723"/>
      <c r="D430" s="722"/>
      <c r="E430" s="720"/>
      <c r="F430" s="723"/>
      <c r="G430" s="722"/>
      <c r="H430" s="720"/>
      <c r="I430" s="723"/>
      <c r="J430" s="722"/>
      <c r="K430" s="720"/>
      <c r="L430" s="723"/>
      <c r="M430" s="722"/>
      <c r="N430" s="720"/>
      <c r="O430" s="723"/>
      <c r="P430" s="722"/>
      <c r="Q430" s="720"/>
      <c r="R430" s="723"/>
      <c r="S430" s="722"/>
      <c r="T430" s="720"/>
      <c r="U430" s="723"/>
      <c r="V430" s="722"/>
      <c r="W430" s="720"/>
      <c r="X430" s="723"/>
      <c r="Y430" s="722"/>
      <c r="Z430" s="720"/>
      <c r="AA430" s="723"/>
      <c r="AB430" s="722"/>
      <c r="AC430" s="720"/>
      <c r="AD430" s="723"/>
      <c r="AE430" s="722"/>
      <c r="AF430" s="720"/>
      <c r="AG430" s="723"/>
      <c r="AH430" s="722"/>
      <c r="AI430" s="720"/>
      <c r="AJ430" s="723"/>
      <c r="AK430" s="722"/>
      <c r="AL430" s="720"/>
      <c r="AM430" s="723"/>
      <c r="AN430" s="722"/>
      <c r="AO430" s="720"/>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120</v>
      </c>
      <c r="C431" s="726"/>
      <c r="D431" s="728"/>
      <c r="E431" s="714"/>
      <c r="F431" s="726"/>
      <c r="G431" s="728"/>
      <c r="H431" s="714"/>
      <c r="I431" s="726"/>
      <c r="J431" s="728"/>
      <c r="K431" s="714"/>
      <c r="L431" s="726"/>
      <c r="M431" s="728"/>
      <c r="N431" s="714"/>
      <c r="O431" s="726"/>
      <c r="P431" s="728"/>
      <c r="Q431" s="714"/>
      <c r="R431" s="726"/>
      <c r="S431" s="728"/>
      <c r="T431" s="714"/>
      <c r="U431" s="726"/>
      <c r="V431" s="728"/>
      <c r="W431" s="714"/>
      <c r="X431" s="726"/>
      <c r="Y431" s="728"/>
      <c r="Z431" s="714"/>
      <c r="AA431" s="726"/>
      <c r="AB431" s="728"/>
      <c r="AC431" s="714"/>
      <c r="AD431" s="726"/>
      <c r="AE431" s="728"/>
      <c r="AF431" s="714"/>
      <c r="AG431" s="726"/>
      <c r="AH431" s="728"/>
      <c r="AI431" s="714"/>
      <c r="AJ431" s="726"/>
      <c r="AK431" s="728"/>
      <c r="AL431" s="714"/>
      <c r="AM431" s="726"/>
      <c r="AN431" s="728"/>
      <c r="AO431" s="714"/>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121</v>
      </c>
      <c r="C432" s="723"/>
      <c r="D432" s="729"/>
      <c r="E432" s="720"/>
      <c r="F432" s="723"/>
      <c r="G432" s="729"/>
      <c r="H432" s="720"/>
      <c r="I432" s="723"/>
      <c r="J432" s="729"/>
      <c r="K432" s="720"/>
      <c r="L432" s="723"/>
      <c r="M432" s="729"/>
      <c r="N432" s="720"/>
      <c r="O432" s="723"/>
      <c r="P432" s="729"/>
      <c r="Q432" s="720"/>
      <c r="R432" s="723"/>
      <c r="S432" s="729"/>
      <c r="T432" s="1016"/>
      <c r="U432" s="723"/>
      <c r="V432" s="729"/>
      <c r="W432" s="720"/>
      <c r="X432" s="723"/>
      <c r="Y432" s="729"/>
      <c r="Z432" s="720"/>
      <c r="AA432" s="723"/>
      <c r="AB432" s="729"/>
      <c r="AC432" s="720"/>
      <c r="AD432" s="723"/>
      <c r="AE432" s="729"/>
      <c r="AF432" s="720"/>
      <c r="AG432" s="723"/>
      <c r="AH432" s="729"/>
      <c r="AI432" s="720"/>
      <c r="AJ432" s="723"/>
      <c r="AK432" s="729"/>
      <c r="AL432" s="720"/>
      <c r="AM432" s="723"/>
      <c r="AN432" s="729"/>
      <c r="AO432" s="720"/>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122</v>
      </c>
      <c r="C433" s="723"/>
      <c r="D433" s="729"/>
      <c r="E433" s="720"/>
      <c r="F433" s="723"/>
      <c r="G433" s="729"/>
      <c r="H433" s="720"/>
      <c r="I433" s="723"/>
      <c r="J433" s="729"/>
      <c r="K433" s="720"/>
      <c r="L433" s="723"/>
      <c r="M433" s="729"/>
      <c r="N433" s="720"/>
      <c r="O433" s="723"/>
      <c r="P433" s="729"/>
      <c r="Q433" s="720"/>
      <c r="R433" s="723"/>
      <c r="S433" s="729"/>
      <c r="T433" s="720"/>
      <c r="U433" s="723"/>
      <c r="V433" s="729"/>
      <c r="W433" s="720"/>
      <c r="X433" s="723"/>
      <c r="Y433" s="729"/>
      <c r="Z433" s="720"/>
      <c r="AA433" s="723"/>
      <c r="AB433" s="729"/>
      <c r="AC433" s="720"/>
      <c r="AD433" s="723"/>
      <c r="AE433" s="729"/>
      <c r="AF433" s="720"/>
      <c r="AG433" s="723"/>
      <c r="AH433" s="729"/>
      <c r="AI433" s="720"/>
      <c r="AJ433" s="723"/>
      <c r="AK433" s="729"/>
      <c r="AL433" s="720"/>
      <c r="AM433" s="723"/>
      <c r="AN433" s="729"/>
      <c r="AO433" s="720"/>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123</v>
      </c>
      <c r="C434" s="723"/>
      <c r="D434" s="729"/>
      <c r="E434" s="720"/>
      <c r="F434" s="723"/>
      <c r="G434" s="729"/>
      <c r="H434" s="720"/>
      <c r="I434" s="723"/>
      <c r="J434" s="729"/>
      <c r="K434" s="720"/>
      <c r="L434" s="723"/>
      <c r="M434" s="729"/>
      <c r="N434" s="720"/>
      <c r="O434" s="723"/>
      <c r="P434" s="729"/>
      <c r="Q434" s="720"/>
      <c r="R434" s="723"/>
      <c r="S434" s="729"/>
      <c r="T434" s="1016"/>
      <c r="U434" s="723"/>
      <c r="V434" s="729"/>
      <c r="W434" s="720"/>
      <c r="X434" s="723"/>
      <c r="Y434" s="729"/>
      <c r="Z434" s="720"/>
      <c r="AA434" s="723"/>
      <c r="AB434" s="729"/>
      <c r="AC434" s="720"/>
      <c r="AD434" s="723"/>
      <c r="AE434" s="729"/>
      <c r="AF434" s="720"/>
      <c r="AG434" s="723"/>
      <c r="AH434" s="729"/>
      <c r="AI434" s="720"/>
      <c r="AJ434" s="723"/>
      <c r="AK434" s="729"/>
      <c r="AL434" s="720"/>
      <c r="AM434" s="723"/>
      <c r="AN434" s="729"/>
      <c r="AO434" s="720"/>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723"/>
      <c r="D435" s="722"/>
      <c r="E435" s="720"/>
      <c r="F435" s="723"/>
      <c r="G435" s="722"/>
      <c r="H435" s="720"/>
      <c r="I435" s="723"/>
      <c r="J435" s="722"/>
      <c r="K435" s="720"/>
      <c r="L435" s="723"/>
      <c r="M435" s="722"/>
      <c r="N435" s="720"/>
      <c r="O435" s="723"/>
      <c r="P435" s="722"/>
      <c r="Q435" s="720"/>
      <c r="R435" s="723"/>
      <c r="S435" s="722"/>
      <c r="T435" s="720"/>
      <c r="U435" s="723"/>
      <c r="V435" s="722"/>
      <c r="W435" s="720"/>
      <c r="X435" s="723"/>
      <c r="Y435" s="722"/>
      <c r="Z435" s="720"/>
      <c r="AA435" s="723"/>
      <c r="AB435" s="722"/>
      <c r="AC435" s="720"/>
      <c r="AD435" s="723"/>
      <c r="AE435" s="722"/>
      <c r="AF435" s="720"/>
      <c r="AG435" s="723"/>
      <c r="AH435" s="722"/>
      <c r="AI435" s="720"/>
      <c r="AJ435" s="723"/>
      <c r="AK435" s="722"/>
      <c r="AL435" s="720"/>
      <c r="AM435" s="723"/>
      <c r="AN435" s="722"/>
      <c r="AO435" s="720"/>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124</v>
      </c>
      <c r="C436" s="963"/>
      <c r="D436" s="968"/>
      <c r="E436" s="965"/>
      <c r="F436" s="963"/>
      <c r="G436" s="968"/>
      <c r="H436" s="965"/>
      <c r="I436" s="963"/>
      <c r="J436" s="968"/>
      <c r="K436" s="965"/>
      <c r="L436" s="963"/>
      <c r="M436" s="968"/>
      <c r="N436" s="965"/>
      <c r="O436" s="963"/>
      <c r="P436" s="968"/>
      <c r="Q436" s="965"/>
      <c r="R436" s="963"/>
      <c r="S436" s="968"/>
      <c r="T436" s="965"/>
      <c r="U436" s="963"/>
      <c r="V436" s="968"/>
      <c r="W436" s="1014"/>
      <c r="X436" s="963"/>
      <c r="Y436" s="968"/>
      <c r="Z436" s="1014"/>
      <c r="AA436" s="963"/>
      <c r="AB436" s="968"/>
      <c r="AC436" s="1014"/>
      <c r="AD436" s="963"/>
      <c r="AE436" s="968"/>
      <c r="AF436" s="1014"/>
      <c r="AG436" s="963"/>
      <c r="AH436" s="968"/>
      <c r="AI436" s="965"/>
      <c r="AJ436" s="963"/>
      <c r="AK436" s="968"/>
      <c r="AL436" s="965"/>
      <c r="AM436" s="963"/>
      <c r="AN436" s="968"/>
      <c r="AO436" s="965"/>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125</v>
      </c>
      <c r="C437" s="969"/>
      <c r="D437" s="970"/>
      <c r="E437" s="971"/>
      <c r="F437" s="969"/>
      <c r="G437" s="970"/>
      <c r="H437" s="971"/>
      <c r="I437" s="969"/>
      <c r="J437" s="970"/>
      <c r="K437" s="971"/>
      <c r="L437" s="969"/>
      <c r="M437" s="970"/>
      <c r="N437" s="971"/>
      <c r="O437" s="969"/>
      <c r="P437" s="970"/>
      <c r="Q437" s="971"/>
      <c r="R437" s="969"/>
      <c r="S437" s="970"/>
      <c r="T437" s="971"/>
      <c r="U437" s="969"/>
      <c r="V437" s="970"/>
      <c r="W437" s="971"/>
      <c r="X437" s="969"/>
      <c r="Y437" s="970"/>
      <c r="Z437" s="971"/>
      <c r="AA437" s="969"/>
      <c r="AB437" s="970"/>
      <c r="AC437" s="971"/>
      <c r="AD437" s="969"/>
      <c r="AE437" s="970"/>
      <c r="AF437" s="971"/>
      <c r="AG437" s="969"/>
      <c r="AH437" s="970"/>
      <c r="AI437" s="971"/>
      <c r="AJ437" s="969"/>
      <c r="AK437" s="970"/>
      <c r="AL437" s="971"/>
      <c r="AM437" s="969"/>
      <c r="AN437" s="970"/>
      <c r="AO437" s="971"/>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126</v>
      </c>
      <c r="C438" s="723"/>
      <c r="D438" s="722"/>
      <c r="E438" s="720"/>
      <c r="F438" s="723"/>
      <c r="G438" s="722"/>
      <c r="H438" s="720"/>
      <c r="I438" s="723"/>
      <c r="J438" s="722"/>
      <c r="K438" s="720"/>
      <c r="L438" s="723"/>
      <c r="M438" s="722"/>
      <c r="N438" s="720"/>
      <c r="O438" s="723"/>
      <c r="P438" s="722"/>
      <c r="Q438" s="720"/>
      <c r="R438" s="723"/>
      <c r="S438" s="722"/>
      <c r="T438" s="720"/>
      <c r="U438" s="723"/>
      <c r="V438" s="722"/>
      <c r="W438" s="720"/>
      <c r="X438" s="723"/>
      <c r="Y438" s="722"/>
      <c r="Z438" s="720"/>
      <c r="AA438" s="723"/>
      <c r="AB438" s="722"/>
      <c r="AC438" s="720"/>
      <c r="AD438" s="723"/>
      <c r="AE438" s="722"/>
      <c r="AF438" s="720"/>
      <c r="AG438" s="723"/>
      <c r="AH438" s="722"/>
      <c r="AI438" s="720"/>
      <c r="AJ438" s="723"/>
      <c r="AK438" s="722"/>
      <c r="AL438" s="720"/>
      <c r="AM438" s="723"/>
      <c r="AN438" s="722"/>
      <c r="AO438" s="720"/>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127</v>
      </c>
      <c r="C439" s="726"/>
      <c r="D439" s="725"/>
      <c r="E439" s="714"/>
      <c r="F439" s="726"/>
      <c r="G439" s="725"/>
      <c r="H439" s="714"/>
      <c r="I439" s="726"/>
      <c r="J439" s="725"/>
      <c r="K439" s="714"/>
      <c r="L439" s="726"/>
      <c r="M439" s="725"/>
      <c r="N439" s="714"/>
      <c r="O439" s="726"/>
      <c r="P439" s="725"/>
      <c r="Q439" s="714"/>
      <c r="R439" s="726"/>
      <c r="S439" s="725"/>
      <c r="T439" s="714"/>
      <c r="U439" s="726"/>
      <c r="V439" s="725"/>
      <c r="W439" s="714"/>
      <c r="X439" s="726"/>
      <c r="Y439" s="725"/>
      <c r="Z439" s="714"/>
      <c r="AA439" s="726"/>
      <c r="AB439" s="725"/>
      <c r="AC439" s="714"/>
      <c r="AD439" s="726"/>
      <c r="AE439" s="725"/>
      <c r="AF439" s="714"/>
      <c r="AG439" s="726"/>
      <c r="AH439" s="725"/>
      <c r="AI439" s="714"/>
      <c r="AJ439" s="726"/>
      <c r="AK439" s="725"/>
      <c r="AL439" s="714"/>
      <c r="AM439" s="726"/>
      <c r="AN439" s="725"/>
      <c r="AO439" s="714"/>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128</v>
      </c>
      <c r="C440" s="723"/>
      <c r="D440" s="722"/>
      <c r="E440" s="720"/>
      <c r="F440" s="723"/>
      <c r="G440" s="722"/>
      <c r="H440" s="720"/>
      <c r="I440" s="723"/>
      <c r="J440" s="722"/>
      <c r="K440" s="720"/>
      <c r="L440" s="723"/>
      <c r="M440" s="722"/>
      <c r="N440" s="720"/>
      <c r="O440" s="723"/>
      <c r="P440" s="722"/>
      <c r="Q440" s="720"/>
      <c r="R440" s="723"/>
      <c r="S440" s="722"/>
      <c r="T440" s="720"/>
      <c r="U440" s="723"/>
      <c r="V440" s="722"/>
      <c r="W440" s="720"/>
      <c r="X440" s="723"/>
      <c r="Y440" s="722"/>
      <c r="Z440" s="720"/>
      <c r="AA440" s="723"/>
      <c r="AB440" s="722"/>
      <c r="AC440" s="720"/>
      <c r="AD440" s="723"/>
      <c r="AE440" s="722"/>
      <c r="AF440" s="720"/>
      <c r="AG440" s="723"/>
      <c r="AH440" s="722"/>
      <c r="AI440" s="720"/>
      <c r="AJ440" s="723"/>
      <c r="AK440" s="722"/>
      <c r="AL440" s="720"/>
      <c r="AM440" s="723"/>
      <c r="AN440" s="722"/>
      <c r="AO440" s="720"/>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129</v>
      </c>
      <c r="C441" s="723"/>
      <c r="D441" s="722"/>
      <c r="E441" s="720"/>
      <c r="F441" s="723"/>
      <c r="G441" s="722"/>
      <c r="H441" s="720"/>
      <c r="I441" s="723"/>
      <c r="J441" s="722"/>
      <c r="K441" s="720"/>
      <c r="L441" s="723"/>
      <c r="M441" s="722"/>
      <c r="N441" s="720"/>
      <c r="O441" s="723"/>
      <c r="P441" s="722"/>
      <c r="Q441" s="720"/>
      <c r="R441" s="723"/>
      <c r="S441" s="722"/>
      <c r="T441" s="720"/>
      <c r="U441" s="723"/>
      <c r="V441" s="722"/>
      <c r="W441" s="720"/>
      <c r="X441" s="723"/>
      <c r="Y441" s="722"/>
      <c r="Z441" s="720"/>
      <c r="AA441" s="723"/>
      <c r="AB441" s="722"/>
      <c r="AC441" s="720"/>
      <c r="AD441" s="723"/>
      <c r="AE441" s="722"/>
      <c r="AF441" s="720"/>
      <c r="AG441" s="723"/>
      <c r="AH441" s="722"/>
      <c r="AI441" s="720"/>
      <c r="AJ441" s="723"/>
      <c r="AK441" s="722"/>
      <c r="AL441" s="720"/>
      <c r="AM441" s="723"/>
      <c r="AN441" s="722"/>
      <c r="AO441" s="720"/>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130</v>
      </c>
      <c r="C442" s="730"/>
      <c r="D442" s="731"/>
      <c r="E442" s="732"/>
      <c r="F442" s="730"/>
      <c r="G442" s="731"/>
      <c r="H442" s="732"/>
      <c r="I442" s="730"/>
      <c r="J442" s="731"/>
      <c r="K442" s="732"/>
      <c r="L442" s="730"/>
      <c r="M442" s="731"/>
      <c r="N442" s="732"/>
      <c r="O442" s="730"/>
      <c r="P442" s="731"/>
      <c r="Q442" s="732"/>
      <c r="R442" s="730"/>
      <c r="S442" s="731"/>
      <c r="T442" s="732"/>
      <c r="U442" s="730"/>
      <c r="V442" s="731"/>
      <c r="W442" s="732"/>
      <c r="X442" s="730"/>
      <c r="Y442" s="731"/>
      <c r="Z442" s="732"/>
      <c r="AA442" s="730"/>
      <c r="AB442" s="731"/>
      <c r="AC442" s="732"/>
      <c r="AD442" s="730"/>
      <c r="AE442" s="731"/>
      <c r="AF442" s="732"/>
      <c r="AG442" s="730"/>
      <c r="AH442" s="731"/>
      <c r="AI442" s="732"/>
      <c r="AJ442" s="730"/>
      <c r="AK442" s="731"/>
      <c r="AL442" s="732"/>
      <c r="AM442" s="730"/>
      <c r="AN442" s="731"/>
      <c r="AO442" s="732"/>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483</v>
      </c>
      <c r="C443" s="723"/>
      <c r="D443" s="722"/>
      <c r="E443" s="720"/>
      <c r="F443" s="723"/>
      <c r="G443" s="722"/>
      <c r="H443" s="720"/>
      <c r="I443" s="723"/>
      <c r="J443" s="722"/>
      <c r="K443" s="720"/>
      <c r="L443" s="723"/>
      <c r="M443" s="722"/>
      <c r="N443" s="720"/>
      <c r="O443" s="723"/>
      <c r="P443" s="722"/>
      <c r="Q443" s="720"/>
      <c r="R443" s="723"/>
      <c r="S443" s="722"/>
      <c r="T443" s="720"/>
      <c r="U443" s="723"/>
      <c r="V443" s="722"/>
      <c r="W443" s="720"/>
      <c r="X443" s="723"/>
      <c r="Y443" s="722"/>
      <c r="Z443" s="720"/>
      <c r="AA443" s="723"/>
      <c r="AB443" s="722"/>
      <c r="AC443" s="720"/>
      <c r="AD443" s="723"/>
      <c r="AE443" s="722"/>
      <c r="AF443" s="720"/>
      <c r="AG443" s="723"/>
      <c r="AH443" s="722"/>
      <c r="AI443" s="720"/>
      <c r="AJ443" s="723"/>
      <c r="AK443" s="722"/>
      <c r="AL443" s="720"/>
      <c r="AM443" s="723"/>
      <c r="AN443" s="722"/>
      <c r="AO443" s="720"/>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131</v>
      </c>
      <c r="C444" s="723"/>
      <c r="D444" s="722"/>
      <c r="E444" s="720"/>
      <c r="F444" s="723"/>
      <c r="G444" s="722"/>
      <c r="H444" s="720"/>
      <c r="I444" s="723"/>
      <c r="J444" s="722"/>
      <c r="K444" s="720"/>
      <c r="L444" s="723"/>
      <c r="M444" s="722"/>
      <c r="N444" s="720"/>
      <c r="O444" s="723"/>
      <c r="P444" s="722"/>
      <c r="Q444" s="720"/>
      <c r="R444" s="723"/>
      <c r="S444" s="722"/>
      <c r="T444" s="720"/>
      <c r="U444" s="723"/>
      <c r="V444" s="722"/>
      <c r="W444" s="720"/>
      <c r="X444" s="723"/>
      <c r="Y444" s="722"/>
      <c r="Z444" s="720"/>
      <c r="AA444" s="723"/>
      <c r="AB444" s="722"/>
      <c r="AC444" s="720"/>
      <c r="AD444" s="723"/>
      <c r="AE444" s="722"/>
      <c r="AF444" s="720"/>
      <c r="AG444" s="723"/>
      <c r="AH444" s="722"/>
      <c r="AI444" s="720"/>
      <c r="AJ444" s="723"/>
      <c r="AK444" s="722"/>
      <c r="AL444" s="720"/>
      <c r="AM444" s="723"/>
      <c r="AN444" s="722"/>
      <c r="AO444" s="720"/>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132</v>
      </c>
      <c r="C445" s="723"/>
      <c r="D445" s="722"/>
      <c r="E445" s="720"/>
      <c r="F445" s="723"/>
      <c r="G445" s="722"/>
      <c r="H445" s="720"/>
      <c r="I445" s="723"/>
      <c r="J445" s="722"/>
      <c r="K445" s="720"/>
      <c r="L445" s="723"/>
      <c r="M445" s="722"/>
      <c r="N445" s="720"/>
      <c r="O445" s="723"/>
      <c r="P445" s="722"/>
      <c r="Q445" s="720"/>
      <c r="R445" s="723"/>
      <c r="S445" s="722"/>
      <c r="T445" s="720"/>
      <c r="U445" s="723"/>
      <c r="V445" s="722"/>
      <c r="W445" s="720"/>
      <c r="X445" s="723"/>
      <c r="Y445" s="722"/>
      <c r="Z445" s="720"/>
      <c r="AA445" s="723"/>
      <c r="AB445" s="722"/>
      <c r="AC445" s="720"/>
      <c r="AD445" s="723"/>
      <c r="AE445" s="722"/>
      <c r="AF445" s="720"/>
      <c r="AG445" s="723"/>
      <c r="AH445" s="722"/>
      <c r="AI445" s="720"/>
      <c r="AJ445" s="723"/>
      <c r="AK445" s="722"/>
      <c r="AL445" s="720"/>
      <c r="AM445" s="723"/>
      <c r="AN445" s="722"/>
      <c r="AO445" s="720"/>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133</v>
      </c>
      <c r="C446" s="723"/>
      <c r="D446" s="722"/>
      <c r="E446" s="720"/>
      <c r="F446" s="723"/>
      <c r="G446" s="722"/>
      <c r="H446" s="720"/>
      <c r="I446" s="723"/>
      <c r="J446" s="722"/>
      <c r="K446" s="720"/>
      <c r="L446" s="723"/>
      <c r="M446" s="722"/>
      <c r="N446" s="720"/>
      <c r="O446" s="723"/>
      <c r="P446" s="722"/>
      <c r="Q446" s="720"/>
      <c r="R446" s="723"/>
      <c r="S446" s="722"/>
      <c r="T446" s="720"/>
      <c r="U446" s="723"/>
      <c r="V446" s="722"/>
      <c r="W446" s="720"/>
      <c r="X446" s="723"/>
      <c r="Y446" s="722"/>
      <c r="Z446" s="720"/>
      <c r="AA446" s="723"/>
      <c r="AB446" s="722"/>
      <c r="AC446" s="720"/>
      <c r="AD446" s="723"/>
      <c r="AE446" s="722"/>
      <c r="AF446" s="720"/>
      <c r="AG446" s="723"/>
      <c r="AH446" s="722"/>
      <c r="AI446" s="720"/>
      <c r="AJ446" s="723"/>
      <c r="AK446" s="722"/>
      <c r="AL446" s="720"/>
      <c r="AM446" s="723"/>
      <c r="AN446" s="722"/>
      <c r="AO446" s="720"/>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134</v>
      </c>
      <c r="C447" s="723"/>
      <c r="D447" s="722"/>
      <c r="E447" s="720"/>
      <c r="F447" s="723"/>
      <c r="G447" s="722"/>
      <c r="H447" s="720"/>
      <c r="I447" s="723"/>
      <c r="J447" s="722"/>
      <c r="K447" s="720"/>
      <c r="L447" s="723"/>
      <c r="M447" s="722"/>
      <c r="N447" s="720"/>
      <c r="O447" s="723"/>
      <c r="P447" s="722"/>
      <c r="Q447" s="720"/>
      <c r="R447" s="723"/>
      <c r="S447" s="722"/>
      <c r="T447" s="720"/>
      <c r="U447" s="723"/>
      <c r="V447" s="722"/>
      <c r="W447" s="720"/>
      <c r="X447" s="723"/>
      <c r="Y447" s="722"/>
      <c r="Z447" s="720"/>
      <c r="AA447" s="723"/>
      <c r="AB447" s="722"/>
      <c r="AC447" s="720"/>
      <c r="AD447" s="723"/>
      <c r="AE447" s="722"/>
      <c r="AF447" s="720"/>
      <c r="AG447" s="723"/>
      <c r="AH447" s="722"/>
      <c r="AI447" s="720"/>
      <c r="AJ447" s="723"/>
      <c r="AK447" s="722"/>
      <c r="AL447" s="720"/>
      <c r="AM447" s="723"/>
      <c r="AN447" s="722"/>
      <c r="AO447" s="720"/>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135</v>
      </c>
      <c r="C448" s="723"/>
      <c r="D448" s="722"/>
      <c r="E448" s="720"/>
      <c r="F448" s="723"/>
      <c r="G448" s="722"/>
      <c r="H448" s="720"/>
      <c r="I448" s="723"/>
      <c r="J448" s="722"/>
      <c r="K448" s="720"/>
      <c r="L448" s="723"/>
      <c r="M448" s="722"/>
      <c r="N448" s="720"/>
      <c r="O448" s="723"/>
      <c r="P448" s="722"/>
      <c r="Q448" s="720"/>
      <c r="R448" s="723"/>
      <c r="S448" s="722"/>
      <c r="T448" s="720"/>
      <c r="U448" s="723"/>
      <c r="V448" s="722"/>
      <c r="W448" s="720"/>
      <c r="X448" s="723"/>
      <c r="Y448" s="722"/>
      <c r="Z448" s="720"/>
      <c r="AA448" s="723"/>
      <c r="AB448" s="722"/>
      <c r="AC448" s="720"/>
      <c r="AD448" s="723"/>
      <c r="AE448" s="722"/>
      <c r="AF448" s="720"/>
      <c r="AG448" s="723"/>
      <c r="AH448" s="722"/>
      <c r="AI448" s="720"/>
      <c r="AJ448" s="723"/>
      <c r="AK448" s="722"/>
      <c r="AL448" s="720"/>
      <c r="AM448" s="723"/>
      <c r="AN448" s="722"/>
      <c r="AO448" s="720"/>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136</v>
      </c>
      <c r="C449" s="723"/>
      <c r="D449" s="722"/>
      <c r="E449" s="720"/>
      <c r="F449" s="723"/>
      <c r="G449" s="722"/>
      <c r="H449" s="720"/>
      <c r="I449" s="723"/>
      <c r="J449" s="722"/>
      <c r="K449" s="720"/>
      <c r="L449" s="723"/>
      <c r="M449" s="722"/>
      <c r="N449" s="720"/>
      <c r="O449" s="723"/>
      <c r="P449" s="722"/>
      <c r="Q449" s="720"/>
      <c r="R449" s="723"/>
      <c r="S449" s="722"/>
      <c r="T449" s="720"/>
      <c r="U449" s="723"/>
      <c r="V449" s="722"/>
      <c r="W449" s="720"/>
      <c r="X449" s="723"/>
      <c r="Y449" s="722"/>
      <c r="Z449" s="720"/>
      <c r="AA449" s="723"/>
      <c r="AB449" s="722"/>
      <c r="AC449" s="720"/>
      <c r="AD449" s="723"/>
      <c r="AE449" s="722"/>
      <c r="AF449" s="720"/>
      <c r="AG449" s="723"/>
      <c r="AH449" s="722"/>
      <c r="AI449" s="720"/>
      <c r="AJ449" s="723"/>
      <c r="AK449" s="722"/>
      <c r="AL449" s="720"/>
      <c r="AM449" s="723"/>
      <c r="AN449" s="722"/>
      <c r="AO449" s="720"/>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137</v>
      </c>
      <c r="C450" s="723"/>
      <c r="D450" s="722"/>
      <c r="E450" s="720"/>
      <c r="F450" s="723"/>
      <c r="G450" s="722"/>
      <c r="H450" s="720"/>
      <c r="I450" s="723"/>
      <c r="J450" s="722"/>
      <c r="K450" s="720"/>
      <c r="L450" s="723"/>
      <c r="M450" s="722"/>
      <c r="N450" s="720"/>
      <c r="O450" s="723"/>
      <c r="P450" s="722"/>
      <c r="Q450" s="720"/>
      <c r="R450" s="723"/>
      <c r="S450" s="722"/>
      <c r="T450" s="720"/>
      <c r="U450" s="723"/>
      <c r="V450" s="722"/>
      <c r="W450" s="720"/>
      <c r="X450" s="723"/>
      <c r="Y450" s="722"/>
      <c r="Z450" s="720"/>
      <c r="AA450" s="723"/>
      <c r="AB450" s="722"/>
      <c r="AC450" s="720"/>
      <c r="AD450" s="723"/>
      <c r="AE450" s="722"/>
      <c r="AF450" s="720"/>
      <c r="AG450" s="723"/>
      <c r="AH450" s="722"/>
      <c r="AI450" s="720"/>
      <c r="AJ450" s="723"/>
      <c r="AK450" s="722"/>
      <c r="AL450" s="720"/>
      <c r="AM450" s="723"/>
      <c r="AN450" s="722"/>
      <c r="AO450" s="720"/>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138</v>
      </c>
      <c r="C451" s="723"/>
      <c r="D451" s="722"/>
      <c r="E451" s="720"/>
      <c r="F451" s="723"/>
      <c r="G451" s="722"/>
      <c r="H451" s="720"/>
      <c r="I451" s="723"/>
      <c r="J451" s="722"/>
      <c r="K451" s="720"/>
      <c r="L451" s="723"/>
      <c r="M451" s="722"/>
      <c r="N451" s="720"/>
      <c r="O451" s="723"/>
      <c r="P451" s="722"/>
      <c r="Q451" s="720"/>
      <c r="R451" s="723"/>
      <c r="S451" s="722"/>
      <c r="T451" s="720"/>
      <c r="U451" s="723"/>
      <c r="V451" s="722"/>
      <c r="W451" s="720"/>
      <c r="X451" s="723"/>
      <c r="Y451" s="722"/>
      <c r="Z451" s="720"/>
      <c r="AA451" s="723"/>
      <c r="AB451" s="722"/>
      <c r="AC451" s="720"/>
      <c r="AD451" s="723"/>
      <c r="AE451" s="722"/>
      <c r="AF451" s="720"/>
      <c r="AG451" s="723"/>
      <c r="AH451" s="722"/>
      <c r="AI451" s="720"/>
      <c r="AJ451" s="723"/>
      <c r="AK451" s="722"/>
      <c r="AL451" s="720"/>
      <c r="AM451" s="723"/>
      <c r="AN451" s="722"/>
      <c r="AO451" s="720"/>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55</v>
      </c>
      <c r="C452" s="723"/>
      <c r="D452" s="722"/>
      <c r="E452" s="720"/>
      <c r="F452" s="723"/>
      <c r="G452" s="722"/>
      <c r="H452" s="720"/>
      <c r="I452" s="723"/>
      <c r="J452" s="722"/>
      <c r="K452" s="720"/>
      <c r="L452" s="723"/>
      <c r="M452" s="722"/>
      <c r="N452" s="720"/>
      <c r="O452" s="723"/>
      <c r="P452" s="722"/>
      <c r="Q452" s="720"/>
      <c r="R452" s="723"/>
      <c r="S452" s="722"/>
      <c r="T452" s="720"/>
      <c r="U452" s="723"/>
      <c r="V452" s="722"/>
      <c r="W452" s="720"/>
      <c r="X452" s="723"/>
      <c r="Y452" s="722"/>
      <c r="Z452" s="720"/>
      <c r="AA452" s="723"/>
      <c r="AB452" s="722"/>
      <c r="AC452" s="720"/>
      <c r="AD452" s="723"/>
      <c r="AE452" s="722"/>
      <c r="AF452" s="720"/>
      <c r="AG452" s="723"/>
      <c r="AH452" s="722"/>
      <c r="AI452" s="720"/>
      <c r="AJ452" s="723"/>
      <c r="AK452" s="722"/>
      <c r="AL452" s="720"/>
      <c r="AM452" s="723"/>
      <c r="AN452" s="722"/>
      <c r="AO452" s="720"/>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55</v>
      </c>
      <c r="C453" s="723"/>
      <c r="D453" s="722"/>
      <c r="E453" s="720"/>
      <c r="F453" s="723"/>
      <c r="G453" s="722"/>
      <c r="H453" s="720"/>
      <c r="I453" s="723"/>
      <c r="J453" s="722"/>
      <c r="K453" s="720"/>
      <c r="L453" s="723"/>
      <c r="M453" s="722"/>
      <c r="N453" s="720"/>
      <c r="O453" s="723"/>
      <c r="P453" s="722"/>
      <c r="Q453" s="720"/>
      <c r="R453" s="723"/>
      <c r="S453" s="722"/>
      <c r="T453" s="720"/>
      <c r="U453" s="723"/>
      <c r="V453" s="722"/>
      <c r="W453" s="720"/>
      <c r="X453" s="723"/>
      <c r="Y453" s="722"/>
      <c r="Z453" s="720"/>
      <c r="AA453" s="723"/>
      <c r="AB453" s="722"/>
      <c r="AC453" s="720"/>
      <c r="AD453" s="723"/>
      <c r="AE453" s="722"/>
      <c r="AF453" s="720"/>
      <c r="AG453" s="723"/>
      <c r="AH453" s="722"/>
      <c r="AI453" s="720"/>
      <c r="AJ453" s="723"/>
      <c r="AK453" s="722"/>
      <c r="AL453" s="720"/>
      <c r="AM453" s="723"/>
      <c r="AN453" s="722"/>
      <c r="AO453" s="720"/>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723"/>
      <c r="D454" s="722"/>
      <c r="E454" s="720"/>
      <c r="F454" s="723"/>
      <c r="G454" s="722"/>
      <c r="H454" s="720"/>
      <c r="I454" s="723"/>
      <c r="J454" s="722"/>
      <c r="K454" s="720"/>
      <c r="L454" s="723"/>
      <c r="M454" s="722"/>
      <c r="N454" s="720"/>
      <c r="O454" s="723"/>
      <c r="P454" s="722"/>
      <c r="Q454" s="720"/>
      <c r="R454" s="723"/>
      <c r="S454" s="722"/>
      <c r="T454" s="720"/>
      <c r="U454" s="723"/>
      <c r="V454" s="722"/>
      <c r="W454" s="720"/>
      <c r="X454" s="723"/>
      <c r="Y454" s="722"/>
      <c r="Z454" s="720"/>
      <c r="AA454" s="723"/>
      <c r="AB454" s="722"/>
      <c r="AC454" s="720"/>
      <c r="AD454" s="723"/>
      <c r="AE454" s="722"/>
      <c r="AF454" s="720"/>
      <c r="AG454" s="723"/>
      <c r="AH454" s="722"/>
      <c r="AI454" s="720"/>
      <c r="AJ454" s="723"/>
      <c r="AK454" s="722"/>
      <c r="AL454" s="720"/>
      <c r="AM454" s="723"/>
      <c r="AN454" s="722"/>
      <c r="AO454" s="720"/>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139</v>
      </c>
      <c r="C455" s="963"/>
      <c r="D455" s="966"/>
      <c r="E455" s="965"/>
      <c r="F455" s="963"/>
      <c r="G455" s="966"/>
      <c r="H455" s="965"/>
      <c r="I455" s="963"/>
      <c r="J455" s="966"/>
      <c r="K455" s="965"/>
      <c r="L455" s="963"/>
      <c r="M455" s="966"/>
      <c r="N455" s="965"/>
      <c r="O455" s="963"/>
      <c r="P455" s="966"/>
      <c r="Q455" s="965"/>
      <c r="R455" s="963"/>
      <c r="S455" s="966"/>
      <c r="T455" s="965"/>
      <c r="U455" s="963"/>
      <c r="V455" s="966"/>
      <c r="W455" s="1014"/>
      <c r="X455" s="963"/>
      <c r="Y455" s="966"/>
      <c r="Z455" s="1014"/>
      <c r="AA455" s="963"/>
      <c r="AB455" s="966"/>
      <c r="AC455" s="1014"/>
      <c r="AD455" s="963"/>
      <c r="AE455" s="966"/>
      <c r="AF455" s="1014"/>
      <c r="AG455" s="963"/>
      <c r="AH455" s="966"/>
      <c r="AI455" s="965"/>
      <c r="AJ455" s="963"/>
      <c r="AK455" s="966"/>
      <c r="AL455" s="965"/>
      <c r="AM455" s="963"/>
      <c r="AN455" s="966"/>
      <c r="AO455" s="965"/>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201</v>
      </c>
      <c r="C456" s="723"/>
      <c r="D456" s="722"/>
      <c r="E456" s="727"/>
      <c r="F456" s="723"/>
      <c r="G456" s="722"/>
      <c r="H456" s="727"/>
      <c r="I456" s="723"/>
      <c r="J456" s="722"/>
      <c r="K456" s="727"/>
      <c r="L456" s="723"/>
      <c r="M456" s="722"/>
      <c r="N456" s="727"/>
      <c r="O456" s="723"/>
      <c r="P456" s="722"/>
      <c r="Q456" s="727"/>
      <c r="R456" s="723"/>
      <c r="S456" s="722"/>
      <c r="T456" s="727"/>
      <c r="U456" s="723"/>
      <c r="V456" s="722"/>
      <c r="W456" s="727"/>
      <c r="X456" s="723"/>
      <c r="Y456" s="722"/>
      <c r="Z456" s="727"/>
      <c r="AA456" s="723"/>
      <c r="AB456" s="722"/>
      <c r="AC456" s="727"/>
      <c r="AD456" s="723"/>
      <c r="AE456" s="722"/>
      <c r="AF456" s="727"/>
      <c r="AG456" s="723"/>
      <c r="AH456" s="722"/>
      <c r="AI456" s="1017"/>
      <c r="AJ456" s="723"/>
      <c r="AK456" s="722"/>
      <c r="AL456" s="1017"/>
      <c r="AM456" s="723"/>
      <c r="AN456" s="722"/>
      <c r="AO456" s="1017"/>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202</v>
      </c>
      <c r="C457" s="723"/>
      <c r="D457" s="722"/>
      <c r="E457" s="727"/>
      <c r="F457" s="723"/>
      <c r="G457" s="722"/>
      <c r="H457" s="727"/>
      <c r="I457" s="723"/>
      <c r="J457" s="722"/>
      <c r="K457" s="727"/>
      <c r="L457" s="723"/>
      <c r="M457" s="722"/>
      <c r="N457" s="727"/>
      <c r="O457" s="723"/>
      <c r="P457" s="722"/>
      <c r="Q457" s="727"/>
      <c r="R457" s="723"/>
      <c r="S457" s="722"/>
      <c r="T457" s="727"/>
      <c r="U457" s="723"/>
      <c r="V457" s="722"/>
      <c r="W457" s="727"/>
      <c r="X457" s="723"/>
      <c r="Y457" s="722"/>
      <c r="Z457" s="727"/>
      <c r="AA457" s="723"/>
      <c r="AB457" s="722"/>
      <c r="AC457" s="727"/>
      <c r="AD457" s="723"/>
      <c r="AE457" s="722"/>
      <c r="AF457" s="727"/>
      <c r="AG457" s="723"/>
      <c r="AH457" s="722"/>
      <c r="AI457" s="1017"/>
      <c r="AJ457" s="723"/>
      <c r="AK457" s="722"/>
      <c r="AL457" s="1017"/>
      <c r="AM457" s="723"/>
      <c r="AN457" s="722"/>
      <c r="AO457" s="1017"/>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203</v>
      </c>
      <c r="C458" s="726"/>
      <c r="D458" s="725"/>
      <c r="E458" s="733"/>
      <c r="F458" s="726"/>
      <c r="G458" s="725"/>
      <c r="H458" s="733"/>
      <c r="I458" s="726"/>
      <c r="J458" s="725"/>
      <c r="K458" s="733"/>
      <c r="L458" s="726"/>
      <c r="M458" s="725"/>
      <c r="N458" s="733"/>
      <c r="O458" s="726"/>
      <c r="P458" s="725"/>
      <c r="Q458" s="733"/>
      <c r="R458" s="726"/>
      <c r="S458" s="725"/>
      <c r="T458" s="733"/>
      <c r="U458" s="726"/>
      <c r="V458" s="725"/>
      <c r="W458" s="733"/>
      <c r="X458" s="726"/>
      <c r="Y458" s="725"/>
      <c r="Z458" s="733"/>
      <c r="AA458" s="726"/>
      <c r="AB458" s="725"/>
      <c r="AC458" s="733"/>
      <c r="AD458" s="726"/>
      <c r="AE458" s="725"/>
      <c r="AF458" s="733"/>
      <c r="AG458" s="726"/>
      <c r="AH458" s="725"/>
      <c r="AI458" s="1018"/>
      <c r="AJ458" s="726"/>
      <c r="AK458" s="725"/>
      <c r="AL458" s="1018"/>
      <c r="AM458" s="726"/>
      <c r="AN458" s="725"/>
      <c r="AO458" s="1018"/>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204</v>
      </c>
      <c r="C459" s="723"/>
      <c r="D459" s="722"/>
      <c r="E459" s="727"/>
      <c r="F459" s="723"/>
      <c r="G459" s="722"/>
      <c r="H459" s="727"/>
      <c r="I459" s="723"/>
      <c r="J459" s="722"/>
      <c r="K459" s="727"/>
      <c r="L459" s="723"/>
      <c r="M459" s="722"/>
      <c r="N459" s="727"/>
      <c r="O459" s="723"/>
      <c r="P459" s="722"/>
      <c r="Q459" s="727"/>
      <c r="R459" s="723"/>
      <c r="S459" s="722"/>
      <c r="T459" s="727"/>
      <c r="U459" s="723"/>
      <c r="V459" s="722"/>
      <c r="W459" s="727"/>
      <c r="X459" s="723"/>
      <c r="Y459" s="722"/>
      <c r="Z459" s="727"/>
      <c r="AA459" s="723"/>
      <c r="AB459" s="722"/>
      <c r="AC459" s="727"/>
      <c r="AD459" s="723"/>
      <c r="AE459" s="722"/>
      <c r="AF459" s="727"/>
      <c r="AG459" s="723"/>
      <c r="AH459" s="722"/>
      <c r="AI459" s="1017"/>
      <c r="AJ459" s="723"/>
      <c r="AK459" s="722"/>
      <c r="AL459" s="1017"/>
      <c r="AM459" s="723"/>
      <c r="AN459" s="722"/>
      <c r="AO459" s="1017"/>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205</v>
      </c>
      <c r="C460" s="726"/>
      <c r="D460" s="725"/>
      <c r="E460" s="733"/>
      <c r="F460" s="726"/>
      <c r="G460" s="725"/>
      <c r="H460" s="733"/>
      <c r="I460" s="726"/>
      <c r="J460" s="725"/>
      <c r="K460" s="733"/>
      <c r="L460" s="726"/>
      <c r="M460" s="725"/>
      <c r="N460" s="733"/>
      <c r="O460" s="726"/>
      <c r="P460" s="725"/>
      <c r="Q460" s="733"/>
      <c r="R460" s="726"/>
      <c r="S460" s="725"/>
      <c r="T460" s="733"/>
      <c r="U460" s="726"/>
      <c r="V460" s="725"/>
      <c r="W460" s="733"/>
      <c r="X460" s="726"/>
      <c r="Y460" s="725"/>
      <c r="Z460" s="733"/>
      <c r="AA460" s="726"/>
      <c r="AB460" s="725"/>
      <c r="AC460" s="733"/>
      <c r="AD460" s="726"/>
      <c r="AE460" s="725"/>
      <c r="AF460" s="733"/>
      <c r="AG460" s="726"/>
      <c r="AH460" s="725"/>
      <c r="AI460" s="1018"/>
      <c r="AJ460" s="726"/>
      <c r="AK460" s="725"/>
      <c r="AL460" s="1018"/>
      <c r="AM460" s="726"/>
      <c r="AN460" s="725"/>
      <c r="AO460" s="1018"/>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206</v>
      </c>
      <c r="C461" s="723"/>
      <c r="D461" s="722"/>
      <c r="E461" s="727"/>
      <c r="F461" s="723"/>
      <c r="G461" s="722"/>
      <c r="H461" s="727"/>
      <c r="I461" s="723"/>
      <c r="J461" s="722"/>
      <c r="K461" s="727"/>
      <c r="L461" s="723"/>
      <c r="M461" s="722"/>
      <c r="N461" s="727"/>
      <c r="O461" s="723"/>
      <c r="P461" s="722"/>
      <c r="Q461" s="727"/>
      <c r="R461" s="723"/>
      <c r="S461" s="722"/>
      <c r="T461" s="727"/>
      <c r="U461" s="723"/>
      <c r="V461" s="722"/>
      <c r="W461" s="727"/>
      <c r="X461" s="723"/>
      <c r="Y461" s="722"/>
      <c r="Z461" s="727"/>
      <c r="AA461" s="723"/>
      <c r="AB461" s="722"/>
      <c r="AC461" s="727"/>
      <c r="AD461" s="723"/>
      <c r="AE461" s="722"/>
      <c r="AF461" s="727"/>
      <c r="AG461" s="723"/>
      <c r="AH461" s="722"/>
      <c r="AI461" s="1017"/>
      <c r="AJ461" s="723"/>
      <c r="AK461" s="722"/>
      <c r="AL461" s="1017"/>
      <c r="AM461" s="723"/>
      <c r="AN461" s="722"/>
      <c r="AO461" s="1017"/>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207</v>
      </c>
      <c r="C462" s="723"/>
      <c r="D462" s="722"/>
      <c r="E462" s="727"/>
      <c r="F462" s="723"/>
      <c r="G462" s="722"/>
      <c r="H462" s="727"/>
      <c r="I462" s="723"/>
      <c r="J462" s="722"/>
      <c r="K462" s="727"/>
      <c r="L462" s="723"/>
      <c r="M462" s="722"/>
      <c r="N462" s="727"/>
      <c r="O462" s="723"/>
      <c r="P462" s="722"/>
      <c r="Q462" s="727"/>
      <c r="R462" s="723"/>
      <c r="S462" s="722"/>
      <c r="T462" s="727"/>
      <c r="U462" s="723"/>
      <c r="V462" s="722"/>
      <c r="W462" s="727"/>
      <c r="X462" s="723"/>
      <c r="Y462" s="722"/>
      <c r="Z462" s="727"/>
      <c r="AA462" s="723"/>
      <c r="AB462" s="722"/>
      <c r="AC462" s="727"/>
      <c r="AD462" s="723"/>
      <c r="AE462" s="722"/>
      <c r="AF462" s="727"/>
      <c r="AG462" s="723"/>
      <c r="AH462" s="722"/>
      <c r="AI462" s="1017"/>
      <c r="AJ462" s="723"/>
      <c r="AK462" s="722"/>
      <c r="AL462" s="1017"/>
      <c r="AM462" s="723"/>
      <c r="AN462" s="722"/>
      <c r="AO462" s="1017"/>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208</v>
      </c>
      <c r="C463" s="726"/>
      <c r="D463" s="725"/>
      <c r="E463" s="733"/>
      <c r="F463" s="726"/>
      <c r="G463" s="725"/>
      <c r="H463" s="733"/>
      <c r="I463" s="726"/>
      <c r="J463" s="725"/>
      <c r="K463" s="733"/>
      <c r="L463" s="726"/>
      <c r="M463" s="725"/>
      <c r="N463" s="733"/>
      <c r="O463" s="726"/>
      <c r="P463" s="725"/>
      <c r="Q463" s="733"/>
      <c r="R463" s="726"/>
      <c r="S463" s="725"/>
      <c r="T463" s="733"/>
      <c r="U463" s="726"/>
      <c r="V463" s="725"/>
      <c r="W463" s="733"/>
      <c r="X463" s="726"/>
      <c r="Y463" s="725"/>
      <c r="Z463" s="733"/>
      <c r="AA463" s="726"/>
      <c r="AB463" s="725"/>
      <c r="AC463" s="733"/>
      <c r="AD463" s="726"/>
      <c r="AE463" s="725"/>
      <c r="AF463" s="733"/>
      <c r="AG463" s="726"/>
      <c r="AH463" s="725"/>
      <c r="AI463" s="1018"/>
      <c r="AJ463" s="726"/>
      <c r="AK463" s="725"/>
      <c r="AL463" s="1018"/>
      <c r="AM463" s="726"/>
      <c r="AN463" s="725"/>
      <c r="AO463" s="1018"/>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209</v>
      </c>
      <c r="C464" s="723"/>
      <c r="D464" s="722"/>
      <c r="E464" s="727"/>
      <c r="F464" s="723"/>
      <c r="G464" s="722"/>
      <c r="H464" s="727"/>
      <c r="I464" s="723"/>
      <c r="J464" s="722"/>
      <c r="K464" s="727"/>
      <c r="L464" s="723"/>
      <c r="M464" s="722"/>
      <c r="N464" s="727"/>
      <c r="O464" s="723"/>
      <c r="P464" s="722"/>
      <c r="Q464" s="727"/>
      <c r="R464" s="723"/>
      <c r="S464" s="722"/>
      <c r="T464" s="727"/>
      <c r="U464" s="723"/>
      <c r="V464" s="722"/>
      <c r="W464" s="727"/>
      <c r="X464" s="723"/>
      <c r="Y464" s="722"/>
      <c r="Z464" s="727"/>
      <c r="AA464" s="723"/>
      <c r="AB464" s="722"/>
      <c r="AC464" s="727"/>
      <c r="AD464" s="723"/>
      <c r="AE464" s="722"/>
      <c r="AF464" s="727"/>
      <c r="AG464" s="723"/>
      <c r="AH464" s="722"/>
      <c r="AI464" s="1017"/>
      <c r="AJ464" s="723"/>
      <c r="AK464" s="722"/>
      <c r="AL464" s="1017"/>
      <c r="AM464" s="723"/>
      <c r="AN464" s="722"/>
      <c r="AO464" s="1017"/>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210</v>
      </c>
      <c r="C465" s="723"/>
      <c r="D465" s="722"/>
      <c r="E465" s="727"/>
      <c r="F465" s="723"/>
      <c r="G465" s="722"/>
      <c r="H465" s="727"/>
      <c r="I465" s="723"/>
      <c r="J465" s="722"/>
      <c r="K465" s="727"/>
      <c r="L465" s="723"/>
      <c r="M465" s="722"/>
      <c r="N465" s="727"/>
      <c r="O465" s="723"/>
      <c r="P465" s="722"/>
      <c r="Q465" s="727"/>
      <c r="R465" s="723"/>
      <c r="S465" s="722"/>
      <c r="T465" s="727"/>
      <c r="U465" s="723"/>
      <c r="V465" s="722"/>
      <c r="W465" s="727"/>
      <c r="X465" s="723"/>
      <c r="Y465" s="722"/>
      <c r="Z465" s="727"/>
      <c r="AA465" s="723"/>
      <c r="AB465" s="722"/>
      <c r="AC465" s="727"/>
      <c r="AD465" s="723"/>
      <c r="AE465" s="722"/>
      <c r="AF465" s="727"/>
      <c r="AG465" s="723"/>
      <c r="AH465" s="722"/>
      <c r="AI465" s="1017"/>
      <c r="AJ465" s="723"/>
      <c r="AK465" s="722"/>
      <c r="AL465" s="1017"/>
      <c r="AM465" s="723"/>
      <c r="AN465" s="722"/>
      <c r="AO465" s="1017"/>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55</v>
      </c>
      <c r="C466" s="723"/>
      <c r="D466" s="722"/>
      <c r="E466" s="720"/>
      <c r="F466" s="723"/>
      <c r="G466" s="722"/>
      <c r="H466" s="720"/>
      <c r="I466" s="723"/>
      <c r="J466" s="722"/>
      <c r="K466" s="720"/>
      <c r="L466" s="723"/>
      <c r="M466" s="722"/>
      <c r="N466" s="720"/>
      <c r="O466" s="723"/>
      <c r="P466" s="722"/>
      <c r="Q466" s="720"/>
      <c r="R466" s="723"/>
      <c r="S466" s="722"/>
      <c r="T466" s="720"/>
      <c r="U466" s="723"/>
      <c r="V466" s="722"/>
      <c r="W466" s="720"/>
      <c r="X466" s="723"/>
      <c r="Y466" s="722"/>
      <c r="Z466" s="720"/>
      <c r="AA466" s="723"/>
      <c r="AB466" s="722"/>
      <c r="AC466" s="720"/>
      <c r="AD466" s="723"/>
      <c r="AE466" s="722"/>
      <c r="AF466" s="720"/>
      <c r="AG466" s="723"/>
      <c r="AH466" s="722"/>
      <c r="AI466" s="720"/>
      <c r="AJ466" s="723"/>
      <c r="AK466" s="722"/>
      <c r="AL466" s="720"/>
      <c r="AM466" s="723"/>
      <c r="AN466" s="722"/>
      <c r="AO466" s="720"/>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55</v>
      </c>
      <c r="C467" s="723"/>
      <c r="D467" s="722"/>
      <c r="E467" s="720"/>
      <c r="F467" s="723"/>
      <c r="G467" s="722"/>
      <c r="H467" s="720"/>
      <c r="I467" s="723"/>
      <c r="J467" s="722"/>
      <c r="K467" s="720"/>
      <c r="L467" s="723"/>
      <c r="M467" s="722"/>
      <c r="N467" s="720"/>
      <c r="O467" s="723"/>
      <c r="P467" s="722"/>
      <c r="Q467" s="720"/>
      <c r="R467" s="723"/>
      <c r="S467" s="722"/>
      <c r="T467" s="720"/>
      <c r="U467" s="723"/>
      <c r="V467" s="722"/>
      <c r="W467" s="720"/>
      <c r="X467" s="723"/>
      <c r="Y467" s="722"/>
      <c r="Z467" s="720"/>
      <c r="AA467" s="723"/>
      <c r="AB467" s="722"/>
      <c r="AC467" s="720"/>
      <c r="AD467" s="723"/>
      <c r="AE467" s="722"/>
      <c r="AF467" s="720"/>
      <c r="AG467" s="723"/>
      <c r="AH467" s="722"/>
      <c r="AI467" s="720"/>
      <c r="AJ467" s="723"/>
      <c r="AK467" s="722"/>
      <c r="AL467" s="720"/>
      <c r="AM467" s="723"/>
      <c r="AN467" s="722"/>
      <c r="AO467" s="720"/>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55</v>
      </c>
      <c r="C468" s="723"/>
      <c r="D468" s="722"/>
      <c r="E468" s="720"/>
      <c r="F468" s="723"/>
      <c r="G468" s="722"/>
      <c r="H468" s="720"/>
      <c r="I468" s="723"/>
      <c r="J468" s="722"/>
      <c r="K468" s="720"/>
      <c r="L468" s="723"/>
      <c r="M468" s="722"/>
      <c r="N468" s="720"/>
      <c r="O468" s="723"/>
      <c r="P468" s="722"/>
      <c r="Q468" s="720"/>
      <c r="R468" s="723"/>
      <c r="S468" s="722"/>
      <c r="T468" s="720"/>
      <c r="U468" s="723"/>
      <c r="V468" s="722"/>
      <c r="W468" s="720"/>
      <c r="X468" s="723"/>
      <c r="Y468" s="722"/>
      <c r="Z468" s="720"/>
      <c r="AA468" s="723"/>
      <c r="AB468" s="722"/>
      <c r="AC468" s="720"/>
      <c r="AD468" s="723"/>
      <c r="AE468" s="722"/>
      <c r="AF468" s="720"/>
      <c r="AG468" s="723"/>
      <c r="AH468" s="722"/>
      <c r="AI468" s="720"/>
      <c r="AJ468" s="723"/>
      <c r="AK468" s="722"/>
      <c r="AL468" s="720"/>
      <c r="AM468" s="723"/>
      <c r="AN468" s="722"/>
      <c r="AO468" s="720"/>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211</v>
      </c>
      <c r="C469" s="963"/>
      <c r="D469" s="966"/>
      <c r="E469" s="965"/>
      <c r="F469" s="963"/>
      <c r="G469" s="966"/>
      <c r="H469" s="965"/>
      <c r="I469" s="963"/>
      <c r="J469" s="966"/>
      <c r="K469" s="965"/>
      <c r="L469" s="963"/>
      <c r="M469" s="966"/>
      <c r="N469" s="965"/>
      <c r="O469" s="963"/>
      <c r="P469" s="966"/>
      <c r="Q469" s="965"/>
      <c r="R469" s="963"/>
      <c r="S469" s="966"/>
      <c r="T469" s="965"/>
      <c r="U469" s="963"/>
      <c r="V469" s="966"/>
      <c r="W469" s="1014"/>
      <c r="X469" s="963"/>
      <c r="Y469" s="966"/>
      <c r="Z469" s="1014"/>
      <c r="AA469" s="963"/>
      <c r="AB469" s="966"/>
      <c r="AC469" s="1014"/>
      <c r="AD469" s="963"/>
      <c r="AE469" s="966"/>
      <c r="AF469" s="1014"/>
      <c r="AG469" s="963"/>
      <c r="AH469" s="966"/>
      <c r="AI469" s="965"/>
      <c r="AJ469" s="963"/>
      <c r="AK469" s="966"/>
      <c r="AL469" s="965"/>
      <c r="AM469" s="963"/>
      <c r="AN469" s="966"/>
      <c r="AO469" s="965"/>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734"/>
      <c r="D470" s="735"/>
      <c r="E470" s="736"/>
      <c r="F470" s="734"/>
      <c r="G470" s="735"/>
      <c r="H470" s="736"/>
      <c r="I470" s="734"/>
      <c r="J470" s="735"/>
      <c r="K470" s="736"/>
      <c r="L470" s="734"/>
      <c r="M470" s="735"/>
      <c r="N470" s="736"/>
      <c r="O470" s="734"/>
      <c r="P470" s="735"/>
      <c r="Q470" s="736"/>
      <c r="R470" s="734"/>
      <c r="S470" s="735"/>
      <c r="T470" s="736"/>
      <c r="U470" s="734"/>
      <c r="V470" s="735"/>
      <c r="W470" s="736"/>
      <c r="X470" s="734"/>
      <c r="Y470" s="735"/>
      <c r="Z470" s="736"/>
      <c r="AA470" s="734"/>
      <c r="AB470" s="735"/>
      <c r="AC470" s="736"/>
      <c r="AD470" s="734"/>
      <c r="AE470" s="735"/>
      <c r="AF470" s="736"/>
      <c r="AG470" s="734"/>
      <c r="AH470" s="735"/>
      <c r="AI470" s="736"/>
      <c r="AJ470" s="734"/>
      <c r="AK470" s="735"/>
      <c r="AL470" s="736"/>
      <c r="AM470" s="734"/>
      <c r="AN470" s="735"/>
      <c r="AO470" s="736"/>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140</v>
      </c>
      <c r="C471" s="963"/>
      <c r="D471" s="966"/>
      <c r="E471" s="965"/>
      <c r="F471" s="963"/>
      <c r="G471" s="966"/>
      <c r="H471" s="965"/>
      <c r="I471" s="963"/>
      <c r="J471" s="966"/>
      <c r="K471" s="965"/>
      <c r="L471" s="963"/>
      <c r="M471" s="966"/>
      <c r="N471" s="965"/>
      <c r="O471" s="963"/>
      <c r="P471" s="966"/>
      <c r="Q471" s="965"/>
      <c r="R471" s="963"/>
      <c r="S471" s="966"/>
      <c r="T471" s="965"/>
      <c r="U471" s="963"/>
      <c r="V471" s="966"/>
      <c r="W471" s="1014"/>
      <c r="X471" s="963"/>
      <c r="Y471" s="966"/>
      <c r="Z471" s="1014"/>
      <c r="AA471" s="963"/>
      <c r="AB471" s="966"/>
      <c r="AC471" s="1014"/>
      <c r="AD471" s="963"/>
      <c r="AE471" s="966"/>
      <c r="AF471" s="1014"/>
      <c r="AG471" s="963"/>
      <c r="AH471" s="966"/>
      <c r="AI471" s="965"/>
      <c r="AJ471" s="963"/>
      <c r="AK471" s="966"/>
      <c r="AL471" s="965"/>
      <c r="AM471" s="963"/>
      <c r="AN471" s="966"/>
      <c r="AO471" s="965"/>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212</v>
      </c>
      <c r="C472" s="973"/>
      <c r="D472" s="974"/>
      <c r="E472" s="975"/>
      <c r="F472" s="973"/>
      <c r="G472" s="974"/>
      <c r="H472" s="975"/>
      <c r="I472" s="973"/>
      <c r="J472" s="974"/>
      <c r="K472" s="975"/>
      <c r="L472" s="973"/>
      <c r="M472" s="974"/>
      <c r="N472" s="975"/>
      <c r="O472" s="973"/>
      <c r="P472" s="974"/>
      <c r="Q472" s="975"/>
      <c r="R472" s="973"/>
      <c r="S472" s="974"/>
      <c r="T472" s="975"/>
      <c r="U472" s="973"/>
      <c r="V472" s="974"/>
      <c r="W472" s="971"/>
      <c r="X472" s="973"/>
      <c r="Y472" s="974"/>
      <c r="Z472" s="971"/>
      <c r="AA472" s="973"/>
      <c r="AB472" s="974"/>
      <c r="AC472" s="971"/>
      <c r="AD472" s="973"/>
      <c r="AE472" s="974"/>
      <c r="AF472" s="971"/>
      <c r="AG472" s="973"/>
      <c r="AH472" s="974"/>
      <c r="AI472" s="1019"/>
      <c r="AJ472" s="973"/>
      <c r="AK472" s="974"/>
      <c r="AL472" s="1019"/>
      <c r="AM472" s="973"/>
      <c r="AN472" s="974"/>
      <c r="AO472" s="1019"/>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144</v>
      </c>
      <c r="C473" s="737"/>
      <c r="D473" s="738"/>
      <c r="E473" s="720"/>
      <c r="F473" s="737"/>
      <c r="G473" s="738"/>
      <c r="H473" s="720"/>
      <c r="I473" s="737"/>
      <c r="J473" s="738"/>
      <c r="K473" s="720"/>
      <c r="L473" s="737"/>
      <c r="M473" s="738"/>
      <c r="N473" s="720"/>
      <c r="O473" s="737"/>
      <c r="P473" s="738"/>
      <c r="Q473" s="720"/>
      <c r="R473" s="737"/>
      <c r="S473" s="738"/>
      <c r="T473" s="720"/>
      <c r="U473" s="737"/>
      <c r="V473" s="738"/>
      <c r="W473" s="720"/>
      <c r="X473" s="737"/>
      <c r="Y473" s="738"/>
      <c r="Z473" s="720"/>
      <c r="AA473" s="737"/>
      <c r="AB473" s="738"/>
      <c r="AC473" s="720"/>
      <c r="AD473" s="737"/>
      <c r="AE473" s="738"/>
      <c r="AF473" s="720"/>
      <c r="AG473" s="737"/>
      <c r="AH473" s="738"/>
      <c r="AI473" s="1016"/>
      <c r="AJ473" s="737"/>
      <c r="AK473" s="738"/>
      <c r="AL473" s="1016"/>
      <c r="AM473" s="737"/>
      <c r="AN473" s="738"/>
      <c r="AO473" s="1016"/>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141</v>
      </c>
      <c r="C474" s="737"/>
      <c r="D474" s="738"/>
      <c r="E474" s="720"/>
      <c r="F474" s="737"/>
      <c r="G474" s="738"/>
      <c r="H474" s="720"/>
      <c r="I474" s="737"/>
      <c r="J474" s="738"/>
      <c r="K474" s="720"/>
      <c r="L474" s="737"/>
      <c r="M474" s="738"/>
      <c r="N474" s="720"/>
      <c r="O474" s="737"/>
      <c r="P474" s="738"/>
      <c r="Q474" s="720"/>
      <c r="R474" s="737"/>
      <c r="S474" s="738"/>
      <c r="T474" s="720"/>
      <c r="U474" s="737"/>
      <c r="V474" s="738"/>
      <c r="W474" s="720"/>
      <c r="X474" s="737"/>
      <c r="Y474" s="738"/>
      <c r="Z474" s="720"/>
      <c r="AA474" s="737"/>
      <c r="AB474" s="738"/>
      <c r="AC474" s="720"/>
      <c r="AD474" s="737"/>
      <c r="AE474" s="738"/>
      <c r="AF474" s="720"/>
      <c r="AG474" s="737"/>
      <c r="AH474" s="738"/>
      <c r="AI474" s="1016"/>
      <c r="AJ474" s="737"/>
      <c r="AK474" s="738"/>
      <c r="AL474" s="1016"/>
      <c r="AM474" s="737"/>
      <c r="AN474" s="738"/>
      <c r="AO474" s="1016"/>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142</v>
      </c>
      <c r="C475" s="737"/>
      <c r="D475" s="738"/>
      <c r="E475" s="720"/>
      <c r="F475" s="737"/>
      <c r="G475" s="738"/>
      <c r="H475" s="720"/>
      <c r="I475" s="737"/>
      <c r="J475" s="738"/>
      <c r="K475" s="720"/>
      <c r="L475" s="737"/>
      <c r="M475" s="738"/>
      <c r="N475" s="720"/>
      <c r="O475" s="737"/>
      <c r="P475" s="738"/>
      <c r="Q475" s="720"/>
      <c r="R475" s="737"/>
      <c r="S475" s="738"/>
      <c r="T475" s="720"/>
      <c r="U475" s="737"/>
      <c r="V475" s="738"/>
      <c r="W475" s="720"/>
      <c r="X475" s="737"/>
      <c r="Y475" s="738"/>
      <c r="Z475" s="720"/>
      <c r="AA475" s="737"/>
      <c r="AB475" s="738"/>
      <c r="AC475" s="720"/>
      <c r="AD475" s="737"/>
      <c r="AE475" s="738"/>
      <c r="AF475" s="720"/>
      <c r="AG475" s="737"/>
      <c r="AH475" s="738"/>
      <c r="AI475" s="1016"/>
      <c r="AJ475" s="737"/>
      <c r="AK475" s="738"/>
      <c r="AL475" s="1016"/>
      <c r="AM475" s="737"/>
      <c r="AN475" s="738"/>
      <c r="AO475" s="1016"/>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143</v>
      </c>
      <c r="C476" s="737"/>
      <c r="D476" s="738"/>
      <c r="E476" s="720"/>
      <c r="F476" s="737"/>
      <c r="G476" s="738"/>
      <c r="H476" s="720"/>
      <c r="I476" s="737"/>
      <c r="J476" s="738"/>
      <c r="K476" s="720"/>
      <c r="L476" s="737"/>
      <c r="M476" s="738"/>
      <c r="N476" s="720"/>
      <c r="O476" s="737"/>
      <c r="P476" s="738"/>
      <c r="Q476" s="720"/>
      <c r="R476" s="737"/>
      <c r="S476" s="738"/>
      <c r="T476" s="720"/>
      <c r="U476" s="737"/>
      <c r="V476" s="738"/>
      <c r="W476" s="720"/>
      <c r="X476" s="737"/>
      <c r="Y476" s="738"/>
      <c r="Z476" s="720"/>
      <c r="AA476" s="737"/>
      <c r="AB476" s="738"/>
      <c r="AC476" s="720"/>
      <c r="AD476" s="737"/>
      <c r="AE476" s="738"/>
      <c r="AF476" s="720"/>
      <c r="AG476" s="737"/>
      <c r="AH476" s="738"/>
      <c r="AI476" s="1016"/>
      <c r="AJ476" s="737"/>
      <c r="AK476" s="738"/>
      <c r="AL476" s="1016"/>
      <c r="AM476" s="737"/>
      <c r="AN476" s="738"/>
      <c r="AO476" s="1016"/>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154</v>
      </c>
      <c r="C477" s="737"/>
      <c r="D477" s="738"/>
      <c r="E477" s="720"/>
      <c r="F477" s="737"/>
      <c r="G477" s="738"/>
      <c r="H477" s="720"/>
      <c r="I477" s="737"/>
      <c r="J477" s="738"/>
      <c r="K477" s="720"/>
      <c r="L477" s="737"/>
      <c r="M477" s="738"/>
      <c r="N477" s="720"/>
      <c r="O477" s="737"/>
      <c r="P477" s="738"/>
      <c r="Q477" s="720"/>
      <c r="R477" s="737"/>
      <c r="S477" s="738"/>
      <c r="T477" s="720"/>
      <c r="U477" s="737"/>
      <c r="V477" s="738"/>
      <c r="W477" s="720"/>
      <c r="X477" s="737"/>
      <c r="Y477" s="738"/>
      <c r="Z477" s="720"/>
      <c r="AA477" s="737"/>
      <c r="AB477" s="738"/>
      <c r="AC477" s="720"/>
      <c r="AD477" s="737"/>
      <c r="AE477" s="738"/>
      <c r="AF477" s="720"/>
      <c r="AG477" s="737"/>
      <c r="AH477" s="738"/>
      <c r="AI477" s="1016"/>
      <c r="AJ477" s="737"/>
      <c r="AK477" s="738"/>
      <c r="AL477" s="1016"/>
      <c r="AM477" s="737"/>
      <c r="AN477" s="738"/>
      <c r="AO477" s="1016"/>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155</v>
      </c>
      <c r="C478" s="737"/>
      <c r="D478" s="738"/>
      <c r="E478" s="720"/>
      <c r="F478" s="737"/>
      <c r="G478" s="738"/>
      <c r="H478" s="720"/>
      <c r="I478" s="737"/>
      <c r="J478" s="738"/>
      <c r="K478" s="720"/>
      <c r="L478" s="737"/>
      <c r="M478" s="738"/>
      <c r="N478" s="720"/>
      <c r="O478" s="737"/>
      <c r="P478" s="738"/>
      <c r="Q478" s="720"/>
      <c r="R478" s="737"/>
      <c r="S478" s="738"/>
      <c r="T478" s="720"/>
      <c r="U478" s="737"/>
      <c r="V478" s="738"/>
      <c r="W478" s="720"/>
      <c r="X478" s="737"/>
      <c r="Y478" s="738"/>
      <c r="Z478" s="720"/>
      <c r="AA478" s="737"/>
      <c r="AB478" s="738"/>
      <c r="AC478" s="720"/>
      <c r="AD478" s="737"/>
      <c r="AE478" s="738"/>
      <c r="AF478" s="720"/>
      <c r="AG478" s="737"/>
      <c r="AH478" s="738"/>
      <c r="AI478" s="1016"/>
      <c r="AJ478" s="737"/>
      <c r="AK478" s="738"/>
      <c r="AL478" s="1016"/>
      <c r="AM478" s="737"/>
      <c r="AN478" s="738"/>
      <c r="AO478" s="1016"/>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156</v>
      </c>
      <c r="C479" s="737"/>
      <c r="D479" s="738"/>
      <c r="E479" s="720"/>
      <c r="F479" s="737"/>
      <c r="G479" s="738"/>
      <c r="H479" s="720"/>
      <c r="I479" s="737"/>
      <c r="J479" s="738"/>
      <c r="K479" s="720"/>
      <c r="L479" s="737"/>
      <c r="M479" s="738"/>
      <c r="N479" s="720"/>
      <c r="O479" s="737"/>
      <c r="P479" s="738"/>
      <c r="Q479" s="720"/>
      <c r="R479" s="737"/>
      <c r="S479" s="738"/>
      <c r="T479" s="720"/>
      <c r="U479" s="737"/>
      <c r="V479" s="738"/>
      <c r="W479" s="720"/>
      <c r="X479" s="737"/>
      <c r="Y479" s="738"/>
      <c r="Z479" s="720"/>
      <c r="AA479" s="737"/>
      <c r="AB479" s="738"/>
      <c r="AC479" s="720"/>
      <c r="AD479" s="737"/>
      <c r="AE479" s="738"/>
      <c r="AF479" s="720"/>
      <c r="AG479" s="737"/>
      <c r="AH479" s="738"/>
      <c r="AI479" s="1016"/>
      <c r="AJ479" s="737"/>
      <c r="AK479" s="738"/>
      <c r="AL479" s="1016"/>
      <c r="AM479" s="737"/>
      <c r="AN479" s="738"/>
      <c r="AO479" s="1016"/>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55</v>
      </c>
      <c r="C480" s="737"/>
      <c r="D480" s="738"/>
      <c r="E480" s="720"/>
      <c r="F480" s="737"/>
      <c r="G480" s="738"/>
      <c r="H480" s="720"/>
      <c r="I480" s="737"/>
      <c r="J480" s="738"/>
      <c r="K480" s="720"/>
      <c r="L480" s="737"/>
      <c r="M480" s="738"/>
      <c r="N480" s="720"/>
      <c r="O480" s="737"/>
      <c r="P480" s="738"/>
      <c r="Q480" s="720"/>
      <c r="R480" s="737"/>
      <c r="S480" s="738"/>
      <c r="T480" s="720"/>
      <c r="U480" s="737"/>
      <c r="V480" s="738"/>
      <c r="W480" s="720"/>
      <c r="X480" s="737"/>
      <c r="Y480" s="738"/>
      <c r="Z480" s="720"/>
      <c r="AA480" s="737"/>
      <c r="AB480" s="738"/>
      <c r="AC480" s="720"/>
      <c r="AD480" s="737"/>
      <c r="AE480" s="738"/>
      <c r="AF480" s="720"/>
      <c r="AG480" s="737"/>
      <c r="AH480" s="738"/>
      <c r="AI480" s="1016"/>
      <c r="AJ480" s="737"/>
      <c r="AK480" s="738"/>
      <c r="AL480" s="1016"/>
      <c r="AM480" s="737"/>
      <c r="AN480" s="738"/>
      <c r="AO480" s="1016"/>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55</v>
      </c>
      <c r="C481" s="737"/>
      <c r="D481" s="738"/>
      <c r="E481" s="720"/>
      <c r="F481" s="737"/>
      <c r="G481" s="738"/>
      <c r="H481" s="720"/>
      <c r="I481" s="737"/>
      <c r="J481" s="738"/>
      <c r="K481" s="720"/>
      <c r="L481" s="737"/>
      <c r="M481" s="738"/>
      <c r="N481" s="720"/>
      <c r="O481" s="737"/>
      <c r="P481" s="738"/>
      <c r="Q481" s="720"/>
      <c r="R481" s="737"/>
      <c r="S481" s="738"/>
      <c r="T481" s="720"/>
      <c r="U481" s="737"/>
      <c r="V481" s="738"/>
      <c r="W481" s="720"/>
      <c r="X481" s="737"/>
      <c r="Y481" s="738"/>
      <c r="Z481" s="720"/>
      <c r="AA481" s="737"/>
      <c r="AB481" s="738"/>
      <c r="AC481" s="720"/>
      <c r="AD481" s="737"/>
      <c r="AE481" s="738"/>
      <c r="AF481" s="720"/>
      <c r="AG481" s="737"/>
      <c r="AH481" s="738"/>
      <c r="AI481" s="1016"/>
      <c r="AJ481" s="737"/>
      <c r="AK481" s="738"/>
      <c r="AL481" s="1016"/>
      <c r="AM481" s="737"/>
      <c r="AN481" s="738"/>
      <c r="AO481" s="1016"/>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55</v>
      </c>
      <c r="C482" s="737"/>
      <c r="D482" s="738"/>
      <c r="E482" s="720"/>
      <c r="F482" s="737"/>
      <c r="G482" s="738"/>
      <c r="H482" s="720"/>
      <c r="I482" s="737"/>
      <c r="J482" s="738"/>
      <c r="K482" s="720"/>
      <c r="L482" s="737"/>
      <c r="M482" s="738"/>
      <c r="N482" s="720"/>
      <c r="O482" s="737"/>
      <c r="P482" s="738"/>
      <c r="Q482" s="720"/>
      <c r="R482" s="737"/>
      <c r="S482" s="738"/>
      <c r="T482" s="720"/>
      <c r="U482" s="737"/>
      <c r="V482" s="738"/>
      <c r="W482" s="720"/>
      <c r="X482" s="737"/>
      <c r="Y482" s="738"/>
      <c r="Z482" s="720"/>
      <c r="AA482" s="737"/>
      <c r="AB482" s="738"/>
      <c r="AC482" s="720"/>
      <c r="AD482" s="737"/>
      <c r="AE482" s="738"/>
      <c r="AF482" s="720"/>
      <c r="AG482" s="737"/>
      <c r="AH482" s="738"/>
      <c r="AI482" s="1016"/>
      <c r="AJ482" s="737"/>
      <c r="AK482" s="738"/>
      <c r="AL482" s="1016"/>
      <c r="AM482" s="737"/>
      <c r="AN482" s="738"/>
      <c r="AO482" s="1016"/>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145</v>
      </c>
      <c r="C483" s="739"/>
      <c r="D483" s="738"/>
      <c r="E483" s="720"/>
      <c r="F483" s="739"/>
      <c r="G483" s="738"/>
      <c r="H483" s="720"/>
      <c r="I483" s="739"/>
      <c r="J483" s="738"/>
      <c r="K483" s="720"/>
      <c r="L483" s="739"/>
      <c r="M483" s="738"/>
      <c r="N483" s="720"/>
      <c r="O483" s="739"/>
      <c r="P483" s="738"/>
      <c r="Q483" s="720"/>
      <c r="R483" s="739"/>
      <c r="S483" s="738"/>
      <c r="T483" s="720"/>
      <c r="U483" s="739"/>
      <c r="V483" s="738"/>
      <c r="W483" s="720"/>
      <c r="X483" s="739"/>
      <c r="Y483" s="738"/>
      <c r="Z483" s="720"/>
      <c r="AA483" s="739"/>
      <c r="AB483" s="738"/>
      <c r="AC483" s="720"/>
      <c r="AD483" s="739"/>
      <c r="AE483" s="738"/>
      <c r="AF483" s="720"/>
      <c r="AG483" s="739"/>
      <c r="AH483" s="738"/>
      <c r="AI483" s="1016"/>
      <c r="AJ483" s="739"/>
      <c r="AK483" s="738"/>
      <c r="AL483" s="1016"/>
      <c r="AM483" s="739"/>
      <c r="AN483" s="738"/>
      <c r="AO483" s="1016"/>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213</v>
      </c>
      <c r="C484" s="963"/>
      <c r="D484" s="976"/>
      <c r="E484" s="965"/>
      <c r="F484" s="963"/>
      <c r="G484" s="976"/>
      <c r="H484" s="965"/>
      <c r="I484" s="963"/>
      <c r="J484" s="976"/>
      <c r="K484" s="965"/>
      <c r="L484" s="963"/>
      <c r="M484" s="976"/>
      <c r="N484" s="965"/>
      <c r="O484" s="963"/>
      <c r="P484" s="976"/>
      <c r="Q484" s="965"/>
      <c r="R484" s="963"/>
      <c r="S484" s="976"/>
      <c r="T484" s="965"/>
      <c r="U484" s="963"/>
      <c r="V484" s="976"/>
      <c r="W484" s="1014"/>
      <c r="X484" s="963"/>
      <c r="Y484" s="976"/>
      <c r="Z484" s="1014"/>
      <c r="AA484" s="963"/>
      <c r="AB484" s="976"/>
      <c r="AC484" s="1014"/>
      <c r="AD484" s="963"/>
      <c r="AE484" s="976"/>
      <c r="AF484" s="1014"/>
      <c r="AG484" s="963"/>
      <c r="AH484" s="976"/>
      <c r="AI484" s="965"/>
      <c r="AJ484" s="963"/>
      <c r="AK484" s="976"/>
      <c r="AL484" s="965"/>
      <c r="AM484" s="963"/>
      <c r="AN484" s="976"/>
      <c r="AO484" s="965"/>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1020"/>
      <c r="D485" s="1021"/>
      <c r="E485" s="1022"/>
      <c r="F485" s="1020"/>
      <c r="G485" s="1021"/>
      <c r="H485" s="1022"/>
      <c r="I485" s="1020"/>
      <c r="J485" s="1021"/>
      <c r="K485" s="1022"/>
      <c r="L485" s="1020"/>
      <c r="M485" s="1021"/>
      <c r="N485" s="1022"/>
      <c r="O485" s="1020"/>
      <c r="P485" s="1021"/>
      <c r="Q485" s="1022"/>
      <c r="R485" s="1020"/>
      <c r="S485" s="1021"/>
      <c r="T485" s="1022"/>
      <c r="U485" s="1020"/>
      <c r="V485" s="1021"/>
      <c r="W485" s="1023"/>
      <c r="X485" s="1020"/>
      <c r="Y485" s="1021"/>
      <c r="Z485" s="1023"/>
      <c r="AA485" s="1020"/>
      <c r="AB485" s="1021"/>
      <c r="AC485" s="1023"/>
      <c r="AD485" s="1020"/>
      <c r="AE485" s="1021"/>
      <c r="AF485" s="1023"/>
      <c r="AG485" s="1020"/>
      <c r="AH485" s="1021"/>
      <c r="AI485" s="1022"/>
      <c r="AJ485" s="1020"/>
      <c r="AK485" s="1021"/>
      <c r="AL485" s="1022"/>
      <c r="AM485" s="1020"/>
      <c r="AN485" s="1021"/>
      <c r="AO485" s="10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214</v>
      </c>
      <c r="C486" s="743"/>
      <c r="D486" s="744"/>
      <c r="E486" s="745"/>
      <c r="F486" s="743"/>
      <c r="G486" s="744"/>
      <c r="H486" s="745"/>
      <c r="I486" s="743"/>
      <c r="J486" s="744"/>
      <c r="K486" s="745"/>
      <c r="L486" s="743"/>
      <c r="M486" s="744"/>
      <c r="N486" s="745"/>
      <c r="O486" s="743"/>
      <c r="P486" s="744"/>
      <c r="Q486" s="745"/>
      <c r="R486" s="743"/>
      <c r="S486" s="744"/>
      <c r="T486" s="745"/>
      <c r="U486" s="743"/>
      <c r="V486" s="744"/>
      <c r="W486" s="1024"/>
      <c r="X486" s="743"/>
      <c r="Y486" s="744"/>
      <c r="Z486" s="1024"/>
      <c r="AA486" s="743"/>
      <c r="AB486" s="744"/>
      <c r="AC486" s="1024"/>
      <c r="AD486" s="743"/>
      <c r="AE486" s="744"/>
      <c r="AF486" s="1024"/>
      <c r="AG486" s="743"/>
      <c r="AH486" s="744"/>
      <c r="AI486" s="745"/>
      <c r="AJ486" s="743"/>
      <c r="AK486" s="744"/>
      <c r="AL486" s="745"/>
      <c r="AM486" s="743"/>
      <c r="AN486" s="744"/>
      <c r="AO486" s="745"/>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625"/>
      <c r="D487" s="625"/>
      <c r="E487" s="746">
        <v>2211033.1199999936</v>
      </c>
      <c r="F487" s="625"/>
      <c r="G487" s="625"/>
      <c r="H487" s="746"/>
      <c r="I487" s="625"/>
      <c r="J487" s="625"/>
      <c r="K487" s="746"/>
      <c r="L487" s="625"/>
      <c r="M487" s="625"/>
      <c r="N487" s="746"/>
      <c r="O487" s="625"/>
      <c r="P487" s="625"/>
      <c r="Q487" s="746"/>
      <c r="R487" s="625"/>
      <c r="S487" s="625"/>
      <c r="T487" s="746"/>
      <c r="U487" s="625"/>
      <c r="V487" s="625"/>
      <c r="W487" s="746"/>
      <c r="X487" s="625"/>
      <c r="Y487" s="625"/>
      <c r="Z487" s="746"/>
      <c r="AA487" s="625"/>
      <c r="AB487" s="625"/>
      <c r="AC487" s="746"/>
      <c r="AD487" s="625"/>
      <c r="AE487" s="625"/>
      <c r="AF487" s="746"/>
      <c r="AG487" s="625"/>
      <c r="AH487" s="625"/>
      <c r="AI487" s="746"/>
      <c r="AJ487" s="625"/>
      <c r="AK487" s="625"/>
      <c r="AL487" s="746"/>
      <c r="AM487" s="625"/>
      <c r="AN487" s="625"/>
      <c r="AO487" s="746"/>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1110</v>
      </c>
      <c r="C488" s="658" t="s">
        <v>216</v>
      </c>
      <c r="D488" s="658"/>
      <c r="E488" s="658"/>
      <c r="F488" s="658"/>
      <c r="G488" s="658"/>
      <c r="H488" s="658"/>
      <c r="I488" s="658"/>
      <c r="J488" s="658"/>
      <c r="K488" s="658"/>
      <c r="L488" s="658"/>
      <c r="M488" s="658"/>
      <c r="N488" s="658"/>
      <c r="O488" s="658"/>
      <c r="P488" s="658"/>
      <c r="Q488" s="658"/>
      <c r="R488" s="658"/>
      <c r="S488" s="658"/>
      <c r="T488" s="658"/>
      <c r="U488" s="658"/>
      <c r="V488" s="658"/>
      <c r="W488" s="658"/>
      <c r="X488" s="658"/>
      <c r="Y488" s="658"/>
      <c r="Z488" s="658"/>
      <c r="AA488" s="658"/>
      <c r="AB488" s="658"/>
      <c r="AC488" s="658"/>
      <c r="AD488" s="658"/>
      <c r="AE488" s="658"/>
      <c r="AF488" s="658"/>
      <c r="AG488" s="658"/>
      <c r="AH488" s="658"/>
      <c r="AI488" s="658"/>
      <c r="AJ488" s="658"/>
      <c r="AK488" s="658"/>
      <c r="AL488" s="658"/>
      <c r="AM488" s="658"/>
      <c r="AN488" s="658"/>
      <c r="AO488" s="658"/>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625"/>
      <c r="D489" s="625"/>
      <c r="E489" s="746"/>
      <c r="F489" s="625"/>
      <c r="G489" s="625"/>
      <c r="H489" s="746"/>
      <c r="I489" s="625"/>
      <c r="J489" s="625"/>
      <c r="K489" s="746"/>
      <c r="L489" s="625"/>
      <c r="M489" s="625"/>
      <c r="N489" s="746"/>
      <c r="O489" s="625"/>
      <c r="P489" s="625"/>
      <c r="Q489" s="746"/>
      <c r="R489" s="625"/>
      <c r="S489" s="625"/>
      <c r="T489" s="746"/>
      <c r="U489" s="625"/>
      <c r="V489" s="625"/>
      <c r="W489" s="746"/>
      <c r="X489" s="625"/>
      <c r="Y489" s="625"/>
      <c r="Z489" s="746"/>
      <c r="AA489" s="625"/>
      <c r="AB489" s="625"/>
      <c r="AC489" s="746"/>
      <c r="AD489" s="625"/>
      <c r="AE489" s="625"/>
      <c r="AF489" s="746"/>
      <c r="AG489" s="625"/>
      <c r="AH489" s="625"/>
      <c r="AI489" s="746"/>
      <c r="AJ489" s="625"/>
      <c r="AK489" s="625"/>
      <c r="AL489" s="746"/>
      <c r="AM489" s="625"/>
      <c r="AN489" s="625"/>
      <c r="AO489" s="746"/>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thickBot="1">
      <c r="A490" s="39"/>
      <c r="B490" s="61"/>
      <c r="C490" s="625"/>
      <c r="D490" s="625"/>
      <c r="E490" s="746"/>
      <c r="F490" s="625"/>
      <c r="G490" s="625"/>
      <c r="H490" s="746"/>
      <c r="I490" s="625"/>
      <c r="J490" s="625"/>
      <c r="K490" s="746"/>
      <c r="L490" s="625"/>
      <c r="M490" s="625"/>
      <c r="N490" s="746"/>
      <c r="O490" s="625"/>
      <c r="P490" s="625"/>
      <c r="Q490" s="746"/>
      <c r="R490" s="625"/>
      <c r="S490" s="625"/>
      <c r="T490" s="746"/>
      <c r="U490" s="625"/>
      <c r="V490" s="625"/>
      <c r="W490" s="746"/>
      <c r="X490" s="625"/>
      <c r="Y490" s="625"/>
      <c r="Z490" s="746"/>
      <c r="AA490" s="625"/>
      <c r="AB490" s="625"/>
      <c r="AC490" s="746"/>
      <c r="AD490" s="625"/>
      <c r="AE490" s="625"/>
      <c r="AF490" s="746"/>
      <c r="AG490" s="625"/>
      <c r="AH490" s="625"/>
      <c r="AI490" s="746"/>
      <c r="AJ490" s="625"/>
      <c r="AK490" s="625"/>
      <c r="AL490" s="746"/>
      <c r="AM490" s="625"/>
      <c r="AN490" s="625"/>
      <c r="AO490" s="746"/>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Top="1" thickBot="1">
      <c r="A491" s="39"/>
      <c r="B491" s="61" t="s">
        <v>1100</v>
      </c>
      <c r="C491" s="750"/>
      <c r="D491" s="748"/>
      <c r="E491" s="751"/>
      <c r="F491" s="750"/>
      <c r="G491" s="748"/>
      <c r="H491" s="751"/>
      <c r="I491" s="750"/>
      <c r="J491" s="748"/>
      <c r="K491" s="751"/>
      <c r="L491" s="750"/>
      <c r="M491" s="748"/>
      <c r="N491" s="751"/>
      <c r="O491" s="750"/>
      <c r="P491" s="748"/>
      <c r="Q491" s="751"/>
      <c r="R491" s="750"/>
      <c r="S491" s="748"/>
      <c r="T491" s="751"/>
      <c r="U491" s="750"/>
      <c r="V491" s="748"/>
      <c r="W491" s="1025"/>
      <c r="X491" s="750"/>
      <c r="Y491" s="748"/>
      <c r="Z491" s="1025"/>
      <c r="AA491" s="750"/>
      <c r="AB491" s="748"/>
      <c r="AC491" s="1025"/>
      <c r="AD491" s="750"/>
      <c r="AE491" s="748"/>
      <c r="AF491" s="1025"/>
      <c r="AG491" s="750"/>
      <c r="AH491" s="748"/>
      <c r="AI491" s="751"/>
      <c r="AJ491" s="750"/>
      <c r="AK491" s="748"/>
      <c r="AL491" s="751"/>
      <c r="AM491" s="750"/>
      <c r="AN491" s="748"/>
      <c r="AO491" s="751"/>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214</v>
      </c>
      <c r="C492" s="750"/>
      <c r="D492" s="748"/>
      <c r="E492" s="751"/>
      <c r="F492" s="750"/>
      <c r="G492" s="748"/>
      <c r="H492" s="751"/>
      <c r="I492" s="750"/>
      <c r="J492" s="748"/>
      <c r="K492" s="751"/>
      <c r="L492" s="750"/>
      <c r="M492" s="748"/>
      <c r="N492" s="751"/>
      <c r="O492" s="750"/>
      <c r="P492" s="748"/>
      <c r="Q492" s="751"/>
      <c r="R492" s="750"/>
      <c r="S492" s="748"/>
      <c r="T492" s="751"/>
      <c r="U492" s="750"/>
      <c r="V492" s="748"/>
      <c r="W492" s="1025"/>
      <c r="X492" s="750"/>
      <c r="Y492" s="748"/>
      <c r="Z492" s="1025"/>
      <c r="AA492" s="750"/>
      <c r="AB492" s="748"/>
      <c r="AC492" s="1025"/>
      <c r="AD492" s="750"/>
      <c r="AE492" s="748"/>
      <c r="AF492" s="1025"/>
      <c r="AG492" s="750"/>
      <c r="AH492" s="748"/>
      <c r="AI492" s="751"/>
      <c r="AJ492" s="750"/>
      <c r="AK492" s="748"/>
      <c r="AL492" s="751"/>
      <c r="AM492" s="750"/>
      <c r="AN492" s="748"/>
      <c r="AO492" s="751"/>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753"/>
      <c r="D493" s="752"/>
      <c r="E493" s="754"/>
      <c r="F493" s="753"/>
      <c r="G493" s="752"/>
      <c r="H493" s="754"/>
      <c r="I493" s="753"/>
      <c r="J493" s="752"/>
      <c r="K493" s="754"/>
      <c r="L493" s="753"/>
      <c r="M493" s="752"/>
      <c r="N493" s="754"/>
      <c r="O493" s="753"/>
      <c r="P493" s="752"/>
      <c r="Q493" s="754"/>
      <c r="R493" s="753"/>
      <c r="S493" s="752"/>
      <c r="T493" s="754"/>
      <c r="U493" s="753"/>
      <c r="V493" s="752"/>
      <c r="W493" s="754"/>
      <c r="X493" s="753"/>
      <c r="Y493" s="752"/>
      <c r="Z493" s="754"/>
      <c r="AA493" s="753"/>
      <c r="AB493" s="752"/>
      <c r="AC493" s="754"/>
      <c r="AD493" s="753"/>
      <c r="AE493" s="752"/>
      <c r="AF493" s="754"/>
      <c r="AG493" s="753"/>
      <c r="AH493" s="752"/>
      <c r="AI493" s="754"/>
      <c r="AJ493" s="753"/>
      <c r="AK493" s="752"/>
      <c r="AL493" s="754"/>
      <c r="AM493" s="753"/>
      <c r="AN493" s="752"/>
      <c r="AO493" s="754"/>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217</v>
      </c>
      <c r="C494" s="723"/>
      <c r="D494" s="722"/>
      <c r="E494" s="727"/>
      <c r="F494" s="723"/>
      <c r="G494" s="722"/>
      <c r="H494" s="727"/>
      <c r="I494" s="723"/>
      <c r="J494" s="722"/>
      <c r="K494" s="727"/>
      <c r="L494" s="723"/>
      <c r="M494" s="722"/>
      <c r="N494" s="727"/>
      <c r="O494" s="723"/>
      <c r="P494" s="722"/>
      <c r="Q494" s="727"/>
      <c r="R494" s="723"/>
      <c r="S494" s="722"/>
      <c r="T494" s="727"/>
      <c r="U494" s="723"/>
      <c r="V494" s="722"/>
      <c r="W494" s="727"/>
      <c r="X494" s="723"/>
      <c r="Y494" s="722"/>
      <c r="Z494" s="727"/>
      <c r="AA494" s="723"/>
      <c r="AB494" s="722"/>
      <c r="AC494" s="727"/>
      <c r="AD494" s="723"/>
      <c r="AE494" s="722"/>
      <c r="AF494" s="727"/>
      <c r="AG494" s="723"/>
      <c r="AH494" s="722"/>
      <c r="AI494" s="727"/>
      <c r="AJ494" s="723"/>
      <c r="AK494" s="722"/>
      <c r="AL494" s="727"/>
      <c r="AM494" s="723"/>
      <c r="AN494" s="722"/>
      <c r="AO494" s="1015"/>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218</v>
      </c>
      <c r="C495" s="756"/>
      <c r="D495" s="625"/>
      <c r="E495" s="727"/>
      <c r="F495" s="756"/>
      <c r="G495" s="625"/>
      <c r="H495" s="727"/>
      <c r="I495" s="756"/>
      <c r="J495" s="625"/>
      <c r="K495" s="727"/>
      <c r="L495" s="756"/>
      <c r="M495" s="625"/>
      <c r="N495" s="727"/>
      <c r="O495" s="756"/>
      <c r="P495" s="625"/>
      <c r="Q495" s="727"/>
      <c r="R495" s="756"/>
      <c r="S495" s="625"/>
      <c r="T495" s="727"/>
      <c r="U495" s="756"/>
      <c r="V495" s="625"/>
      <c r="W495" s="727"/>
      <c r="X495" s="756"/>
      <c r="Y495" s="625"/>
      <c r="Z495" s="727"/>
      <c r="AA495" s="756"/>
      <c r="AB495" s="625"/>
      <c r="AC495" s="727"/>
      <c r="AD495" s="756"/>
      <c r="AE495" s="625"/>
      <c r="AF495" s="727"/>
      <c r="AG495" s="756"/>
      <c r="AH495" s="625"/>
      <c r="AI495" s="727"/>
      <c r="AJ495" s="756"/>
      <c r="AK495" s="625"/>
      <c r="AL495" s="727"/>
      <c r="AM495" s="756"/>
      <c r="AN495" s="625"/>
      <c r="AO495" s="1015"/>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219</v>
      </c>
      <c r="C496" s="757"/>
      <c r="D496" s="625"/>
      <c r="E496" s="727"/>
      <c r="F496" s="757"/>
      <c r="G496" s="625"/>
      <c r="H496" s="727"/>
      <c r="I496" s="757"/>
      <c r="J496" s="625"/>
      <c r="K496" s="727"/>
      <c r="L496" s="757"/>
      <c r="M496" s="625"/>
      <c r="N496" s="727"/>
      <c r="O496" s="757"/>
      <c r="P496" s="625"/>
      <c r="Q496" s="727"/>
      <c r="R496" s="757"/>
      <c r="S496" s="625"/>
      <c r="T496" s="727"/>
      <c r="U496" s="757"/>
      <c r="V496" s="625"/>
      <c r="W496" s="727"/>
      <c r="X496" s="757"/>
      <c r="Y496" s="625"/>
      <c r="Z496" s="727"/>
      <c r="AA496" s="757"/>
      <c r="AB496" s="625"/>
      <c r="AC496" s="727"/>
      <c r="AD496" s="757"/>
      <c r="AE496" s="625"/>
      <c r="AF496" s="727"/>
      <c r="AG496" s="757"/>
      <c r="AH496" s="625"/>
      <c r="AI496" s="727"/>
      <c r="AJ496" s="757"/>
      <c r="AK496" s="625"/>
      <c r="AL496" s="727"/>
      <c r="AM496" s="757"/>
      <c r="AN496" s="625"/>
      <c r="AO496" s="1015"/>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220</v>
      </c>
      <c r="C497" s="758"/>
      <c r="D497" s="666"/>
      <c r="E497" s="727"/>
      <c r="F497" s="758"/>
      <c r="G497" s="666"/>
      <c r="H497" s="727"/>
      <c r="I497" s="758"/>
      <c r="J497" s="666"/>
      <c r="K497" s="727"/>
      <c r="L497" s="758"/>
      <c r="M497" s="666"/>
      <c r="N497" s="727"/>
      <c r="O497" s="758"/>
      <c r="P497" s="666"/>
      <c r="Q497" s="727"/>
      <c r="R497" s="758"/>
      <c r="S497" s="666"/>
      <c r="T497" s="727"/>
      <c r="U497" s="758"/>
      <c r="V497" s="666"/>
      <c r="W497" s="727"/>
      <c r="X497" s="758"/>
      <c r="Y497" s="666"/>
      <c r="Z497" s="727"/>
      <c r="AA497" s="758"/>
      <c r="AB497" s="666"/>
      <c r="AC497" s="727"/>
      <c r="AD497" s="758"/>
      <c r="AE497" s="666"/>
      <c r="AF497" s="727"/>
      <c r="AG497" s="758"/>
      <c r="AH497" s="666"/>
      <c r="AI497" s="727"/>
      <c r="AJ497" s="758"/>
      <c r="AK497" s="666"/>
      <c r="AL497" s="727"/>
      <c r="AM497" s="758"/>
      <c r="AN497" s="666"/>
      <c r="AO497" s="1015"/>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1109</v>
      </c>
      <c r="C498" s="758"/>
      <c r="D498" s="666"/>
      <c r="E498" s="727"/>
      <c r="F498" s="758"/>
      <c r="G498" s="666"/>
      <c r="H498" s="727"/>
      <c r="I498" s="758"/>
      <c r="J498" s="666"/>
      <c r="K498" s="727"/>
      <c r="L498" s="758"/>
      <c r="M498" s="666"/>
      <c r="N498" s="727"/>
      <c r="O498" s="758"/>
      <c r="P498" s="666"/>
      <c r="Q498" s="727"/>
      <c r="R498" s="758"/>
      <c r="S498" s="666"/>
      <c r="T498" s="727"/>
      <c r="U498" s="758"/>
      <c r="V498" s="666"/>
      <c r="W498" s="727"/>
      <c r="X498" s="758"/>
      <c r="Y498" s="666"/>
      <c r="Z498" s="727"/>
      <c r="AA498" s="758"/>
      <c r="AB498" s="666"/>
      <c r="AC498" s="727"/>
      <c r="AD498" s="758"/>
      <c r="AE498" s="666"/>
      <c r="AF498" s="727"/>
      <c r="AG498" s="758"/>
      <c r="AH498" s="666"/>
      <c r="AI498" s="727"/>
      <c r="AJ498" s="758"/>
      <c r="AK498" s="666"/>
      <c r="AL498" s="727"/>
      <c r="AM498" s="758"/>
      <c r="AN498" s="666"/>
      <c r="AO498" s="727"/>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1111</v>
      </c>
      <c r="C499" s="758"/>
      <c r="D499" s="666"/>
      <c r="E499" s="727"/>
      <c r="F499" s="758"/>
      <c r="G499" s="666"/>
      <c r="H499" s="720"/>
      <c r="I499" s="758"/>
      <c r="J499" s="666"/>
      <c r="K499" s="720"/>
      <c r="L499" s="758"/>
      <c r="M499" s="666"/>
      <c r="N499" s="720"/>
      <c r="O499" s="758"/>
      <c r="P499" s="666"/>
      <c r="Q499" s="720"/>
      <c r="R499" s="758"/>
      <c r="S499" s="666"/>
      <c r="T499" s="720"/>
      <c r="U499" s="758"/>
      <c r="V499" s="666"/>
      <c r="W499" s="720"/>
      <c r="X499" s="758"/>
      <c r="Y499" s="666"/>
      <c r="Z499" s="720"/>
      <c r="AA499" s="758"/>
      <c r="AB499" s="666"/>
      <c r="AC499" s="720"/>
      <c r="AD499" s="758"/>
      <c r="AE499" s="666"/>
      <c r="AF499" s="720"/>
      <c r="AG499" s="758"/>
      <c r="AH499" s="666"/>
      <c r="AI499" s="720"/>
      <c r="AJ499" s="758"/>
      <c r="AK499" s="666"/>
      <c r="AL499" s="720"/>
      <c r="AM499" s="758"/>
      <c r="AN499" s="666"/>
      <c r="AO499" s="720"/>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55</v>
      </c>
      <c r="C500" s="758"/>
      <c r="D500" s="666"/>
      <c r="E500" s="720"/>
      <c r="F500" s="758"/>
      <c r="G500" s="666"/>
      <c r="H500" s="720"/>
      <c r="I500" s="758"/>
      <c r="J500" s="666"/>
      <c r="K500" s="720"/>
      <c r="L500" s="758"/>
      <c r="M500" s="666"/>
      <c r="N500" s="720"/>
      <c r="O500" s="758"/>
      <c r="P500" s="666"/>
      <c r="Q500" s="720"/>
      <c r="R500" s="758"/>
      <c r="S500" s="666"/>
      <c r="T500" s="720"/>
      <c r="U500" s="758"/>
      <c r="V500" s="666"/>
      <c r="W500" s="720"/>
      <c r="X500" s="758"/>
      <c r="Y500" s="666"/>
      <c r="Z500" s="720"/>
      <c r="AA500" s="758"/>
      <c r="AB500" s="666"/>
      <c r="AC500" s="720"/>
      <c r="AD500" s="758"/>
      <c r="AE500" s="666"/>
      <c r="AF500" s="720"/>
      <c r="AG500" s="758"/>
      <c r="AH500" s="666"/>
      <c r="AI500" s="720"/>
      <c r="AJ500" s="758"/>
      <c r="AK500" s="666"/>
      <c r="AL500" s="720"/>
      <c r="AM500" s="758"/>
      <c r="AN500" s="666"/>
      <c r="AO500" s="720"/>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221</v>
      </c>
      <c r="C501" s="762"/>
      <c r="D501" s="760"/>
      <c r="E501" s="763"/>
      <c r="F501" s="762"/>
      <c r="G501" s="760"/>
      <c r="H501" s="763"/>
      <c r="I501" s="762"/>
      <c r="J501" s="760"/>
      <c r="K501" s="763"/>
      <c r="L501" s="762"/>
      <c r="M501" s="760"/>
      <c r="N501" s="763"/>
      <c r="O501" s="762"/>
      <c r="P501" s="760"/>
      <c r="Q501" s="763"/>
      <c r="R501" s="762"/>
      <c r="S501" s="760"/>
      <c r="T501" s="763"/>
      <c r="U501" s="762"/>
      <c r="V501" s="760"/>
      <c r="W501" s="1026"/>
      <c r="X501" s="762"/>
      <c r="Y501" s="760"/>
      <c r="Z501" s="1026"/>
      <c r="AA501" s="762"/>
      <c r="AB501" s="760"/>
      <c r="AC501" s="1026"/>
      <c r="AD501" s="762"/>
      <c r="AE501" s="760"/>
      <c r="AF501" s="1026"/>
      <c r="AG501" s="762"/>
      <c r="AH501" s="760"/>
      <c r="AI501" s="763"/>
      <c r="AJ501" s="762"/>
      <c r="AK501" s="760"/>
      <c r="AL501" s="763"/>
      <c r="AM501" s="762"/>
      <c r="AN501" s="760"/>
      <c r="AO501" s="763"/>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222</v>
      </c>
      <c r="B1" s="95" t="s">
        <v>222</v>
      </c>
      <c r="C1" s="3"/>
      <c r="D1" s="95"/>
      <c r="E1" s="95"/>
      <c r="F1" s="95"/>
      <c r="G1" s="95"/>
      <c r="H1" s="95"/>
      <c r="I1" s="95"/>
      <c r="J1" s="95"/>
      <c r="K1" s="95"/>
      <c r="L1" s="95"/>
      <c r="M1" s="95"/>
      <c r="N1" s="95"/>
      <c r="O1" s="95"/>
      <c r="P1" s="95"/>
      <c r="Q1" s="95"/>
      <c r="R1" s="95"/>
      <c r="S1" s="95"/>
      <c r="T1" s="95"/>
      <c r="U1" s="3"/>
      <c r="V1" s="3"/>
      <c r="W1" s="3"/>
      <c r="X1" s="3"/>
      <c r="Y1" s="3"/>
      <c r="Z1" s="3"/>
    </row>
    <row r="2" spans="1:26" ht="21">
      <c r="A2" s="96" t="s">
        <v>223</v>
      </c>
      <c r="B2" s="96" t="s">
        <v>1106</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FORECAST</v>
      </c>
      <c r="N3" s="98" t="str">
        <f>+IF(VLOOKUP(N2,Parametres!$L$3:$N$14,3,0)="X","REEL","FORECAST")</f>
        <v>FORECAST</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046" t="s">
        <v>224</v>
      </c>
      <c r="B4" s="1046" t="s">
        <v>225</v>
      </c>
      <c r="C4" s="99" t="s">
        <v>226</v>
      </c>
      <c r="D4" s="100" t="s">
        <v>227</v>
      </c>
      <c r="E4" s="101" t="s">
        <v>228</v>
      </c>
      <c r="F4" s="99" t="s">
        <v>229</v>
      </c>
      <c r="G4" s="99" t="s">
        <v>230</v>
      </c>
      <c r="H4" s="101" t="s">
        <v>231</v>
      </c>
      <c r="I4" s="99" t="s">
        <v>232</v>
      </c>
      <c r="J4" s="99" t="s">
        <v>233</v>
      </c>
      <c r="K4" s="99" t="s">
        <v>234</v>
      </c>
      <c r="L4" s="99" t="s">
        <v>235</v>
      </c>
      <c r="M4" s="99" t="s">
        <v>236</v>
      </c>
      <c r="N4" s="99" t="s">
        <v>237</v>
      </c>
      <c r="O4" s="99" t="s">
        <v>238</v>
      </c>
      <c r="P4" s="99" t="s">
        <v>239</v>
      </c>
      <c r="Q4" s="99" t="s">
        <v>240</v>
      </c>
      <c r="R4" s="99" t="s">
        <v>241</v>
      </c>
      <c r="S4" s="99" t="s">
        <v>242</v>
      </c>
      <c r="T4" s="102" t="s">
        <v>243</v>
      </c>
      <c r="U4" s="1"/>
      <c r="V4" s="1"/>
      <c r="W4" s="1"/>
      <c r="X4" s="1"/>
      <c r="Y4" s="1"/>
      <c r="Z4" s="1"/>
    </row>
    <row r="5" spans="1:26" ht="30" customHeight="1">
      <c r="A5" s="1047"/>
      <c r="B5" s="1047"/>
      <c r="C5" s="1048" t="s">
        <v>244</v>
      </c>
      <c r="D5" s="1049"/>
      <c r="E5" s="103">
        <f t="shared" ref="E5:S5" si="0">+SUM(E6:E20)</f>
        <v>30931.3</v>
      </c>
      <c r="F5" s="104">
        <f t="shared" si="0"/>
        <v>40000</v>
      </c>
      <c r="G5" s="104">
        <f t="shared" si="0"/>
        <v>-9068.7000000000007</v>
      </c>
      <c r="H5" s="105">
        <f t="shared" si="0"/>
        <v>30931.3</v>
      </c>
      <c r="I5" s="106">
        <f t="shared" si="0"/>
        <v>0</v>
      </c>
      <c r="J5" s="106">
        <f t="shared" si="0"/>
        <v>0</v>
      </c>
      <c r="K5" s="106">
        <f t="shared" si="0"/>
        <v>0</v>
      </c>
      <c r="L5" s="106">
        <f t="shared" si="0"/>
        <v>0</v>
      </c>
      <c r="M5" s="106">
        <f t="shared" si="0"/>
        <v>0</v>
      </c>
      <c r="N5" s="106">
        <f t="shared" si="0"/>
        <v>0</v>
      </c>
      <c r="O5" s="106">
        <f t="shared" si="0"/>
        <v>0</v>
      </c>
      <c r="P5" s="106">
        <f t="shared" si="0"/>
        <v>0</v>
      </c>
      <c r="Q5" s="106">
        <f t="shared" si="0"/>
        <v>0</v>
      </c>
      <c r="R5" s="106">
        <f t="shared" si="0"/>
        <v>0</v>
      </c>
      <c r="S5" s="106">
        <f t="shared" si="0"/>
        <v>0</v>
      </c>
      <c r="T5" s="107"/>
      <c r="U5" s="3"/>
      <c r="V5" s="3"/>
      <c r="W5" s="3"/>
      <c r="X5" s="1" t="s">
        <v>62</v>
      </c>
      <c r="Y5" s="3"/>
      <c r="Z5" s="3"/>
    </row>
    <row r="6" spans="1:26" ht="30" customHeight="1">
      <c r="A6" s="108" t="str">
        <f>+Parametres!$B$1</f>
        <v>Hyundai</v>
      </c>
      <c r="B6" s="109" t="s">
        <v>245</v>
      </c>
      <c r="C6" t="s">
        <v>1099</v>
      </c>
      <c r="D6" s="110"/>
      <c r="E6" s="111">
        <f t="shared" ref="E6:E20" si="1">+SUM(H6:S6)</f>
        <v>0</v>
      </c>
      <c r="F6" s="111">
        <v>40000</v>
      </c>
      <c r="G6" s="111">
        <f t="shared" ref="G6:G20" si="2">+E6-F6</f>
        <v>-40000</v>
      </c>
      <c r="H6" s="112"/>
      <c r="I6" s="111"/>
      <c r="J6" s="111"/>
      <c r="K6" s="111"/>
      <c r="L6" s="111"/>
      <c r="M6" s="111"/>
      <c r="N6" s="111"/>
      <c r="O6" s="111"/>
      <c r="P6" s="111"/>
      <c r="Q6" s="111"/>
      <c r="R6" s="111"/>
      <c r="S6" s="111"/>
      <c r="T6" s="113"/>
      <c r="U6" s="3"/>
      <c r="V6" s="3"/>
      <c r="W6" s="3"/>
      <c r="X6" s="3" t="s">
        <v>64</v>
      </c>
      <c r="Y6" s="3"/>
      <c r="Z6" s="3"/>
    </row>
    <row r="7" spans="1:26" ht="30" customHeight="1">
      <c r="A7" s="113" t="str">
        <f>+Parametres!$B$1</f>
        <v>Hyundai</v>
      </c>
      <c r="B7" s="114" t="s">
        <v>246</v>
      </c>
      <c r="C7" t="s">
        <v>1107</v>
      </c>
      <c r="D7" s="110"/>
      <c r="E7" s="112">
        <f t="shared" si="1"/>
        <v>0</v>
      </c>
      <c r="F7" s="111"/>
      <c r="G7" s="111">
        <f t="shared" si="2"/>
        <v>0</v>
      </c>
      <c r="H7" s="112"/>
      <c r="I7" s="111"/>
      <c r="J7" s="111"/>
      <c r="K7" s="111"/>
      <c r="L7" s="111"/>
      <c r="M7" s="111"/>
      <c r="N7" s="111"/>
      <c r="O7" s="111"/>
      <c r="P7" s="111"/>
      <c r="Q7" s="111"/>
      <c r="R7" s="111"/>
      <c r="S7" s="111"/>
      <c r="T7" s="113"/>
      <c r="U7" s="3"/>
      <c r="V7" s="3"/>
      <c r="W7" s="3"/>
      <c r="X7" s="3" t="s">
        <v>66</v>
      </c>
      <c r="Y7" s="3"/>
      <c r="Z7" s="3"/>
    </row>
    <row r="8" spans="1:26" ht="30" customHeight="1">
      <c r="A8" s="113" t="str">
        <f>+Parametres!$B$1</f>
        <v>Hyundai</v>
      </c>
      <c r="B8" s="114"/>
      <c r="C8" t="s">
        <v>1112</v>
      </c>
      <c r="D8" s="110"/>
      <c r="E8" s="112">
        <f t="shared" si="1"/>
        <v>30931.3</v>
      </c>
      <c r="F8" s="111"/>
      <c r="G8" s="111">
        <f t="shared" si="2"/>
        <v>30931.3</v>
      </c>
      <c r="H8" s="112">
        <v>30931.3</v>
      </c>
      <c r="I8" s="111"/>
      <c r="J8" s="111"/>
      <c r="K8" s="111"/>
      <c r="L8" s="111"/>
      <c r="M8" s="33"/>
      <c r="N8" s="111"/>
      <c r="O8" s="111"/>
      <c r="P8" s="111"/>
      <c r="Q8" s="111"/>
      <c r="R8" s="111"/>
      <c r="S8" s="111"/>
      <c r="T8" s="113"/>
      <c r="U8" s="3"/>
      <c r="V8" s="3"/>
      <c r="W8" s="3"/>
      <c r="X8" s="3" t="s">
        <v>71</v>
      </c>
      <c r="Y8" s="3"/>
      <c r="Z8" s="3"/>
    </row>
    <row r="9" spans="1:26" ht="30" customHeight="1">
      <c r="A9" s="113" t="str">
        <f>+Parametres!$B$1</f>
        <v>Hyundai</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72</v>
      </c>
      <c r="Y9" s="3"/>
      <c r="Z9" s="3"/>
    </row>
    <row r="10" spans="1:26" ht="30" customHeight="1">
      <c r="A10" s="113" t="str">
        <f>+Parametres!$B$1</f>
        <v>Hyundai</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73</v>
      </c>
      <c r="Y10" s="3"/>
      <c r="Z10" s="3"/>
    </row>
    <row r="11" spans="1:26" ht="30" customHeight="1">
      <c r="A11" s="113" t="str">
        <f>+Parametres!$B$1</f>
        <v>Hyundai</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75</v>
      </c>
      <c r="Y11" s="3"/>
      <c r="Z11" s="3"/>
    </row>
    <row r="12" spans="1:26" ht="30" customHeight="1">
      <c r="A12" s="113" t="str">
        <f>+Parametres!$B$1</f>
        <v>Hyundai</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Hyundai</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Hyundai</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Hyundai</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Hyundai</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Hyundai</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246</v>
      </c>
      <c r="Y17" s="3"/>
      <c r="Z17" s="3"/>
    </row>
    <row r="18" spans="1:26" ht="30" customHeight="1">
      <c r="A18" s="113" t="str">
        <f>+Parametres!$B$1</f>
        <v>Hyundai</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Hyundai</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Hyundai</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853" t="s">
        <v>248</v>
      </c>
      <c r="B1" s="859" t="s">
        <v>7</v>
      </c>
      <c r="C1" s="859" t="s">
        <v>249</v>
      </c>
      <c r="D1" s="859" t="s">
        <v>250</v>
      </c>
      <c r="E1" s="855" t="s">
        <v>649</v>
      </c>
      <c r="F1" s="855" t="s">
        <v>654</v>
      </c>
      <c r="G1" s="853" t="s">
        <v>253</v>
      </c>
      <c r="H1" s="857" t="s">
        <v>254</v>
      </c>
      <c r="I1" s="138"/>
      <c r="J1" s="138"/>
      <c r="K1" s="138"/>
      <c r="L1" s="138"/>
      <c r="M1" s="802">
        <v>45169</v>
      </c>
      <c r="N1" s="140" t="s">
        <v>251</v>
      </c>
      <c r="O1" s="140" t="s">
        <v>252</v>
      </c>
      <c r="P1" s="138"/>
      <c r="Q1" s="138"/>
      <c r="R1" s="138"/>
      <c r="S1" s="138"/>
      <c r="T1" s="138"/>
      <c r="U1" s="138"/>
      <c r="V1" s="138"/>
      <c r="W1" s="138"/>
      <c r="X1" s="138"/>
      <c r="Y1" s="138"/>
      <c r="Z1" s="138"/>
      <c r="AA1" s="138"/>
      <c r="AB1" s="138"/>
    </row>
    <row r="2" spans="1:28" ht="14.25" customHeight="1">
      <c r="A2" s="854" t="s">
        <v>277</v>
      </c>
      <c r="B2" s="854" t="s">
        <v>274</v>
      </c>
      <c r="C2" s="854" t="s">
        <v>263</v>
      </c>
      <c r="D2" s="854" t="s">
        <v>278</v>
      </c>
      <c r="E2" s="856">
        <v>32007.51</v>
      </c>
      <c r="F2" s="856">
        <v>-22494.36</v>
      </c>
      <c r="G2" s="854" t="s">
        <v>279</v>
      </c>
      <c r="H2" s="851">
        <v>423</v>
      </c>
      <c r="I2" s="834"/>
      <c r="J2" s="833"/>
      <c r="K2" s="833"/>
      <c r="L2" s="138"/>
      <c r="M2" s="140" t="s">
        <v>257</v>
      </c>
      <c r="N2" s="142">
        <f>+SUM(E:E)</f>
        <v>2779322.1000000006</v>
      </c>
      <c r="O2" s="143">
        <f>+SUM(F:F)</f>
        <v>-640715.52999999991</v>
      </c>
      <c r="P2" s="138"/>
      <c r="Q2" s="138"/>
      <c r="R2" s="138"/>
      <c r="S2" s="138"/>
      <c r="T2" s="138"/>
      <c r="U2" s="138"/>
      <c r="V2" s="138"/>
      <c r="W2" s="138"/>
      <c r="X2" s="138"/>
      <c r="Y2" s="138"/>
      <c r="Z2" s="138"/>
      <c r="AA2" s="138"/>
      <c r="AB2" s="138"/>
    </row>
    <row r="3" spans="1:28" ht="14.25" customHeight="1">
      <c r="A3" s="854" t="s">
        <v>687</v>
      </c>
      <c r="B3" s="854" t="s">
        <v>274</v>
      </c>
      <c r="C3" s="854" t="s">
        <v>263</v>
      </c>
      <c r="D3" s="854" t="s">
        <v>278</v>
      </c>
      <c r="E3" s="856">
        <v>24454.46</v>
      </c>
      <c r="F3" s="852"/>
      <c r="G3" s="854" t="s">
        <v>688</v>
      </c>
      <c r="H3" s="851">
        <v>306</v>
      </c>
      <c r="I3" s="833"/>
      <c r="J3" s="833"/>
      <c r="K3" s="833"/>
      <c r="L3" s="138"/>
      <c r="M3" s="138" t="s">
        <v>259</v>
      </c>
      <c r="N3" s="149">
        <f>COUNT(E:E)</f>
        <v>111</v>
      </c>
      <c r="O3" s="144">
        <f>-O2/N2</f>
        <v>0.23052942658211503</v>
      </c>
      <c r="P3" s="138"/>
      <c r="Q3" s="138"/>
      <c r="R3" s="138"/>
      <c r="S3" s="138"/>
      <c r="T3" s="138"/>
      <c r="U3" s="138"/>
      <c r="V3" s="138"/>
      <c r="W3" s="138"/>
      <c r="X3" s="138"/>
      <c r="Y3" s="138"/>
      <c r="Z3" s="138"/>
      <c r="AA3" s="138"/>
      <c r="AB3" s="138"/>
    </row>
    <row r="4" spans="1:28" ht="14.25" customHeight="1">
      <c r="A4" s="854" t="s">
        <v>695</v>
      </c>
      <c r="B4" s="854" t="s">
        <v>264</v>
      </c>
      <c r="C4" s="854" t="s">
        <v>263</v>
      </c>
      <c r="D4" s="854" t="s">
        <v>265</v>
      </c>
      <c r="E4" s="856">
        <v>37735.15</v>
      </c>
      <c r="F4" s="852"/>
      <c r="G4" s="854" t="s">
        <v>696</v>
      </c>
      <c r="H4" s="851">
        <v>188</v>
      </c>
      <c r="I4" s="833"/>
      <c r="J4" s="833"/>
      <c r="K4" s="833"/>
      <c r="L4" s="138"/>
      <c r="M4" s="138"/>
      <c r="N4" s="138"/>
      <c r="O4" s="138"/>
      <c r="P4" s="138"/>
      <c r="Q4" s="138"/>
      <c r="R4" s="138"/>
      <c r="S4" s="138"/>
      <c r="T4" s="138"/>
      <c r="U4" s="138"/>
      <c r="V4" s="138"/>
      <c r="W4" s="138"/>
      <c r="X4" s="138"/>
      <c r="Y4" s="138"/>
      <c r="Z4" s="138"/>
      <c r="AA4" s="138"/>
      <c r="AB4" s="138"/>
    </row>
    <row r="5" spans="1:28" ht="14.25" customHeight="1">
      <c r="A5" s="854" t="s">
        <v>697</v>
      </c>
      <c r="B5" s="854" t="s">
        <v>262</v>
      </c>
      <c r="C5" s="854" t="s">
        <v>263</v>
      </c>
      <c r="D5" s="854" t="s">
        <v>691</v>
      </c>
      <c r="E5" s="856">
        <v>29929.55</v>
      </c>
      <c r="F5" s="852"/>
      <c r="G5" s="854" t="s">
        <v>698</v>
      </c>
      <c r="H5" s="851">
        <v>187</v>
      </c>
      <c r="I5" s="833"/>
      <c r="J5" s="833"/>
      <c r="K5" s="833"/>
      <c r="L5" s="138"/>
      <c r="M5" s="138" t="s">
        <v>270</v>
      </c>
      <c r="N5" s="150">
        <f>+N2/N3</f>
        <v>25038.937837837842</v>
      </c>
      <c r="O5" s="138"/>
      <c r="P5" s="138"/>
      <c r="Q5" s="138"/>
      <c r="R5" s="138"/>
      <c r="S5" s="138"/>
      <c r="T5" s="138"/>
      <c r="U5" s="138"/>
      <c r="V5" s="138"/>
      <c r="W5" s="138"/>
      <c r="X5" s="138"/>
      <c r="Y5" s="138"/>
      <c r="Z5" s="138"/>
      <c r="AA5" s="138"/>
      <c r="AB5" s="138"/>
    </row>
    <row r="6" spans="1:28" ht="14.25" customHeight="1">
      <c r="A6" s="854" t="s">
        <v>709</v>
      </c>
      <c r="B6" s="854" t="s">
        <v>262</v>
      </c>
      <c r="C6" s="854" t="s">
        <v>263</v>
      </c>
      <c r="D6" s="854" t="s">
        <v>258</v>
      </c>
      <c r="E6" s="856">
        <v>31306.12</v>
      </c>
      <c r="F6" s="852"/>
      <c r="G6" s="854" t="s">
        <v>710</v>
      </c>
      <c r="H6" s="851">
        <v>131</v>
      </c>
      <c r="I6" s="833"/>
      <c r="J6" s="833"/>
      <c r="K6" s="833"/>
      <c r="L6" s="138"/>
      <c r="M6" s="138"/>
      <c r="N6" s="138"/>
      <c r="O6" s="138"/>
      <c r="P6" s="138"/>
      <c r="Q6" s="138"/>
      <c r="R6" s="138"/>
      <c r="S6" s="138"/>
      <c r="T6" s="138"/>
      <c r="U6" s="138"/>
      <c r="V6" s="138"/>
      <c r="W6" s="138"/>
      <c r="X6" s="138"/>
      <c r="Y6" s="138"/>
      <c r="Z6" s="138"/>
      <c r="AA6" s="138"/>
      <c r="AB6" s="138"/>
    </row>
    <row r="7" spans="1:28" ht="14.25" customHeight="1">
      <c r="A7" s="854" t="s">
        <v>816</v>
      </c>
      <c r="B7" s="854" t="s">
        <v>817</v>
      </c>
      <c r="C7" s="854" t="s">
        <v>811</v>
      </c>
      <c r="D7" s="854" t="s">
        <v>812</v>
      </c>
      <c r="E7" s="856">
        <v>17680.419999999998</v>
      </c>
      <c r="F7" s="852"/>
      <c r="G7" s="854" t="s">
        <v>818</v>
      </c>
      <c r="H7" s="851">
        <v>121</v>
      </c>
      <c r="I7" s="833"/>
      <c r="J7" s="833"/>
      <c r="K7" s="833"/>
      <c r="L7" s="138"/>
      <c r="M7" s="151" t="s">
        <v>272</v>
      </c>
      <c r="N7" s="152">
        <f>SUM(E2:E13)</f>
        <v>337989.36</v>
      </c>
      <c r="O7" s="144">
        <f>+N7/N2</f>
        <v>0.12160856059108799</v>
      </c>
      <c r="P7" s="138"/>
      <c r="Q7" s="138"/>
      <c r="R7" s="138"/>
      <c r="S7" s="138"/>
      <c r="T7" s="138"/>
      <c r="U7" s="138"/>
      <c r="V7" s="138"/>
      <c r="W7" s="138"/>
      <c r="X7" s="138"/>
      <c r="Y7" s="138"/>
      <c r="Z7" s="138"/>
      <c r="AA7" s="138"/>
      <c r="AB7" s="138"/>
    </row>
    <row r="8" spans="1:28" ht="14.25" customHeight="1">
      <c r="A8" s="854" t="s">
        <v>731</v>
      </c>
      <c r="B8" s="854" t="s">
        <v>264</v>
      </c>
      <c r="C8" s="854" t="s">
        <v>263</v>
      </c>
      <c r="D8" s="854" t="s">
        <v>256</v>
      </c>
      <c r="E8" s="856">
        <v>28635.15</v>
      </c>
      <c r="F8" s="856">
        <v>-31332.799999999999</v>
      </c>
      <c r="G8" s="854" t="s">
        <v>732</v>
      </c>
      <c r="H8" s="851">
        <v>104</v>
      </c>
      <c r="I8" s="833"/>
      <c r="J8" s="833"/>
      <c r="K8" s="833"/>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854" t="s">
        <v>727</v>
      </c>
      <c r="B9" s="854" t="s">
        <v>255</v>
      </c>
      <c r="C9" s="854" t="s">
        <v>263</v>
      </c>
      <c r="D9" s="854" t="s">
        <v>256</v>
      </c>
      <c r="E9" s="856">
        <v>38815.25</v>
      </c>
      <c r="F9" s="852"/>
      <c r="G9" s="854" t="s">
        <v>728</v>
      </c>
      <c r="H9" s="851">
        <v>94</v>
      </c>
      <c r="I9" s="833"/>
      <c r="J9" s="833"/>
      <c r="K9" s="833"/>
      <c r="L9" s="138"/>
      <c r="M9" s="138"/>
      <c r="N9" s="138"/>
      <c r="O9" s="138"/>
      <c r="P9" s="138"/>
      <c r="Q9" s="138"/>
      <c r="R9" s="138"/>
      <c r="S9" s="138"/>
      <c r="T9" s="138"/>
      <c r="U9" s="138"/>
      <c r="V9" s="138"/>
      <c r="W9" s="138"/>
      <c r="X9" s="138"/>
      <c r="Y9" s="138"/>
      <c r="Z9" s="138"/>
      <c r="AA9" s="138"/>
      <c r="AB9" s="138"/>
    </row>
    <row r="10" spans="1:28" ht="14.25" customHeight="1">
      <c r="A10" s="854" t="s">
        <v>729</v>
      </c>
      <c r="B10" s="854" t="s">
        <v>274</v>
      </c>
      <c r="C10" s="854" t="s">
        <v>263</v>
      </c>
      <c r="D10" s="854" t="s">
        <v>256</v>
      </c>
      <c r="E10" s="856">
        <v>31315.25</v>
      </c>
      <c r="F10" s="856">
        <v>-24944.54</v>
      </c>
      <c r="G10" s="854" t="s">
        <v>730</v>
      </c>
      <c r="H10" s="851">
        <v>94</v>
      </c>
      <c r="I10" s="833"/>
      <c r="J10" s="833"/>
      <c r="K10" s="833"/>
      <c r="L10" s="138"/>
      <c r="M10" s="138"/>
      <c r="N10" s="138"/>
      <c r="O10" s="138"/>
      <c r="P10" s="138"/>
      <c r="Q10" s="138"/>
      <c r="R10" s="138"/>
      <c r="S10" s="138"/>
      <c r="T10" s="138"/>
      <c r="U10" s="138"/>
      <c r="V10" s="138"/>
      <c r="W10" s="138"/>
      <c r="X10" s="138"/>
      <c r="Y10" s="138"/>
      <c r="Z10" s="138"/>
      <c r="AA10" s="138"/>
      <c r="AB10" s="138"/>
    </row>
    <row r="11" spans="1:28" ht="14.25" customHeight="1">
      <c r="A11" s="854" t="s">
        <v>734</v>
      </c>
      <c r="B11" s="854" t="s">
        <v>271</v>
      </c>
      <c r="C11" s="854" t="s">
        <v>263</v>
      </c>
      <c r="D11" s="854" t="s">
        <v>273</v>
      </c>
      <c r="E11" s="856">
        <v>21280.25</v>
      </c>
      <c r="F11" s="856">
        <v>-10962</v>
      </c>
      <c r="G11" s="854" t="s">
        <v>735</v>
      </c>
      <c r="H11" s="851">
        <v>94</v>
      </c>
      <c r="I11" s="833"/>
      <c r="J11" s="833"/>
      <c r="K11" s="833"/>
      <c r="L11" s="138"/>
      <c r="M11" s="138"/>
      <c r="N11" s="138"/>
      <c r="O11" s="138"/>
      <c r="P11" s="138"/>
      <c r="Q11" s="138"/>
      <c r="R11" s="138"/>
      <c r="S11" s="138"/>
      <c r="T11" s="138"/>
      <c r="U11" s="138"/>
      <c r="V11" s="138"/>
      <c r="W11" s="138"/>
      <c r="X11" s="138"/>
      <c r="Y11" s="138"/>
      <c r="Z11" s="138"/>
      <c r="AA11" s="138"/>
      <c r="AB11" s="138"/>
    </row>
    <row r="12" spans="1:28" ht="14.25" customHeight="1">
      <c r="A12" s="854" t="s">
        <v>736</v>
      </c>
      <c r="B12" s="854" t="s">
        <v>262</v>
      </c>
      <c r="C12" s="854" t="s">
        <v>737</v>
      </c>
      <c r="D12" s="854" t="s">
        <v>738</v>
      </c>
      <c r="E12" s="856">
        <v>17550</v>
      </c>
      <c r="F12" s="852"/>
      <c r="G12" s="854" t="s">
        <v>739</v>
      </c>
      <c r="H12" s="851">
        <v>93</v>
      </c>
      <c r="I12" s="833"/>
      <c r="J12" s="833"/>
      <c r="K12" s="833"/>
      <c r="L12" s="138"/>
      <c r="M12" s="138"/>
      <c r="N12" s="138"/>
      <c r="O12" s="138"/>
      <c r="P12" s="138"/>
      <c r="Q12" s="138"/>
      <c r="R12" s="138"/>
      <c r="S12" s="138"/>
      <c r="T12" s="138"/>
      <c r="U12" s="138"/>
      <c r="V12" s="138"/>
      <c r="W12" s="138"/>
      <c r="X12" s="138"/>
      <c r="Y12" s="138"/>
      <c r="Z12" s="138"/>
      <c r="AA12" s="138"/>
      <c r="AB12" s="138"/>
    </row>
    <row r="13" spans="1:28" ht="14.25" customHeight="1">
      <c r="A13" s="854" t="s">
        <v>802</v>
      </c>
      <c r="B13" s="854" t="s">
        <v>271</v>
      </c>
      <c r="C13" s="854" t="s">
        <v>263</v>
      </c>
      <c r="D13" s="854" t="s">
        <v>275</v>
      </c>
      <c r="E13" s="856">
        <v>27280.25</v>
      </c>
      <c r="F13" s="856">
        <v>-17480.23</v>
      </c>
      <c r="G13" s="854" t="s">
        <v>803</v>
      </c>
      <c r="H13" s="851">
        <v>90</v>
      </c>
      <c r="I13" s="833"/>
      <c r="J13" s="833"/>
      <c r="K13" s="833"/>
      <c r="L13" s="138"/>
      <c r="M13" s="138"/>
      <c r="N13" s="138"/>
      <c r="O13" s="138"/>
      <c r="P13" s="138"/>
      <c r="Q13" s="138"/>
      <c r="R13" s="138"/>
      <c r="S13" s="138"/>
      <c r="T13" s="138"/>
      <c r="U13" s="138"/>
      <c r="V13" s="138"/>
      <c r="W13" s="138"/>
      <c r="X13" s="138"/>
      <c r="Y13" s="138"/>
      <c r="Z13" s="138"/>
      <c r="AA13" s="138"/>
      <c r="AB13" s="138"/>
    </row>
    <row r="14" spans="1:28" ht="14.25" customHeight="1">
      <c r="A14" s="854" t="s">
        <v>779</v>
      </c>
      <c r="B14" s="854" t="s">
        <v>255</v>
      </c>
      <c r="C14" s="854" t="s">
        <v>263</v>
      </c>
      <c r="D14" s="854" t="s">
        <v>265</v>
      </c>
      <c r="E14" s="856">
        <v>44105.05</v>
      </c>
      <c r="F14" s="856">
        <v>-38250</v>
      </c>
      <c r="G14" s="854" t="s">
        <v>780</v>
      </c>
      <c r="H14" s="858">
        <v>88</v>
      </c>
      <c r="I14" s="833"/>
      <c r="J14" s="833"/>
      <c r="K14" s="833"/>
      <c r="L14" s="138"/>
      <c r="M14" s="138"/>
      <c r="N14" s="138"/>
      <c r="O14" s="138"/>
      <c r="P14" s="138"/>
      <c r="Q14" s="138"/>
      <c r="R14" s="138"/>
      <c r="S14" s="138"/>
      <c r="T14" s="138"/>
      <c r="U14" s="138"/>
      <c r="V14" s="138"/>
      <c r="W14" s="138"/>
      <c r="X14" s="138"/>
      <c r="Y14" s="138"/>
      <c r="Z14" s="138"/>
      <c r="AA14" s="138"/>
      <c r="AB14" s="138"/>
    </row>
    <row r="15" spans="1:28" ht="14.25" customHeight="1">
      <c r="A15" s="854" t="s">
        <v>793</v>
      </c>
      <c r="B15" s="854" t="s">
        <v>274</v>
      </c>
      <c r="C15" s="854" t="s">
        <v>263</v>
      </c>
      <c r="D15" s="854" t="s">
        <v>265</v>
      </c>
      <c r="E15" s="856">
        <v>36415.129999999997</v>
      </c>
      <c r="F15" s="856">
        <v>-26892</v>
      </c>
      <c r="G15" s="854" t="s">
        <v>794</v>
      </c>
      <c r="H15" s="858">
        <v>82</v>
      </c>
      <c r="I15" s="833"/>
      <c r="J15" s="833"/>
      <c r="K15" s="833"/>
      <c r="L15" s="138"/>
      <c r="M15" s="138"/>
      <c r="N15" s="138"/>
      <c r="O15" s="138"/>
      <c r="P15" s="138"/>
      <c r="Q15" s="138"/>
      <c r="R15" s="138"/>
      <c r="S15" s="138"/>
      <c r="T15" s="138"/>
      <c r="U15" s="138"/>
      <c r="V15" s="138"/>
      <c r="W15" s="138"/>
      <c r="X15" s="138"/>
      <c r="Y15" s="138"/>
      <c r="Z15" s="138"/>
      <c r="AA15" s="138"/>
      <c r="AB15" s="138"/>
    </row>
    <row r="16" spans="1:28" ht="14.25" customHeight="1">
      <c r="A16" s="854" t="s">
        <v>787</v>
      </c>
      <c r="B16" s="854" t="s">
        <v>274</v>
      </c>
      <c r="C16" s="854" t="s">
        <v>263</v>
      </c>
      <c r="D16" s="854" t="s">
        <v>256</v>
      </c>
      <c r="E16" s="856">
        <v>27935.05</v>
      </c>
      <c r="F16" s="852"/>
      <c r="G16" s="854" t="s">
        <v>788</v>
      </c>
      <c r="H16" s="858">
        <v>76</v>
      </c>
      <c r="I16" s="833"/>
      <c r="J16" s="833"/>
      <c r="K16" s="833"/>
      <c r="L16" s="138"/>
      <c r="M16" s="138"/>
      <c r="N16" s="138"/>
      <c r="O16" s="138"/>
      <c r="P16" s="138"/>
      <c r="Q16" s="138"/>
      <c r="R16" s="138"/>
      <c r="S16" s="138"/>
      <c r="T16" s="138"/>
      <c r="U16" s="138"/>
      <c r="V16" s="138"/>
      <c r="W16" s="138"/>
      <c r="X16" s="138"/>
      <c r="Y16" s="138"/>
      <c r="Z16" s="138"/>
      <c r="AA16" s="138"/>
      <c r="AB16" s="138"/>
    </row>
    <row r="17" spans="1:28" ht="14.25" customHeight="1">
      <c r="A17" s="854" t="s">
        <v>813</v>
      </c>
      <c r="B17" s="854" t="s">
        <v>276</v>
      </c>
      <c r="C17" s="854" t="s">
        <v>690</v>
      </c>
      <c r="D17" s="854" t="s">
        <v>814</v>
      </c>
      <c r="E17" s="856">
        <v>20050</v>
      </c>
      <c r="F17" s="852"/>
      <c r="G17" s="854" t="s">
        <v>815</v>
      </c>
      <c r="H17" s="858">
        <v>74</v>
      </c>
      <c r="I17" s="833"/>
      <c r="J17" s="833"/>
      <c r="K17" s="833"/>
      <c r="L17" s="138"/>
      <c r="M17" s="138"/>
      <c r="N17" s="138"/>
      <c r="O17" s="138"/>
      <c r="P17" s="138"/>
      <c r="Q17" s="138"/>
      <c r="R17" s="138"/>
      <c r="S17" s="138"/>
      <c r="T17" s="138"/>
      <c r="U17" s="138"/>
      <c r="V17" s="138"/>
      <c r="W17" s="138"/>
      <c r="X17" s="138"/>
      <c r="Y17" s="138"/>
      <c r="Z17" s="138"/>
      <c r="AA17" s="138"/>
      <c r="AB17" s="138"/>
    </row>
    <row r="18" spans="1:28" ht="14.25" customHeight="1">
      <c r="A18" s="854" t="s">
        <v>806</v>
      </c>
      <c r="B18" s="854" t="s">
        <v>262</v>
      </c>
      <c r="C18" s="854" t="s">
        <v>263</v>
      </c>
      <c r="D18" s="854" t="s">
        <v>256</v>
      </c>
      <c r="E18" s="856">
        <v>20497.05</v>
      </c>
      <c r="F18" s="852"/>
      <c r="G18" s="854" t="s">
        <v>807</v>
      </c>
      <c r="H18" s="858">
        <v>72</v>
      </c>
      <c r="I18" s="833"/>
      <c r="J18" s="833"/>
      <c r="K18" s="833"/>
      <c r="L18" s="138"/>
      <c r="M18" s="138"/>
      <c r="N18" s="138"/>
      <c r="O18" s="138"/>
      <c r="P18" s="138"/>
      <c r="Q18" s="138"/>
      <c r="R18" s="138"/>
      <c r="S18" s="138"/>
      <c r="T18" s="138"/>
      <c r="U18" s="138"/>
      <c r="V18" s="138"/>
      <c r="W18" s="138"/>
      <c r="X18" s="138"/>
      <c r="Y18" s="138"/>
      <c r="Z18" s="138"/>
      <c r="AA18" s="138"/>
      <c r="AB18" s="138"/>
    </row>
    <row r="19" spans="1:28" ht="14.25" customHeight="1">
      <c r="A19" s="854" t="s">
        <v>789</v>
      </c>
      <c r="B19" s="854" t="s">
        <v>274</v>
      </c>
      <c r="C19" s="854" t="s">
        <v>263</v>
      </c>
      <c r="D19" s="854" t="s">
        <v>256</v>
      </c>
      <c r="E19" s="856">
        <v>28075.78</v>
      </c>
      <c r="F19" s="856">
        <v>-23850</v>
      </c>
      <c r="G19" s="854" t="s">
        <v>790</v>
      </c>
      <c r="H19" s="858">
        <v>69</v>
      </c>
      <c r="I19" s="833"/>
      <c r="J19" s="833"/>
      <c r="K19" s="833"/>
      <c r="L19" s="138"/>
      <c r="M19" s="138"/>
      <c r="N19" s="138"/>
      <c r="O19" s="138"/>
      <c r="P19" s="138"/>
      <c r="Q19" s="138"/>
      <c r="R19" s="138"/>
      <c r="S19" s="138"/>
      <c r="T19" s="138"/>
      <c r="U19" s="138"/>
      <c r="V19" s="138"/>
      <c r="W19" s="138"/>
      <c r="X19" s="138"/>
      <c r="Y19" s="138"/>
      <c r="Z19" s="138"/>
      <c r="AA19" s="138"/>
      <c r="AB19" s="138"/>
    </row>
    <row r="20" spans="1:28" ht="14.25" customHeight="1">
      <c r="A20" s="854" t="s">
        <v>800</v>
      </c>
      <c r="B20" s="854" t="s">
        <v>271</v>
      </c>
      <c r="C20" s="854" t="s">
        <v>263</v>
      </c>
      <c r="D20" s="854" t="s">
        <v>256</v>
      </c>
      <c r="E20" s="856">
        <v>26815.25</v>
      </c>
      <c r="F20" s="852"/>
      <c r="G20" s="854" t="s">
        <v>801</v>
      </c>
      <c r="H20" s="858">
        <v>69</v>
      </c>
      <c r="I20" s="833"/>
      <c r="J20" s="833"/>
      <c r="K20" s="833"/>
      <c r="L20" s="138"/>
      <c r="M20" s="138"/>
      <c r="N20" s="138"/>
      <c r="O20" s="138"/>
      <c r="P20" s="138"/>
      <c r="Q20" s="138"/>
      <c r="R20" s="138"/>
      <c r="S20" s="138"/>
      <c r="T20" s="138"/>
      <c r="U20" s="138"/>
      <c r="V20" s="138"/>
      <c r="W20" s="138"/>
      <c r="X20" s="138"/>
      <c r="Y20" s="138"/>
      <c r="Z20" s="138"/>
      <c r="AA20" s="138"/>
      <c r="AB20" s="138"/>
    </row>
    <row r="21" spans="1:28" ht="14.25" customHeight="1">
      <c r="A21" s="854" t="s">
        <v>846</v>
      </c>
      <c r="B21" s="854" t="s">
        <v>264</v>
      </c>
      <c r="C21" s="854" t="s">
        <v>263</v>
      </c>
      <c r="D21" s="854" t="s">
        <v>256</v>
      </c>
      <c r="E21" s="856">
        <v>28447.25</v>
      </c>
      <c r="F21" s="856">
        <v>-24418.799999999999</v>
      </c>
      <c r="G21" s="854" t="s">
        <v>847</v>
      </c>
      <c r="H21" s="858">
        <v>68</v>
      </c>
      <c r="I21" s="833"/>
      <c r="J21" s="833"/>
      <c r="K21" s="833"/>
      <c r="L21" s="138"/>
      <c r="M21" s="138"/>
      <c r="N21" s="138"/>
      <c r="O21" s="138"/>
      <c r="P21" s="138"/>
      <c r="Q21" s="138"/>
      <c r="R21" s="138"/>
      <c r="S21" s="138"/>
      <c r="T21" s="138"/>
      <c r="U21" s="138"/>
      <c r="V21" s="138"/>
      <c r="W21" s="138"/>
      <c r="X21" s="138"/>
      <c r="Y21" s="138"/>
      <c r="Z21" s="138"/>
      <c r="AA21" s="138"/>
      <c r="AB21" s="138"/>
    </row>
    <row r="22" spans="1:28" ht="14.25" customHeight="1">
      <c r="A22" s="854" t="s">
        <v>804</v>
      </c>
      <c r="B22" s="854" t="s">
        <v>271</v>
      </c>
      <c r="C22" s="854" t="s">
        <v>263</v>
      </c>
      <c r="D22" s="854" t="s">
        <v>258</v>
      </c>
      <c r="E22" s="856">
        <v>29352</v>
      </c>
      <c r="F22" s="852"/>
      <c r="G22" s="854" t="s">
        <v>805</v>
      </c>
      <c r="H22" s="858">
        <v>66</v>
      </c>
      <c r="I22" s="833"/>
      <c r="J22" s="833"/>
      <c r="K22" s="833"/>
      <c r="L22" s="138"/>
      <c r="M22" s="138"/>
      <c r="N22" s="138"/>
      <c r="O22" s="138"/>
      <c r="P22" s="138"/>
      <c r="Q22" s="138"/>
      <c r="R22" s="138"/>
      <c r="S22" s="138"/>
      <c r="T22" s="138"/>
      <c r="U22" s="138"/>
      <c r="V22" s="138"/>
      <c r="W22" s="138"/>
      <c r="X22" s="138"/>
      <c r="Y22" s="138"/>
      <c r="Z22" s="138"/>
      <c r="AA22" s="138"/>
      <c r="AB22" s="138"/>
    </row>
    <row r="23" spans="1:28" ht="14.25" customHeight="1">
      <c r="A23" s="854" t="s">
        <v>809</v>
      </c>
      <c r="B23" s="854" t="s">
        <v>262</v>
      </c>
      <c r="C23" s="854" t="s">
        <v>263</v>
      </c>
      <c r="D23" s="854" t="s">
        <v>269</v>
      </c>
      <c r="E23" s="856">
        <v>18787.5</v>
      </c>
      <c r="F23" s="852"/>
      <c r="G23" s="854" t="s">
        <v>810</v>
      </c>
      <c r="H23" s="858">
        <v>66</v>
      </c>
      <c r="I23" s="833"/>
      <c r="J23" s="833"/>
      <c r="K23" s="833"/>
      <c r="L23" s="138"/>
      <c r="M23" s="138"/>
      <c r="N23" s="138"/>
      <c r="O23" s="138"/>
      <c r="P23" s="138"/>
      <c r="Q23" s="138"/>
      <c r="R23" s="138"/>
      <c r="S23" s="138"/>
      <c r="T23" s="138"/>
      <c r="U23" s="138"/>
      <c r="V23" s="138"/>
      <c r="W23" s="138"/>
      <c r="X23" s="138"/>
      <c r="Y23" s="138"/>
      <c r="Z23" s="138"/>
      <c r="AA23" s="138"/>
      <c r="AB23" s="138"/>
    </row>
    <row r="24" spans="1:28" ht="14.25" customHeight="1">
      <c r="A24" s="854" t="s">
        <v>791</v>
      </c>
      <c r="B24" s="854" t="s">
        <v>274</v>
      </c>
      <c r="C24" s="854" t="s">
        <v>263</v>
      </c>
      <c r="D24" s="854" t="s">
        <v>273</v>
      </c>
      <c r="E24" s="856">
        <v>18043.82</v>
      </c>
      <c r="F24" s="852"/>
      <c r="G24" s="854" t="s">
        <v>792</v>
      </c>
      <c r="H24" s="858">
        <v>65</v>
      </c>
      <c r="I24" s="833"/>
      <c r="J24" s="833"/>
      <c r="K24" s="833"/>
      <c r="L24" s="138"/>
      <c r="M24" s="138"/>
      <c r="N24" s="138"/>
      <c r="O24" s="138"/>
      <c r="P24" s="138"/>
      <c r="Q24" s="138"/>
      <c r="R24" s="138"/>
      <c r="S24" s="138"/>
      <c r="T24" s="138"/>
      <c r="U24" s="138"/>
      <c r="V24" s="138"/>
      <c r="W24" s="138"/>
      <c r="X24" s="138"/>
      <c r="Y24" s="138"/>
      <c r="Z24" s="138"/>
      <c r="AA24" s="138"/>
      <c r="AB24" s="138"/>
    </row>
    <row r="25" spans="1:28" ht="14.25" customHeight="1">
      <c r="A25" s="854" t="s">
        <v>783</v>
      </c>
      <c r="B25" s="854" t="s">
        <v>264</v>
      </c>
      <c r="C25" s="854" t="s">
        <v>263</v>
      </c>
      <c r="D25" s="854" t="s">
        <v>258</v>
      </c>
      <c r="E25" s="856">
        <v>40209.65</v>
      </c>
      <c r="F25" s="852"/>
      <c r="G25" s="854" t="s">
        <v>784</v>
      </c>
      <c r="H25" s="858">
        <v>62</v>
      </c>
      <c r="I25" s="833"/>
      <c r="J25" s="833"/>
      <c r="K25" s="833"/>
      <c r="L25" s="138"/>
      <c r="M25" s="138"/>
      <c r="N25" s="138"/>
      <c r="O25" s="138"/>
      <c r="P25" s="138"/>
      <c r="Q25" s="138"/>
      <c r="R25" s="138"/>
      <c r="S25" s="138"/>
      <c r="T25" s="138"/>
      <c r="U25" s="138"/>
      <c r="V25" s="138"/>
      <c r="W25" s="138"/>
      <c r="X25" s="138"/>
      <c r="Y25" s="138"/>
      <c r="Z25" s="138"/>
      <c r="AA25" s="138"/>
      <c r="AB25" s="138"/>
    </row>
    <row r="26" spans="1:28" ht="14.25" customHeight="1">
      <c r="A26" s="854" t="s">
        <v>785</v>
      </c>
      <c r="B26" s="854" t="s">
        <v>274</v>
      </c>
      <c r="C26" s="854" t="s">
        <v>263</v>
      </c>
      <c r="D26" s="854" t="s">
        <v>256</v>
      </c>
      <c r="E26" s="856">
        <v>30620.3</v>
      </c>
      <c r="F26" s="852"/>
      <c r="G26" s="854" t="s">
        <v>786</v>
      </c>
      <c r="H26" s="858">
        <v>62</v>
      </c>
      <c r="I26" s="833"/>
      <c r="J26" s="833"/>
      <c r="K26" s="833"/>
      <c r="L26" s="138"/>
      <c r="M26" s="138"/>
      <c r="N26" s="138"/>
      <c r="O26" s="138"/>
      <c r="P26" s="138"/>
      <c r="Q26" s="138"/>
      <c r="R26" s="138"/>
      <c r="S26" s="138"/>
      <c r="T26" s="138"/>
      <c r="U26" s="138"/>
      <c r="V26" s="138"/>
      <c r="W26" s="138"/>
      <c r="X26" s="138"/>
      <c r="Y26" s="138"/>
      <c r="Z26" s="138"/>
      <c r="AA26" s="138"/>
      <c r="AB26" s="138"/>
    </row>
    <row r="27" spans="1:28" ht="14.25" customHeight="1">
      <c r="A27" s="854" t="s">
        <v>798</v>
      </c>
      <c r="B27" s="854" t="s">
        <v>274</v>
      </c>
      <c r="C27" s="854" t="s">
        <v>741</v>
      </c>
      <c r="D27" s="854" t="s">
        <v>742</v>
      </c>
      <c r="E27" s="856">
        <v>28211.38</v>
      </c>
      <c r="F27" s="852"/>
      <c r="G27" s="854" t="s">
        <v>799</v>
      </c>
      <c r="H27" s="858">
        <v>62</v>
      </c>
      <c r="I27" s="833"/>
      <c r="J27" s="833"/>
      <c r="K27" s="833"/>
      <c r="L27" s="138"/>
      <c r="M27" s="138"/>
      <c r="N27" s="138"/>
      <c r="O27" s="138"/>
      <c r="P27" s="138"/>
      <c r="Q27" s="138"/>
      <c r="R27" s="138"/>
      <c r="S27" s="138"/>
      <c r="T27" s="138"/>
      <c r="U27" s="138"/>
      <c r="V27" s="138"/>
      <c r="W27" s="138"/>
      <c r="X27" s="138"/>
      <c r="Y27" s="138"/>
      <c r="Z27" s="138"/>
      <c r="AA27" s="138"/>
      <c r="AB27" s="138"/>
    </row>
    <row r="28" spans="1:28" ht="14.25" customHeight="1">
      <c r="A28" s="854" t="s">
        <v>795</v>
      </c>
      <c r="B28" s="854" t="s">
        <v>274</v>
      </c>
      <c r="C28" s="854" t="s">
        <v>702</v>
      </c>
      <c r="D28" s="854" t="s">
        <v>796</v>
      </c>
      <c r="E28" s="856">
        <v>23550</v>
      </c>
      <c r="F28" s="852"/>
      <c r="G28" s="854" t="s">
        <v>797</v>
      </c>
      <c r="H28" s="858">
        <v>61</v>
      </c>
      <c r="I28" s="833"/>
      <c r="J28" s="833"/>
      <c r="K28" s="833"/>
      <c r="L28" s="138"/>
      <c r="M28" s="138"/>
      <c r="N28" s="138"/>
      <c r="O28" s="138"/>
      <c r="P28" s="138"/>
      <c r="Q28" s="138"/>
      <c r="R28" s="138"/>
      <c r="S28" s="138"/>
      <c r="T28" s="138"/>
      <c r="U28" s="138"/>
      <c r="V28" s="138"/>
      <c r="W28" s="138"/>
      <c r="X28" s="138"/>
      <c r="Y28" s="138"/>
      <c r="Z28" s="138"/>
      <c r="AA28" s="138"/>
      <c r="AB28" s="138"/>
    </row>
    <row r="29" spans="1:28" ht="14.25" customHeight="1">
      <c r="A29" s="854" t="s">
        <v>848</v>
      </c>
      <c r="B29" s="854" t="s">
        <v>255</v>
      </c>
      <c r="C29" s="854" t="s">
        <v>263</v>
      </c>
      <c r="D29" s="854" t="s">
        <v>256</v>
      </c>
      <c r="E29" s="856">
        <v>36524.6</v>
      </c>
      <c r="F29" s="852"/>
      <c r="G29" s="854" t="s">
        <v>849</v>
      </c>
      <c r="H29" s="858">
        <v>60</v>
      </c>
      <c r="I29" s="833"/>
      <c r="J29" s="833"/>
      <c r="K29" s="833"/>
      <c r="L29" s="138"/>
      <c r="M29" s="138"/>
      <c r="N29" s="138"/>
      <c r="O29" s="138"/>
      <c r="P29" s="138"/>
      <c r="Q29" s="138"/>
      <c r="R29" s="138"/>
      <c r="S29" s="138"/>
      <c r="T29" s="138"/>
      <c r="U29" s="138"/>
      <c r="V29" s="138"/>
      <c r="W29" s="138"/>
      <c r="X29" s="138"/>
      <c r="Y29" s="138"/>
      <c r="Z29" s="138"/>
      <c r="AA29" s="138"/>
      <c r="AB29" s="138"/>
    </row>
    <row r="30" spans="1:28" ht="14.25" customHeight="1">
      <c r="A30" s="854" t="s">
        <v>850</v>
      </c>
      <c r="B30" s="854" t="s">
        <v>274</v>
      </c>
      <c r="C30" s="854" t="s">
        <v>263</v>
      </c>
      <c r="D30" s="854" t="s">
        <v>256</v>
      </c>
      <c r="E30" s="856">
        <v>24346.21</v>
      </c>
      <c r="F30" s="856">
        <v>-16047.88</v>
      </c>
      <c r="G30" s="854" t="s">
        <v>851</v>
      </c>
      <c r="H30" s="858">
        <v>60</v>
      </c>
      <c r="I30" s="833"/>
      <c r="J30" s="833"/>
      <c r="K30" s="833"/>
      <c r="L30" s="138"/>
      <c r="M30" s="138"/>
      <c r="N30" s="138"/>
      <c r="O30" s="138"/>
      <c r="P30" s="138"/>
      <c r="Q30" s="138"/>
      <c r="R30" s="138"/>
      <c r="S30" s="138"/>
      <c r="T30" s="138"/>
      <c r="U30" s="138"/>
      <c r="V30" s="138"/>
      <c r="W30" s="138"/>
      <c r="X30" s="138"/>
      <c r="Y30" s="138"/>
      <c r="Z30" s="138"/>
      <c r="AA30" s="138"/>
      <c r="AB30" s="138"/>
    </row>
    <row r="31" spans="1:28" ht="14.25" customHeight="1">
      <c r="A31" s="854" t="s">
        <v>852</v>
      </c>
      <c r="B31" s="854" t="s">
        <v>271</v>
      </c>
      <c r="C31" s="854" t="s">
        <v>263</v>
      </c>
      <c r="D31" s="854" t="s">
        <v>269</v>
      </c>
      <c r="E31" s="856">
        <v>18530.25</v>
      </c>
      <c r="F31" s="852"/>
      <c r="G31" s="854" t="s">
        <v>853</v>
      </c>
      <c r="H31" s="858">
        <v>60</v>
      </c>
      <c r="I31" s="833"/>
      <c r="J31" s="833"/>
      <c r="K31" s="833"/>
      <c r="L31" s="138"/>
      <c r="M31" s="138"/>
      <c r="N31" s="138"/>
      <c r="O31" s="138"/>
      <c r="P31" s="138"/>
      <c r="Q31" s="138"/>
      <c r="R31" s="138"/>
      <c r="S31" s="138"/>
      <c r="T31" s="138"/>
      <c r="U31" s="138"/>
      <c r="V31" s="138"/>
      <c r="W31" s="138"/>
      <c r="X31" s="138"/>
      <c r="Y31" s="138"/>
      <c r="Z31" s="138"/>
      <c r="AA31" s="138"/>
      <c r="AB31" s="138"/>
    </row>
    <row r="32" spans="1:28" ht="14.25" customHeight="1">
      <c r="A32" s="854" t="s">
        <v>781</v>
      </c>
      <c r="B32" s="854" t="s">
        <v>264</v>
      </c>
      <c r="C32" s="854" t="s">
        <v>263</v>
      </c>
      <c r="D32" s="854" t="s">
        <v>256</v>
      </c>
      <c r="E32" s="856">
        <v>29670.31</v>
      </c>
      <c r="F32" s="856">
        <v>-25505.1</v>
      </c>
      <c r="G32" s="854" t="s">
        <v>782</v>
      </c>
      <c r="H32" s="858">
        <v>59</v>
      </c>
      <c r="I32" s="833"/>
      <c r="J32" s="833"/>
      <c r="K32" s="833"/>
      <c r="L32" s="138"/>
      <c r="M32" s="138"/>
      <c r="N32" s="138"/>
      <c r="O32" s="138"/>
      <c r="P32" s="138"/>
      <c r="Q32" s="138"/>
      <c r="R32" s="138"/>
      <c r="S32" s="138"/>
      <c r="T32" s="138"/>
      <c r="U32" s="138"/>
      <c r="V32" s="138"/>
      <c r="W32" s="138"/>
      <c r="X32" s="138"/>
      <c r="Y32" s="138"/>
      <c r="Z32" s="138"/>
      <c r="AA32" s="138"/>
      <c r="AB32" s="138"/>
    </row>
    <row r="33" spans="1:28" ht="14.25" customHeight="1">
      <c r="A33" s="854" t="s">
        <v>854</v>
      </c>
      <c r="B33" s="854" t="s">
        <v>274</v>
      </c>
      <c r="C33" s="854" t="s">
        <v>263</v>
      </c>
      <c r="D33" s="854" t="s">
        <v>273</v>
      </c>
      <c r="E33" s="856">
        <v>22965.200000000001</v>
      </c>
      <c r="F33" s="852"/>
      <c r="G33" s="854" t="s">
        <v>855</v>
      </c>
      <c r="H33" s="858">
        <v>55</v>
      </c>
      <c r="I33" s="833"/>
      <c r="J33" s="833"/>
      <c r="K33" s="833"/>
      <c r="L33" s="814"/>
      <c r="M33" s="138"/>
      <c r="N33" s="138"/>
      <c r="O33" s="138"/>
      <c r="P33" s="138"/>
      <c r="Q33" s="138"/>
      <c r="R33" s="138"/>
      <c r="S33" s="138"/>
      <c r="T33" s="138"/>
      <c r="U33" s="138"/>
      <c r="V33" s="138"/>
      <c r="W33" s="138"/>
      <c r="X33" s="138"/>
      <c r="Y33" s="138"/>
      <c r="Z33" s="138"/>
      <c r="AA33" s="138"/>
      <c r="AB33" s="138"/>
    </row>
    <row r="34" spans="1:28" ht="14.25" customHeight="1">
      <c r="A34" s="854" t="s">
        <v>986</v>
      </c>
      <c r="B34" s="854" t="s">
        <v>264</v>
      </c>
      <c r="C34" s="854" t="s">
        <v>263</v>
      </c>
      <c r="D34" s="854" t="s">
        <v>256</v>
      </c>
      <c r="E34" s="856">
        <v>31666.799999999999</v>
      </c>
      <c r="F34" s="856">
        <v>-33046.589999999997</v>
      </c>
      <c r="G34" s="854" t="s">
        <v>987</v>
      </c>
      <c r="H34" s="858">
        <v>54</v>
      </c>
      <c r="I34" s="833"/>
      <c r="J34" s="833"/>
      <c r="K34" s="833"/>
      <c r="L34" s="138"/>
      <c r="M34" s="138"/>
      <c r="N34" s="138"/>
      <c r="O34" s="138"/>
      <c r="P34" s="138"/>
      <c r="Q34" s="138"/>
      <c r="R34" s="138"/>
      <c r="S34" s="138"/>
      <c r="T34" s="138"/>
      <c r="U34" s="138"/>
      <c r="V34" s="138"/>
      <c r="W34" s="138"/>
      <c r="X34" s="138"/>
      <c r="Y34" s="138"/>
      <c r="Z34" s="138"/>
      <c r="AA34" s="138"/>
      <c r="AB34" s="138"/>
    </row>
    <row r="35" spans="1:28" ht="14.25" customHeight="1">
      <c r="A35" s="854" t="s">
        <v>856</v>
      </c>
      <c r="B35" s="854" t="s">
        <v>271</v>
      </c>
      <c r="C35" s="854" t="s">
        <v>263</v>
      </c>
      <c r="D35" s="854" t="s">
        <v>256</v>
      </c>
      <c r="E35" s="856">
        <v>24846.26</v>
      </c>
      <c r="F35" s="852"/>
      <c r="G35" s="854" t="s">
        <v>857</v>
      </c>
      <c r="H35" s="858">
        <v>53</v>
      </c>
      <c r="I35" s="833"/>
      <c r="J35" s="833"/>
      <c r="K35" s="833"/>
      <c r="L35" s="138"/>
      <c r="M35" s="138"/>
      <c r="N35" s="138"/>
      <c r="O35" s="138"/>
      <c r="P35" s="138"/>
      <c r="Q35" s="138"/>
      <c r="R35" s="138"/>
      <c r="S35" s="138"/>
      <c r="T35" s="138"/>
      <c r="U35" s="138"/>
      <c r="V35" s="138"/>
      <c r="W35" s="138"/>
      <c r="X35" s="138"/>
      <c r="Y35" s="138"/>
      <c r="Z35" s="138"/>
      <c r="AA35" s="138"/>
      <c r="AB35" s="138"/>
    </row>
    <row r="36" spans="1:28" ht="14.25" customHeight="1">
      <c r="A36" s="854" t="s">
        <v>858</v>
      </c>
      <c r="B36" s="854" t="s">
        <v>274</v>
      </c>
      <c r="C36" s="854" t="s">
        <v>263</v>
      </c>
      <c r="D36" s="854" t="s">
        <v>273</v>
      </c>
      <c r="E36" s="856">
        <v>19323.740000000002</v>
      </c>
      <c r="F36" s="852"/>
      <c r="G36" s="854" t="s">
        <v>859</v>
      </c>
      <c r="H36" s="858">
        <v>51</v>
      </c>
      <c r="I36" s="833"/>
      <c r="J36" s="833"/>
      <c r="K36" s="833"/>
      <c r="L36" s="138"/>
      <c r="M36" s="138"/>
      <c r="N36" s="138"/>
      <c r="O36" s="138"/>
      <c r="P36" s="138"/>
      <c r="Q36" s="138"/>
      <c r="R36" s="138"/>
      <c r="S36" s="138"/>
      <c r="T36" s="138"/>
      <c r="U36" s="138"/>
      <c r="V36" s="138"/>
      <c r="W36" s="138"/>
      <c r="X36" s="138"/>
      <c r="Y36" s="138"/>
      <c r="Z36" s="138"/>
      <c r="AA36" s="138"/>
      <c r="AB36" s="138"/>
    </row>
    <row r="37" spans="1:28" ht="14.25" customHeight="1">
      <c r="A37" s="854" t="s">
        <v>860</v>
      </c>
      <c r="B37" s="854" t="s">
        <v>271</v>
      </c>
      <c r="C37" s="854" t="s">
        <v>263</v>
      </c>
      <c r="D37" s="854" t="s">
        <v>269</v>
      </c>
      <c r="E37" s="856">
        <v>18294.75</v>
      </c>
      <c r="F37" s="852"/>
      <c r="G37" s="854" t="s">
        <v>861</v>
      </c>
      <c r="H37" s="858">
        <v>48</v>
      </c>
      <c r="I37" s="833"/>
      <c r="J37" s="833"/>
      <c r="K37" s="833"/>
      <c r="L37" s="138"/>
      <c r="M37" s="138"/>
      <c r="N37" s="138"/>
      <c r="O37" s="138"/>
      <c r="P37" s="138"/>
      <c r="Q37" s="138"/>
      <c r="R37" s="138"/>
      <c r="S37" s="138"/>
      <c r="T37" s="138"/>
      <c r="U37" s="138"/>
      <c r="V37" s="138"/>
      <c r="W37" s="138"/>
      <c r="X37" s="138"/>
      <c r="Y37" s="138"/>
      <c r="Z37" s="138"/>
      <c r="AA37" s="138"/>
      <c r="AB37" s="138"/>
    </row>
    <row r="38" spans="1:28" ht="14.25" customHeight="1">
      <c r="A38" s="854" t="s">
        <v>862</v>
      </c>
      <c r="B38" s="854" t="s">
        <v>262</v>
      </c>
      <c r="C38" s="854" t="s">
        <v>263</v>
      </c>
      <c r="D38" s="854" t="s">
        <v>269</v>
      </c>
      <c r="E38" s="856">
        <v>16745.3</v>
      </c>
      <c r="F38" s="852"/>
      <c r="G38" s="854" t="s">
        <v>863</v>
      </c>
      <c r="H38" s="858">
        <v>48</v>
      </c>
      <c r="I38" s="833"/>
      <c r="J38" s="833"/>
      <c r="K38" s="833"/>
      <c r="L38" s="138"/>
      <c r="M38" s="138"/>
      <c r="N38" s="138"/>
      <c r="O38" s="138"/>
      <c r="P38" s="138"/>
      <c r="Q38" s="138"/>
      <c r="R38" s="138"/>
      <c r="S38" s="138"/>
      <c r="T38" s="138"/>
      <c r="U38" s="138"/>
      <c r="V38" s="138"/>
      <c r="W38" s="138"/>
      <c r="X38" s="138"/>
      <c r="Y38" s="138"/>
      <c r="Z38" s="138"/>
      <c r="AA38" s="138"/>
      <c r="AB38" s="138"/>
    </row>
    <row r="39" spans="1:28" ht="14.25" customHeight="1">
      <c r="A39" s="854" t="s">
        <v>864</v>
      </c>
      <c r="B39" s="854" t="s">
        <v>255</v>
      </c>
      <c r="C39" s="854" t="s">
        <v>263</v>
      </c>
      <c r="D39" s="854" t="s">
        <v>258</v>
      </c>
      <c r="E39" s="856">
        <v>49927.29</v>
      </c>
      <c r="F39" s="852"/>
      <c r="G39" s="854" t="s">
        <v>865</v>
      </c>
      <c r="H39" s="858">
        <v>47</v>
      </c>
      <c r="I39" s="833"/>
      <c r="J39" s="833"/>
      <c r="K39" s="833"/>
      <c r="L39" s="138"/>
      <c r="M39" s="138"/>
      <c r="N39" s="138"/>
      <c r="O39" s="138"/>
      <c r="P39" s="138"/>
      <c r="Q39" s="138"/>
      <c r="R39" s="138"/>
      <c r="S39" s="138"/>
      <c r="T39" s="138"/>
      <c r="U39" s="138"/>
      <c r="V39" s="138"/>
      <c r="W39" s="138"/>
      <c r="X39" s="138"/>
      <c r="Y39" s="138"/>
      <c r="Z39" s="138"/>
      <c r="AA39" s="138"/>
      <c r="AB39" s="138"/>
    </row>
    <row r="40" spans="1:28" ht="14.25" customHeight="1">
      <c r="A40" s="854" t="s">
        <v>866</v>
      </c>
      <c r="B40" s="854" t="s">
        <v>274</v>
      </c>
      <c r="C40" s="854" t="s">
        <v>263</v>
      </c>
      <c r="D40" s="854" t="s">
        <v>256</v>
      </c>
      <c r="E40" s="856">
        <v>24483.1</v>
      </c>
      <c r="F40" s="856">
        <v>-18876</v>
      </c>
      <c r="G40" s="854" t="s">
        <v>867</v>
      </c>
      <c r="H40" s="858">
        <v>47</v>
      </c>
      <c r="I40" s="833"/>
      <c r="J40" s="833"/>
      <c r="K40" s="833"/>
      <c r="L40" s="138"/>
      <c r="M40" s="138"/>
      <c r="N40" s="138"/>
      <c r="O40" s="138"/>
      <c r="P40" s="138"/>
      <c r="Q40" s="138"/>
      <c r="R40" s="138"/>
      <c r="S40" s="138"/>
      <c r="T40" s="138"/>
      <c r="U40" s="138"/>
      <c r="V40" s="138"/>
      <c r="W40" s="138"/>
      <c r="X40" s="138"/>
      <c r="Y40" s="138"/>
      <c r="Z40" s="138"/>
      <c r="AA40" s="138"/>
      <c r="AB40" s="138"/>
    </row>
    <row r="41" spans="1:28" ht="14.25" customHeight="1">
      <c r="A41" s="854" t="s">
        <v>868</v>
      </c>
      <c r="B41" s="854" t="s">
        <v>271</v>
      </c>
      <c r="C41" s="854" t="s">
        <v>263</v>
      </c>
      <c r="D41" s="854" t="s">
        <v>269</v>
      </c>
      <c r="E41" s="856">
        <v>21779.599999999999</v>
      </c>
      <c r="F41" s="852"/>
      <c r="G41" s="854" t="s">
        <v>869</v>
      </c>
      <c r="H41" s="858">
        <v>47</v>
      </c>
      <c r="I41" s="833"/>
      <c r="J41" s="833"/>
      <c r="K41" s="833"/>
      <c r="L41" s="138"/>
      <c r="M41" s="138"/>
      <c r="N41" s="138"/>
      <c r="O41" s="138"/>
      <c r="P41" s="138"/>
      <c r="Q41" s="138"/>
      <c r="R41" s="138"/>
      <c r="S41" s="138"/>
      <c r="T41" s="138"/>
      <c r="U41" s="138"/>
      <c r="V41" s="138"/>
      <c r="W41" s="138"/>
      <c r="X41" s="138"/>
      <c r="Y41" s="138"/>
      <c r="Z41" s="138"/>
      <c r="AA41" s="138"/>
      <c r="AB41" s="138"/>
    </row>
    <row r="42" spans="1:28" ht="14.25" customHeight="1">
      <c r="A42" s="854" t="s">
        <v>870</v>
      </c>
      <c r="B42" s="854" t="s">
        <v>264</v>
      </c>
      <c r="C42" s="854" t="s">
        <v>263</v>
      </c>
      <c r="D42" s="854" t="s">
        <v>269</v>
      </c>
      <c r="E42" s="856">
        <v>21350</v>
      </c>
      <c r="F42" s="852"/>
      <c r="G42" s="854" t="s">
        <v>871</v>
      </c>
      <c r="H42" s="858">
        <v>45</v>
      </c>
      <c r="I42" s="833"/>
      <c r="J42" s="833"/>
      <c r="K42" s="833"/>
      <c r="L42" s="138"/>
      <c r="M42" s="138"/>
      <c r="N42" s="138"/>
      <c r="O42" s="138"/>
      <c r="P42" s="138"/>
      <c r="Q42" s="138"/>
      <c r="R42" s="138"/>
      <c r="S42" s="138"/>
      <c r="T42" s="138"/>
      <c r="U42" s="138"/>
      <c r="V42" s="138"/>
      <c r="W42" s="138"/>
      <c r="X42" s="138"/>
      <c r="Y42" s="138"/>
      <c r="Z42" s="138"/>
      <c r="AA42" s="138"/>
      <c r="AB42" s="138"/>
    </row>
    <row r="43" spans="1:28" ht="14.25" customHeight="1">
      <c r="A43" s="854" t="s">
        <v>872</v>
      </c>
      <c r="B43" s="854" t="s">
        <v>271</v>
      </c>
      <c r="C43" s="854" t="s">
        <v>263</v>
      </c>
      <c r="D43" s="854" t="s">
        <v>273</v>
      </c>
      <c r="E43" s="856">
        <v>17488.18</v>
      </c>
      <c r="F43" s="852"/>
      <c r="G43" s="854" t="s">
        <v>873</v>
      </c>
      <c r="H43" s="858">
        <v>45</v>
      </c>
      <c r="I43" s="833"/>
      <c r="J43" s="833"/>
      <c r="K43" s="833"/>
      <c r="L43" s="138"/>
      <c r="M43" s="138"/>
      <c r="N43" s="138"/>
      <c r="O43" s="138"/>
      <c r="P43" s="138"/>
      <c r="Q43" s="138"/>
      <c r="R43" s="138"/>
      <c r="S43" s="138"/>
      <c r="T43" s="138"/>
      <c r="U43" s="138"/>
      <c r="V43" s="138"/>
      <c r="W43" s="138"/>
      <c r="X43" s="138"/>
      <c r="Y43" s="138"/>
      <c r="Z43" s="138"/>
      <c r="AA43" s="138"/>
      <c r="AB43" s="138"/>
    </row>
    <row r="44" spans="1:28" ht="14.25" customHeight="1">
      <c r="A44" s="854" t="s">
        <v>874</v>
      </c>
      <c r="B44" s="854" t="s">
        <v>274</v>
      </c>
      <c r="C44" s="854" t="s">
        <v>263</v>
      </c>
      <c r="D44" s="854" t="s">
        <v>273</v>
      </c>
      <c r="E44" s="856">
        <v>18370.25</v>
      </c>
      <c r="F44" s="852"/>
      <c r="G44" s="854" t="s">
        <v>875</v>
      </c>
      <c r="H44" s="858">
        <v>44</v>
      </c>
      <c r="I44" s="833"/>
      <c r="J44" s="833"/>
      <c r="K44" s="833"/>
      <c r="L44" s="138"/>
      <c r="M44" s="138"/>
      <c r="N44" s="138"/>
      <c r="O44" s="138"/>
      <c r="P44" s="138"/>
      <c r="Q44" s="138"/>
      <c r="R44" s="138"/>
      <c r="S44" s="138"/>
      <c r="T44" s="138"/>
      <c r="U44" s="138"/>
      <c r="V44" s="138"/>
      <c r="W44" s="138"/>
      <c r="X44" s="138"/>
      <c r="Y44" s="138"/>
      <c r="Z44" s="138"/>
      <c r="AA44" s="138"/>
      <c r="AB44" s="138"/>
    </row>
    <row r="45" spans="1:28" ht="14.25" customHeight="1">
      <c r="A45" s="854" t="s">
        <v>876</v>
      </c>
      <c r="B45" s="854" t="s">
        <v>262</v>
      </c>
      <c r="C45" s="854" t="s">
        <v>263</v>
      </c>
      <c r="D45" s="854" t="s">
        <v>256</v>
      </c>
      <c r="E45" s="856">
        <v>20165.3</v>
      </c>
      <c r="F45" s="852"/>
      <c r="G45" s="854" t="s">
        <v>877</v>
      </c>
      <c r="H45" s="858">
        <v>44</v>
      </c>
      <c r="I45" s="833"/>
      <c r="J45" s="833"/>
      <c r="K45" s="833"/>
      <c r="L45" s="138"/>
      <c r="M45" s="138"/>
      <c r="N45" s="138"/>
      <c r="O45" s="138"/>
      <c r="P45" s="138"/>
      <c r="Q45" s="138"/>
      <c r="R45" s="138"/>
      <c r="S45" s="138"/>
      <c r="T45" s="138"/>
      <c r="U45" s="138"/>
      <c r="V45" s="138"/>
      <c r="W45" s="138"/>
      <c r="X45" s="138"/>
      <c r="Y45" s="138"/>
      <c r="Z45" s="138"/>
      <c r="AA45" s="138"/>
      <c r="AB45" s="138"/>
    </row>
    <row r="46" spans="1:28" ht="14.25" customHeight="1">
      <c r="A46" s="854" t="s">
        <v>988</v>
      </c>
      <c r="B46" s="854" t="s">
        <v>686</v>
      </c>
      <c r="C46" s="854" t="s">
        <v>741</v>
      </c>
      <c r="D46" s="854" t="s">
        <v>989</v>
      </c>
      <c r="E46" s="856">
        <v>15050</v>
      </c>
      <c r="F46" s="852"/>
      <c r="G46" s="854" t="s">
        <v>990</v>
      </c>
      <c r="H46" s="858">
        <v>44</v>
      </c>
      <c r="I46" s="833"/>
      <c r="J46" s="833"/>
      <c r="K46" s="833"/>
      <c r="L46" s="138"/>
      <c r="M46" s="138"/>
      <c r="N46" s="138"/>
      <c r="O46" s="138"/>
      <c r="P46" s="138"/>
      <c r="Q46" s="138"/>
      <c r="R46" s="138"/>
      <c r="S46" s="138"/>
      <c r="T46" s="138"/>
      <c r="U46" s="138"/>
      <c r="V46" s="138"/>
      <c r="W46" s="138"/>
      <c r="X46" s="138"/>
      <c r="Y46" s="138"/>
      <c r="Z46" s="138"/>
      <c r="AA46" s="138"/>
      <c r="AB46" s="138"/>
    </row>
    <row r="47" spans="1:28" ht="14.25" customHeight="1">
      <c r="A47" s="854" t="s">
        <v>878</v>
      </c>
      <c r="B47" s="854" t="s">
        <v>274</v>
      </c>
      <c r="C47" s="854" t="s">
        <v>263</v>
      </c>
      <c r="D47" s="854" t="s">
        <v>273</v>
      </c>
      <c r="E47" s="856">
        <v>21360.2</v>
      </c>
      <c r="F47" s="852"/>
      <c r="G47" s="854" t="s">
        <v>879</v>
      </c>
      <c r="H47" s="858">
        <v>41</v>
      </c>
      <c r="I47" s="833"/>
      <c r="J47" s="833"/>
      <c r="K47" s="833"/>
      <c r="L47" s="138"/>
      <c r="M47" s="138"/>
      <c r="N47" s="138"/>
      <c r="O47" s="138"/>
      <c r="P47" s="138"/>
      <c r="Q47" s="138"/>
      <c r="R47" s="138"/>
      <c r="S47" s="138"/>
      <c r="T47" s="138"/>
      <c r="U47" s="138"/>
      <c r="V47" s="138"/>
      <c r="W47" s="138"/>
      <c r="X47" s="138"/>
      <c r="Y47" s="138"/>
      <c r="Z47" s="138"/>
      <c r="AA47" s="138"/>
      <c r="AB47" s="138"/>
    </row>
    <row r="48" spans="1:28" ht="14.25" customHeight="1">
      <c r="A48" s="854" t="s">
        <v>880</v>
      </c>
      <c r="B48" s="854" t="s">
        <v>264</v>
      </c>
      <c r="C48" s="854" t="s">
        <v>263</v>
      </c>
      <c r="D48" s="854" t="s">
        <v>273</v>
      </c>
      <c r="E48" s="856">
        <v>25003.85</v>
      </c>
      <c r="F48" s="856">
        <v>-21330</v>
      </c>
      <c r="G48" s="854" t="s">
        <v>881</v>
      </c>
      <c r="H48" s="858">
        <v>40</v>
      </c>
      <c r="I48" s="833"/>
      <c r="J48" s="833"/>
      <c r="K48" s="833"/>
      <c r="L48" s="138"/>
      <c r="M48" s="138"/>
      <c r="N48" s="138"/>
      <c r="O48" s="138"/>
      <c r="P48" s="138"/>
      <c r="Q48" s="138"/>
      <c r="R48" s="138"/>
      <c r="S48" s="138"/>
      <c r="T48" s="138"/>
      <c r="U48" s="138"/>
      <c r="V48" s="138"/>
      <c r="W48" s="138"/>
      <c r="X48" s="138"/>
      <c r="Y48" s="138"/>
      <c r="Z48" s="138"/>
      <c r="AA48" s="138"/>
      <c r="AB48" s="138"/>
    </row>
    <row r="49" spans="1:28" ht="14.25" customHeight="1">
      <c r="A49" s="854" t="s">
        <v>882</v>
      </c>
      <c r="B49" s="854" t="s">
        <v>274</v>
      </c>
      <c r="C49" s="854" t="s">
        <v>263</v>
      </c>
      <c r="D49" s="854" t="s">
        <v>256</v>
      </c>
      <c r="E49" s="856">
        <v>24894.97</v>
      </c>
      <c r="F49" s="852"/>
      <c r="G49" s="854" t="s">
        <v>883</v>
      </c>
      <c r="H49" s="858">
        <v>40</v>
      </c>
      <c r="I49" s="833"/>
      <c r="J49" s="833"/>
      <c r="K49" s="833"/>
      <c r="L49" s="138"/>
      <c r="M49" s="138"/>
      <c r="N49" s="138"/>
      <c r="O49" s="138"/>
      <c r="P49" s="138"/>
      <c r="Q49" s="138"/>
      <c r="R49" s="138"/>
      <c r="S49" s="138"/>
      <c r="T49" s="138"/>
      <c r="U49" s="138"/>
      <c r="V49" s="138"/>
      <c r="W49" s="138"/>
      <c r="X49" s="138"/>
      <c r="Y49" s="138"/>
      <c r="Z49" s="138"/>
      <c r="AA49" s="138"/>
      <c r="AB49" s="138"/>
    </row>
    <row r="50" spans="1:28" ht="14.25" customHeight="1">
      <c r="A50" s="854" t="s">
        <v>884</v>
      </c>
      <c r="B50" s="854" t="s">
        <v>271</v>
      </c>
      <c r="C50" s="854" t="s">
        <v>263</v>
      </c>
      <c r="D50" s="854" t="s">
        <v>256</v>
      </c>
      <c r="E50" s="856">
        <v>27870.3</v>
      </c>
      <c r="F50" s="852"/>
      <c r="G50" s="854" t="s">
        <v>885</v>
      </c>
      <c r="H50" s="858">
        <v>40</v>
      </c>
      <c r="I50" s="833"/>
      <c r="J50" s="833"/>
      <c r="K50" s="833"/>
      <c r="L50" s="138"/>
      <c r="M50" s="138"/>
      <c r="N50" s="138"/>
      <c r="O50" s="138"/>
      <c r="P50" s="138"/>
      <c r="Q50" s="138"/>
      <c r="R50" s="138"/>
      <c r="S50" s="138"/>
      <c r="T50" s="138"/>
      <c r="U50" s="138"/>
      <c r="V50" s="138"/>
      <c r="W50" s="138"/>
      <c r="X50" s="138"/>
      <c r="Y50" s="138"/>
      <c r="Z50" s="138"/>
      <c r="AA50" s="138"/>
      <c r="AB50" s="138"/>
    </row>
    <row r="51" spans="1:28" ht="14.25" customHeight="1">
      <c r="A51" s="854" t="s">
        <v>886</v>
      </c>
      <c r="B51" s="854" t="s">
        <v>264</v>
      </c>
      <c r="C51" s="854" t="s">
        <v>263</v>
      </c>
      <c r="D51" s="854" t="s">
        <v>273</v>
      </c>
      <c r="E51" s="856">
        <v>24530.400000000001</v>
      </c>
      <c r="F51" s="852"/>
      <c r="G51" s="854" t="s">
        <v>887</v>
      </c>
      <c r="H51" s="858">
        <v>37</v>
      </c>
      <c r="I51" s="833"/>
      <c r="J51" s="833"/>
      <c r="K51" s="833"/>
      <c r="L51" s="138"/>
      <c r="M51" s="138"/>
      <c r="N51" s="138"/>
      <c r="O51" s="138"/>
      <c r="P51" s="138"/>
      <c r="Q51" s="138"/>
      <c r="R51" s="138"/>
      <c r="S51" s="138"/>
      <c r="T51" s="138"/>
      <c r="U51" s="138"/>
      <c r="V51" s="138"/>
      <c r="W51" s="138"/>
      <c r="X51" s="138"/>
      <c r="Y51" s="138"/>
      <c r="Z51" s="138"/>
      <c r="AA51" s="138"/>
      <c r="AB51" s="138"/>
    </row>
    <row r="52" spans="1:28" ht="14.25" customHeight="1">
      <c r="A52" s="854" t="s">
        <v>888</v>
      </c>
      <c r="B52" s="854" t="s">
        <v>889</v>
      </c>
      <c r="C52" s="854" t="s">
        <v>263</v>
      </c>
      <c r="D52" s="854" t="s">
        <v>890</v>
      </c>
      <c r="E52" s="856">
        <v>4314.03</v>
      </c>
      <c r="F52" s="852"/>
      <c r="G52" s="854" t="s">
        <v>891</v>
      </c>
      <c r="H52" s="858">
        <v>37</v>
      </c>
      <c r="I52" s="833"/>
      <c r="J52" s="833"/>
      <c r="K52" s="833"/>
      <c r="L52" s="138"/>
      <c r="M52" s="138"/>
      <c r="N52" s="138"/>
      <c r="O52" s="138"/>
      <c r="P52" s="138"/>
      <c r="Q52" s="138"/>
      <c r="R52" s="138"/>
      <c r="S52" s="138"/>
      <c r="T52" s="138"/>
      <c r="U52" s="138"/>
      <c r="V52" s="138"/>
      <c r="W52" s="138"/>
      <c r="X52" s="138"/>
      <c r="Y52" s="138"/>
      <c r="Z52" s="138"/>
      <c r="AA52" s="138"/>
      <c r="AB52" s="138"/>
    </row>
    <row r="53" spans="1:28" ht="14.25" customHeight="1">
      <c r="A53" s="854" t="s">
        <v>894</v>
      </c>
      <c r="B53" s="854" t="s">
        <v>264</v>
      </c>
      <c r="C53" s="854" t="s">
        <v>263</v>
      </c>
      <c r="D53" s="854" t="s">
        <v>273</v>
      </c>
      <c r="E53" s="856">
        <v>24447.5</v>
      </c>
      <c r="F53" s="852"/>
      <c r="G53" s="854" t="s">
        <v>895</v>
      </c>
      <c r="H53" s="858">
        <v>33</v>
      </c>
      <c r="I53" s="833"/>
      <c r="J53" s="833"/>
      <c r="K53" s="833"/>
      <c r="L53" s="138"/>
      <c r="M53" s="138"/>
      <c r="N53" s="138"/>
      <c r="O53" s="138"/>
      <c r="P53" s="138"/>
      <c r="Q53" s="138"/>
      <c r="R53" s="138"/>
      <c r="S53" s="138"/>
      <c r="T53" s="138"/>
      <c r="U53" s="138"/>
      <c r="V53" s="138"/>
      <c r="W53" s="138"/>
      <c r="X53" s="138"/>
      <c r="Y53" s="138"/>
      <c r="Z53" s="138"/>
      <c r="AA53" s="138"/>
      <c r="AB53" s="138"/>
    </row>
    <row r="54" spans="1:28" ht="14.25" customHeight="1">
      <c r="A54" s="854" t="s">
        <v>896</v>
      </c>
      <c r="B54" s="854" t="s">
        <v>271</v>
      </c>
      <c r="C54" s="854" t="s">
        <v>263</v>
      </c>
      <c r="D54" s="854" t="s">
        <v>269</v>
      </c>
      <c r="E54" s="856">
        <v>20373.45</v>
      </c>
      <c r="F54" s="856">
        <v>-12553.38</v>
      </c>
      <c r="G54" s="854" t="s">
        <v>897</v>
      </c>
      <c r="H54" s="858">
        <v>33</v>
      </c>
      <c r="I54" s="833"/>
      <c r="J54" s="833"/>
      <c r="K54" s="833"/>
      <c r="L54" s="138"/>
      <c r="M54" s="138"/>
      <c r="N54" s="138"/>
      <c r="O54" s="138"/>
      <c r="P54" s="138"/>
      <c r="Q54" s="138"/>
      <c r="R54" s="138"/>
      <c r="S54" s="138"/>
      <c r="T54" s="138"/>
      <c r="U54" s="138"/>
      <c r="V54" s="138"/>
      <c r="W54" s="138"/>
      <c r="X54" s="138"/>
      <c r="Y54" s="138"/>
      <c r="Z54" s="138"/>
      <c r="AA54" s="138"/>
      <c r="AB54" s="138"/>
    </row>
    <row r="55" spans="1:28" ht="14.25" customHeight="1">
      <c r="A55" s="854" t="s">
        <v>902</v>
      </c>
      <c r="B55" s="854" t="s">
        <v>264</v>
      </c>
      <c r="C55" s="854" t="s">
        <v>263</v>
      </c>
      <c r="D55" s="854" t="s">
        <v>275</v>
      </c>
      <c r="E55" s="856">
        <v>32388.2</v>
      </c>
      <c r="F55" s="852"/>
      <c r="G55" s="854" t="s">
        <v>903</v>
      </c>
      <c r="H55" s="858">
        <v>32</v>
      </c>
      <c r="I55" s="833"/>
      <c r="J55" s="833"/>
      <c r="K55" s="833"/>
      <c r="L55" s="138"/>
      <c r="M55" s="138"/>
      <c r="N55" s="138"/>
      <c r="O55" s="138"/>
      <c r="P55" s="138"/>
      <c r="Q55" s="138"/>
      <c r="R55" s="138"/>
      <c r="S55" s="138"/>
      <c r="T55" s="138"/>
      <c r="U55" s="138"/>
      <c r="V55" s="138"/>
      <c r="W55" s="138"/>
      <c r="X55" s="138"/>
      <c r="Y55" s="138"/>
      <c r="Z55" s="138"/>
      <c r="AA55" s="138"/>
      <c r="AB55" s="138"/>
    </row>
    <row r="56" spans="1:28" ht="14.25" customHeight="1">
      <c r="A56" s="854" t="s">
        <v>906</v>
      </c>
      <c r="B56" s="854" t="s">
        <v>274</v>
      </c>
      <c r="C56" s="854" t="s">
        <v>263</v>
      </c>
      <c r="D56" s="854" t="s">
        <v>907</v>
      </c>
      <c r="E56" s="856">
        <v>23491.599999999999</v>
      </c>
      <c r="F56" s="852"/>
      <c r="G56" s="854" t="s">
        <v>908</v>
      </c>
      <c r="H56" s="858">
        <v>32</v>
      </c>
      <c r="I56" s="833"/>
      <c r="J56" s="833"/>
      <c r="K56" s="833"/>
      <c r="L56" s="138"/>
      <c r="M56" s="138"/>
      <c r="N56" s="138"/>
      <c r="O56" s="138"/>
      <c r="P56" s="138"/>
      <c r="Q56" s="138"/>
      <c r="R56" s="138"/>
      <c r="S56" s="138"/>
      <c r="T56" s="138"/>
      <c r="U56" s="138"/>
      <c r="V56" s="138"/>
      <c r="W56" s="138"/>
      <c r="X56" s="138"/>
      <c r="Y56" s="138"/>
      <c r="Z56" s="138"/>
      <c r="AA56" s="138"/>
      <c r="AB56" s="138"/>
    </row>
    <row r="57" spans="1:28" ht="14.25" customHeight="1">
      <c r="A57" s="854" t="s">
        <v>909</v>
      </c>
      <c r="B57" s="854" t="s">
        <v>264</v>
      </c>
      <c r="C57" s="854" t="s">
        <v>263</v>
      </c>
      <c r="D57" s="854" t="s">
        <v>256</v>
      </c>
      <c r="E57" s="856">
        <v>29343.25</v>
      </c>
      <c r="F57" s="852"/>
      <c r="G57" s="854" t="s">
        <v>910</v>
      </c>
      <c r="H57" s="858">
        <v>31</v>
      </c>
      <c r="I57" s="833"/>
      <c r="J57" s="833"/>
      <c r="K57" s="833"/>
      <c r="L57" s="138"/>
      <c r="M57" s="138"/>
      <c r="N57" s="138"/>
      <c r="O57" s="138"/>
      <c r="P57" s="138"/>
      <c r="Q57" s="138"/>
      <c r="R57" s="138"/>
      <c r="S57" s="138"/>
      <c r="T57" s="138"/>
      <c r="U57" s="138"/>
      <c r="V57" s="138"/>
      <c r="W57" s="138"/>
      <c r="X57" s="138"/>
      <c r="Y57" s="138"/>
      <c r="Z57" s="138"/>
      <c r="AA57" s="138"/>
      <c r="AB57" s="138"/>
    </row>
    <row r="58" spans="1:28" ht="14.25" customHeight="1">
      <c r="A58" s="854" t="s">
        <v>911</v>
      </c>
      <c r="B58" s="854" t="s">
        <v>274</v>
      </c>
      <c r="C58" s="854" t="s">
        <v>263</v>
      </c>
      <c r="D58" s="854" t="s">
        <v>256</v>
      </c>
      <c r="E58" s="856">
        <v>29950</v>
      </c>
      <c r="F58" s="852"/>
      <c r="G58" s="854" t="s">
        <v>912</v>
      </c>
      <c r="H58" s="858">
        <v>31</v>
      </c>
      <c r="I58" s="833"/>
      <c r="J58" s="833"/>
      <c r="K58" s="833"/>
      <c r="L58" s="138"/>
      <c r="M58" s="138"/>
      <c r="N58" s="138"/>
      <c r="O58" s="138"/>
      <c r="P58" s="138"/>
      <c r="Q58" s="138"/>
      <c r="R58" s="138"/>
      <c r="S58" s="138"/>
      <c r="T58" s="138"/>
      <c r="U58" s="138"/>
      <c r="V58" s="138"/>
      <c r="W58" s="138"/>
      <c r="X58" s="138"/>
      <c r="Y58" s="138"/>
      <c r="Z58" s="138"/>
      <c r="AA58" s="138"/>
      <c r="AB58" s="138"/>
    </row>
    <row r="59" spans="1:28" ht="14.25" customHeight="1">
      <c r="A59" s="854" t="s">
        <v>913</v>
      </c>
      <c r="B59" s="854" t="s">
        <v>271</v>
      </c>
      <c r="C59" s="854" t="s">
        <v>263</v>
      </c>
      <c r="D59" s="854" t="s">
        <v>256</v>
      </c>
      <c r="E59" s="856">
        <v>21448.99</v>
      </c>
      <c r="F59" s="856">
        <v>-18000</v>
      </c>
      <c r="G59" s="854" t="s">
        <v>914</v>
      </c>
      <c r="H59" s="858">
        <v>31</v>
      </c>
      <c r="I59" s="833"/>
      <c r="J59" s="833"/>
      <c r="K59" s="833"/>
      <c r="L59" s="138"/>
      <c r="M59" s="138"/>
      <c r="N59" s="138"/>
      <c r="O59" s="138"/>
      <c r="P59" s="138"/>
      <c r="Q59" s="138"/>
      <c r="R59" s="138"/>
      <c r="S59" s="138"/>
      <c r="T59" s="138"/>
      <c r="U59" s="138"/>
      <c r="V59" s="138"/>
      <c r="W59" s="138"/>
      <c r="X59" s="138"/>
      <c r="Y59" s="138"/>
      <c r="Z59" s="138"/>
      <c r="AA59" s="138"/>
      <c r="AB59" s="138"/>
    </row>
    <row r="60" spans="1:28" ht="14.25" customHeight="1">
      <c r="A60" s="854" t="s">
        <v>915</v>
      </c>
      <c r="B60" s="854" t="s">
        <v>271</v>
      </c>
      <c r="C60" s="854" t="s">
        <v>263</v>
      </c>
      <c r="D60" s="854" t="s">
        <v>808</v>
      </c>
      <c r="E60" s="856">
        <v>23680.2</v>
      </c>
      <c r="F60" s="852"/>
      <c r="G60" s="854" t="s">
        <v>916</v>
      </c>
      <c r="H60" s="858">
        <v>31</v>
      </c>
      <c r="I60" s="833"/>
      <c r="J60" s="833"/>
      <c r="K60" s="833"/>
      <c r="L60" s="138"/>
      <c r="M60" s="138"/>
      <c r="N60" s="138"/>
      <c r="O60" s="138"/>
      <c r="P60" s="138"/>
      <c r="Q60" s="138"/>
      <c r="R60" s="138"/>
      <c r="S60" s="138"/>
      <c r="T60" s="138"/>
      <c r="U60" s="138"/>
      <c r="V60" s="138"/>
      <c r="W60" s="138"/>
      <c r="X60" s="138"/>
      <c r="Y60" s="138"/>
      <c r="Z60" s="138"/>
      <c r="AA60" s="138"/>
      <c r="AB60" s="138"/>
    </row>
    <row r="61" spans="1:28" ht="14.25" customHeight="1">
      <c r="A61" s="854" t="s">
        <v>917</v>
      </c>
      <c r="B61" s="854" t="s">
        <v>271</v>
      </c>
      <c r="C61" s="854" t="s">
        <v>263</v>
      </c>
      <c r="D61" s="854" t="s">
        <v>269</v>
      </c>
      <c r="E61" s="856">
        <v>19433.849999999999</v>
      </c>
      <c r="F61" s="852"/>
      <c r="G61" s="854" t="s">
        <v>918</v>
      </c>
      <c r="H61" s="858">
        <v>31</v>
      </c>
      <c r="I61" s="833"/>
      <c r="J61" s="833"/>
      <c r="K61" s="833"/>
      <c r="L61" s="138"/>
      <c r="M61" s="138"/>
      <c r="N61" s="138"/>
      <c r="O61" s="138"/>
      <c r="P61" s="138"/>
      <c r="Q61" s="138"/>
      <c r="R61" s="138"/>
      <c r="S61" s="138"/>
      <c r="T61" s="138"/>
      <c r="U61" s="138"/>
      <c r="V61" s="138"/>
      <c r="W61" s="138"/>
      <c r="X61" s="138"/>
      <c r="Y61" s="138"/>
      <c r="Z61" s="138"/>
      <c r="AA61" s="138"/>
      <c r="AB61" s="138"/>
    </row>
    <row r="62" spans="1:28" ht="14.25" customHeight="1">
      <c r="A62" s="854" t="s">
        <v>919</v>
      </c>
      <c r="B62" s="854" t="s">
        <v>271</v>
      </c>
      <c r="C62" s="854" t="s">
        <v>702</v>
      </c>
      <c r="D62" s="854" t="s">
        <v>796</v>
      </c>
      <c r="E62" s="856">
        <v>17516.849999999999</v>
      </c>
      <c r="F62" s="852"/>
      <c r="G62" s="854" t="s">
        <v>920</v>
      </c>
      <c r="H62" s="858">
        <v>31</v>
      </c>
      <c r="I62" s="833"/>
      <c r="J62" s="833"/>
      <c r="K62" s="833"/>
      <c r="L62" s="138"/>
      <c r="M62" s="138"/>
      <c r="N62" s="138"/>
      <c r="O62" s="138"/>
      <c r="P62" s="138"/>
      <c r="Q62" s="138"/>
      <c r="R62" s="138"/>
      <c r="S62" s="138"/>
      <c r="T62" s="138"/>
      <c r="U62" s="138"/>
      <c r="V62" s="138"/>
      <c r="W62" s="138"/>
      <c r="X62" s="138"/>
      <c r="Y62" s="138"/>
      <c r="Z62" s="138"/>
      <c r="AA62" s="138"/>
      <c r="AB62" s="138"/>
    </row>
    <row r="63" spans="1:28" ht="14.25" customHeight="1">
      <c r="A63" s="854" t="s">
        <v>900</v>
      </c>
      <c r="B63" s="854" t="s">
        <v>264</v>
      </c>
      <c r="C63" s="854" t="s">
        <v>263</v>
      </c>
      <c r="D63" s="854" t="s">
        <v>256</v>
      </c>
      <c r="E63" s="856">
        <v>28418.09</v>
      </c>
      <c r="F63" s="852"/>
      <c r="G63" s="854" t="s">
        <v>901</v>
      </c>
      <c r="H63" s="858">
        <v>30</v>
      </c>
      <c r="I63" s="833"/>
      <c r="J63" s="833"/>
      <c r="K63" s="833"/>
      <c r="L63" s="138"/>
      <c r="M63" s="138"/>
      <c r="N63" s="138"/>
      <c r="O63" s="138"/>
      <c r="P63" s="138"/>
      <c r="Q63" s="138"/>
      <c r="R63" s="138"/>
      <c r="S63" s="138"/>
      <c r="T63" s="138"/>
      <c r="U63" s="138"/>
      <c r="V63" s="138"/>
      <c r="W63" s="138"/>
      <c r="X63" s="138"/>
      <c r="Y63" s="138"/>
      <c r="Z63" s="138"/>
      <c r="AA63" s="138"/>
      <c r="AB63" s="138"/>
    </row>
    <row r="64" spans="1:28" ht="14.25" customHeight="1">
      <c r="A64" s="854" t="s">
        <v>904</v>
      </c>
      <c r="B64" s="854" t="s">
        <v>274</v>
      </c>
      <c r="C64" s="854" t="s">
        <v>263</v>
      </c>
      <c r="D64" s="854" t="s">
        <v>256</v>
      </c>
      <c r="E64" s="856">
        <v>26650</v>
      </c>
      <c r="F64" s="852"/>
      <c r="G64" s="854" t="s">
        <v>905</v>
      </c>
      <c r="H64" s="858">
        <v>30</v>
      </c>
      <c r="I64" s="833"/>
      <c r="J64" s="833"/>
      <c r="K64" s="833"/>
      <c r="L64" s="138"/>
      <c r="M64" s="138"/>
      <c r="N64" s="138"/>
      <c r="O64" s="138"/>
      <c r="P64" s="138"/>
      <c r="Q64" s="138"/>
      <c r="R64" s="138"/>
      <c r="S64" s="138"/>
      <c r="T64" s="138"/>
      <c r="U64" s="138"/>
      <c r="V64" s="138"/>
      <c r="W64" s="138"/>
      <c r="X64" s="138"/>
      <c r="Y64" s="138"/>
      <c r="Z64" s="138"/>
      <c r="AA64" s="138"/>
      <c r="AB64" s="138"/>
    </row>
    <row r="65" spans="1:28" ht="14.25" customHeight="1">
      <c r="A65" s="854" t="s">
        <v>991</v>
      </c>
      <c r="B65" s="854" t="s">
        <v>271</v>
      </c>
      <c r="C65" s="854" t="s">
        <v>263</v>
      </c>
      <c r="D65" s="854" t="s">
        <v>256</v>
      </c>
      <c r="E65" s="856">
        <v>22943.200000000001</v>
      </c>
      <c r="F65" s="856">
        <v>-14910</v>
      </c>
      <c r="G65" s="854" t="s">
        <v>992</v>
      </c>
      <c r="H65" s="858">
        <v>27</v>
      </c>
      <c r="I65" s="833"/>
      <c r="J65" s="833"/>
      <c r="K65" s="833"/>
      <c r="L65" s="138"/>
      <c r="M65" s="138"/>
      <c r="N65" s="138"/>
      <c r="O65" s="138"/>
      <c r="P65" s="138"/>
      <c r="Q65" s="138"/>
      <c r="R65" s="138"/>
      <c r="S65" s="138"/>
      <c r="T65" s="138"/>
      <c r="U65" s="138"/>
      <c r="V65" s="138"/>
      <c r="W65" s="138"/>
      <c r="X65" s="138"/>
      <c r="Y65" s="138"/>
      <c r="Z65" s="138"/>
      <c r="AA65" s="138"/>
      <c r="AB65" s="138"/>
    </row>
    <row r="66" spans="1:28" ht="14.25" customHeight="1">
      <c r="A66" s="854" t="s">
        <v>993</v>
      </c>
      <c r="B66" s="854" t="s">
        <v>707</v>
      </c>
      <c r="C66" s="854" t="s">
        <v>263</v>
      </c>
      <c r="D66" s="854" t="s">
        <v>837</v>
      </c>
      <c r="E66" s="856">
        <v>56282.9</v>
      </c>
      <c r="F66" s="856">
        <v>-53444.44</v>
      </c>
      <c r="G66" s="854" t="s">
        <v>994</v>
      </c>
      <c r="H66" s="858">
        <v>26</v>
      </c>
      <c r="I66" s="833"/>
      <c r="J66" s="833"/>
      <c r="K66" s="833"/>
      <c r="L66" s="138"/>
      <c r="M66" s="138"/>
      <c r="N66" s="138"/>
      <c r="O66" s="138"/>
      <c r="P66" s="138"/>
      <c r="Q66" s="138"/>
      <c r="R66" s="138"/>
      <c r="S66" s="138"/>
      <c r="T66" s="138"/>
      <c r="U66" s="138"/>
      <c r="V66" s="138"/>
      <c r="W66" s="138"/>
      <c r="X66" s="138"/>
      <c r="Y66" s="138"/>
      <c r="Z66" s="138"/>
      <c r="AA66" s="138"/>
      <c r="AB66" s="138"/>
    </row>
    <row r="67" spans="1:28" ht="14.25" customHeight="1">
      <c r="A67" s="854" t="s">
        <v>995</v>
      </c>
      <c r="B67" s="854" t="s">
        <v>260</v>
      </c>
      <c r="C67" s="854" t="s">
        <v>263</v>
      </c>
      <c r="D67" s="854" t="s">
        <v>256</v>
      </c>
      <c r="E67" s="856">
        <v>37343.25</v>
      </c>
      <c r="F67" s="856">
        <v>-31500</v>
      </c>
      <c r="G67" s="854" t="s">
        <v>996</v>
      </c>
      <c r="H67" s="858">
        <v>26</v>
      </c>
      <c r="I67" s="833"/>
      <c r="J67" s="833"/>
      <c r="K67" s="833"/>
      <c r="L67" s="138"/>
      <c r="M67" s="138"/>
      <c r="N67" s="138"/>
      <c r="O67" s="138"/>
      <c r="P67" s="138"/>
      <c r="Q67" s="138"/>
      <c r="R67" s="138"/>
      <c r="S67" s="138"/>
      <c r="T67" s="138"/>
      <c r="U67" s="138"/>
      <c r="V67" s="138"/>
      <c r="W67" s="138"/>
      <c r="X67" s="138"/>
      <c r="Y67" s="138"/>
      <c r="Z67" s="138"/>
      <c r="AA67" s="138"/>
      <c r="AB67" s="138"/>
    </row>
    <row r="68" spans="1:28" ht="14.25" customHeight="1">
      <c r="A68" s="854" t="s">
        <v>997</v>
      </c>
      <c r="B68" s="854" t="s">
        <v>264</v>
      </c>
      <c r="C68" s="854" t="s">
        <v>263</v>
      </c>
      <c r="D68" s="854" t="s">
        <v>256</v>
      </c>
      <c r="E68" s="856">
        <v>27555.439999999999</v>
      </c>
      <c r="F68" s="856">
        <v>-26142.19</v>
      </c>
      <c r="G68" s="854" t="s">
        <v>998</v>
      </c>
      <c r="H68" s="858">
        <v>26</v>
      </c>
      <c r="I68" s="833"/>
      <c r="J68" s="833"/>
      <c r="K68" s="833"/>
      <c r="L68" s="138"/>
      <c r="M68" s="138"/>
      <c r="N68" s="138"/>
      <c r="O68" s="138"/>
      <c r="P68" s="138"/>
      <c r="Q68" s="138"/>
      <c r="R68" s="138"/>
      <c r="S68" s="138"/>
      <c r="T68" s="138"/>
      <c r="U68" s="138"/>
      <c r="V68" s="138"/>
      <c r="W68" s="138"/>
      <c r="X68" s="138"/>
      <c r="Y68" s="138"/>
      <c r="Z68" s="138"/>
      <c r="AA68" s="138"/>
      <c r="AB68" s="138"/>
    </row>
    <row r="69" spans="1:28" ht="14.25" customHeight="1">
      <c r="A69" s="854" t="s">
        <v>892</v>
      </c>
      <c r="B69" s="854" t="s">
        <v>271</v>
      </c>
      <c r="C69" s="854" t="s">
        <v>263</v>
      </c>
      <c r="D69" s="854" t="s">
        <v>273</v>
      </c>
      <c r="E69" s="856">
        <v>15050</v>
      </c>
      <c r="F69" s="852"/>
      <c r="G69" s="854" t="s">
        <v>893</v>
      </c>
      <c r="H69" s="858">
        <v>26</v>
      </c>
      <c r="I69" s="833"/>
      <c r="J69" s="833"/>
      <c r="K69" s="833"/>
      <c r="L69" s="138"/>
      <c r="M69" s="138"/>
      <c r="N69" s="138"/>
      <c r="O69" s="138"/>
      <c r="P69" s="138"/>
      <c r="Q69" s="138"/>
      <c r="R69" s="138"/>
      <c r="S69" s="138"/>
      <c r="T69" s="138"/>
      <c r="U69" s="138"/>
      <c r="V69" s="138"/>
      <c r="W69" s="138"/>
      <c r="X69" s="138"/>
      <c r="Y69" s="138"/>
      <c r="Z69" s="138"/>
      <c r="AA69" s="138"/>
      <c r="AB69" s="138"/>
    </row>
    <row r="70" spans="1:28" ht="14.25" customHeight="1">
      <c r="A70" s="854" t="s">
        <v>999</v>
      </c>
      <c r="B70" s="854" t="s">
        <v>274</v>
      </c>
      <c r="C70" s="854" t="s">
        <v>263</v>
      </c>
      <c r="D70" s="854" t="s">
        <v>278</v>
      </c>
      <c r="E70" s="856">
        <v>24148.3</v>
      </c>
      <c r="F70" s="856">
        <v>-13011</v>
      </c>
      <c r="G70" s="854" t="s">
        <v>1000</v>
      </c>
      <c r="H70" s="858">
        <v>25</v>
      </c>
      <c r="I70" s="833"/>
      <c r="J70" s="833"/>
      <c r="K70" s="833"/>
      <c r="L70" s="138"/>
      <c r="M70" s="138"/>
      <c r="N70" s="138"/>
      <c r="O70" s="138"/>
      <c r="P70" s="138"/>
      <c r="Q70" s="138"/>
      <c r="R70" s="138"/>
      <c r="S70" s="138"/>
      <c r="T70" s="138"/>
      <c r="U70" s="138"/>
      <c r="V70" s="138"/>
      <c r="W70" s="138"/>
      <c r="X70" s="138"/>
      <c r="Y70" s="138"/>
      <c r="Z70" s="138"/>
      <c r="AA70" s="138"/>
      <c r="AB70" s="138"/>
    </row>
    <row r="71" spans="1:28" ht="14.25" customHeight="1">
      <c r="A71" s="854" t="s">
        <v>1001</v>
      </c>
      <c r="B71" s="854" t="s">
        <v>276</v>
      </c>
      <c r="C71" s="854" t="s">
        <v>263</v>
      </c>
      <c r="D71" s="854" t="s">
        <v>256</v>
      </c>
      <c r="E71" s="856">
        <v>17323.25</v>
      </c>
      <c r="F71" s="856">
        <v>-14400</v>
      </c>
      <c r="G71" s="854" t="s">
        <v>1002</v>
      </c>
      <c r="H71" s="858">
        <v>25</v>
      </c>
      <c r="I71" s="833"/>
      <c r="J71" s="833"/>
      <c r="K71" s="833"/>
      <c r="L71" s="138"/>
      <c r="M71" s="138"/>
      <c r="N71" s="138"/>
      <c r="O71" s="138"/>
      <c r="P71" s="138"/>
      <c r="Q71" s="138"/>
      <c r="R71" s="138"/>
      <c r="S71" s="138"/>
      <c r="T71" s="138"/>
      <c r="U71" s="138"/>
      <c r="V71" s="138"/>
      <c r="W71" s="138"/>
      <c r="X71" s="138"/>
      <c r="Y71" s="138"/>
      <c r="Z71" s="138"/>
      <c r="AA71" s="138"/>
      <c r="AB71" s="138"/>
    </row>
    <row r="72" spans="1:28" ht="14.25" customHeight="1">
      <c r="A72" s="854" t="s">
        <v>1003</v>
      </c>
      <c r="B72" s="854" t="s">
        <v>274</v>
      </c>
      <c r="C72" s="854" t="s">
        <v>263</v>
      </c>
      <c r="D72" s="854" t="s">
        <v>256</v>
      </c>
      <c r="E72" s="856">
        <v>24729.89</v>
      </c>
      <c r="F72" s="856">
        <v>-21121.07</v>
      </c>
      <c r="G72" s="854" t="s">
        <v>1004</v>
      </c>
      <c r="H72" s="858">
        <v>24</v>
      </c>
      <c r="I72" s="833"/>
      <c r="J72" s="833"/>
      <c r="K72" s="833"/>
      <c r="L72" s="138"/>
      <c r="M72" s="138"/>
      <c r="N72" s="138"/>
      <c r="O72" s="138"/>
      <c r="P72" s="138"/>
      <c r="Q72" s="138"/>
      <c r="R72" s="138"/>
      <c r="S72" s="138"/>
      <c r="T72" s="138"/>
      <c r="U72" s="138"/>
      <c r="V72" s="138"/>
      <c r="W72" s="138"/>
      <c r="X72" s="138"/>
      <c r="Y72" s="138"/>
      <c r="Z72" s="138"/>
      <c r="AA72" s="138"/>
      <c r="AB72" s="138"/>
    </row>
    <row r="73" spans="1:28" ht="14.25" customHeight="1">
      <c r="A73" s="854" t="s">
        <v>1005</v>
      </c>
      <c r="B73" s="854" t="s">
        <v>260</v>
      </c>
      <c r="C73" s="854" t="s">
        <v>899</v>
      </c>
      <c r="D73" s="854" t="s">
        <v>1006</v>
      </c>
      <c r="E73" s="856">
        <v>39801.279999999999</v>
      </c>
      <c r="F73" s="852"/>
      <c r="G73" s="854" t="s">
        <v>1007</v>
      </c>
      <c r="H73" s="858">
        <v>17</v>
      </c>
      <c r="I73" s="833"/>
      <c r="J73" s="833"/>
      <c r="K73" s="833"/>
      <c r="L73" s="138"/>
      <c r="M73" s="138"/>
      <c r="N73" s="138"/>
      <c r="O73" s="138"/>
      <c r="P73" s="138"/>
      <c r="Q73" s="138"/>
      <c r="R73" s="138"/>
      <c r="S73" s="138"/>
      <c r="T73" s="138"/>
      <c r="U73" s="138"/>
      <c r="V73" s="138"/>
      <c r="W73" s="138"/>
      <c r="X73" s="138"/>
      <c r="Y73" s="138"/>
      <c r="Z73" s="138"/>
      <c r="AA73" s="138"/>
      <c r="AB73" s="138"/>
    </row>
    <row r="74" spans="1:28" ht="14.25" customHeight="1">
      <c r="A74" s="854" t="s">
        <v>1008</v>
      </c>
      <c r="B74" s="854" t="s">
        <v>274</v>
      </c>
      <c r="C74" s="854" t="s">
        <v>263</v>
      </c>
      <c r="D74" s="854" t="s">
        <v>256</v>
      </c>
      <c r="E74" s="856">
        <v>27897</v>
      </c>
      <c r="F74" s="856">
        <v>-21259.15</v>
      </c>
      <c r="G74" s="854" t="s">
        <v>1009</v>
      </c>
      <c r="H74" s="858">
        <v>17</v>
      </c>
      <c r="I74" s="833"/>
      <c r="J74" s="833"/>
      <c r="K74" s="833"/>
      <c r="L74" s="138"/>
      <c r="M74" s="138"/>
      <c r="N74" s="138"/>
      <c r="O74" s="138"/>
      <c r="P74" s="138"/>
      <c r="Q74" s="138"/>
      <c r="R74" s="138"/>
      <c r="S74" s="138"/>
      <c r="T74" s="138"/>
      <c r="U74" s="138"/>
      <c r="V74" s="138"/>
      <c r="W74" s="138"/>
      <c r="X74" s="138"/>
      <c r="Y74" s="138"/>
      <c r="Z74" s="138"/>
      <c r="AA74" s="138"/>
      <c r="AB74" s="138"/>
    </row>
    <row r="75" spans="1:28" ht="14.25" customHeight="1">
      <c r="A75" s="854" t="s">
        <v>1010</v>
      </c>
      <c r="B75" s="854" t="s">
        <v>264</v>
      </c>
      <c r="C75" s="854" t="s">
        <v>263</v>
      </c>
      <c r="D75" s="854" t="s">
        <v>256</v>
      </c>
      <c r="E75" s="856">
        <v>29849.7</v>
      </c>
      <c r="F75" s="856">
        <v>-25650</v>
      </c>
      <c r="G75" s="854" t="s">
        <v>1011</v>
      </c>
      <c r="H75" s="858">
        <v>16</v>
      </c>
      <c r="I75" s="833"/>
      <c r="J75" s="833"/>
      <c r="K75" s="833"/>
      <c r="L75" s="138"/>
      <c r="M75" s="138"/>
      <c r="N75" s="138"/>
      <c r="O75" s="138"/>
      <c r="P75" s="138"/>
      <c r="Q75" s="138"/>
      <c r="R75" s="138"/>
      <c r="S75" s="138"/>
      <c r="T75" s="138"/>
      <c r="U75" s="138"/>
      <c r="V75" s="138"/>
      <c r="W75" s="138"/>
      <c r="X75" s="138"/>
      <c r="Y75" s="138"/>
      <c r="Z75" s="138"/>
      <c r="AA75" s="138"/>
      <c r="AB75" s="138"/>
    </row>
    <row r="76" spans="1:28" ht="14.25" customHeight="1">
      <c r="A76" s="854" t="s">
        <v>1012</v>
      </c>
      <c r="B76" s="854" t="s">
        <v>264</v>
      </c>
      <c r="C76" s="854" t="s">
        <v>263</v>
      </c>
      <c r="D76" s="854" t="s">
        <v>273</v>
      </c>
      <c r="E76" s="856">
        <v>22734.85</v>
      </c>
      <c r="F76" s="852"/>
      <c r="G76" s="854" t="s">
        <v>1013</v>
      </c>
      <c r="H76" s="858">
        <v>16</v>
      </c>
      <c r="I76" s="833"/>
      <c r="J76" s="833"/>
      <c r="K76" s="833"/>
      <c r="L76" s="138"/>
      <c r="M76" s="138"/>
      <c r="N76" s="138"/>
      <c r="O76" s="138"/>
      <c r="P76" s="138"/>
      <c r="Q76" s="138"/>
      <c r="R76" s="138"/>
      <c r="S76" s="138"/>
      <c r="T76" s="138"/>
      <c r="U76" s="138"/>
      <c r="V76" s="138"/>
      <c r="W76" s="138"/>
      <c r="X76" s="138"/>
      <c r="Y76" s="138"/>
      <c r="Z76" s="138"/>
      <c r="AA76" s="138"/>
      <c r="AB76" s="138"/>
    </row>
    <row r="77" spans="1:28" ht="14.25" customHeight="1">
      <c r="A77" s="854" t="s">
        <v>1014</v>
      </c>
      <c r="B77" s="854" t="s">
        <v>274</v>
      </c>
      <c r="C77" s="854" t="s">
        <v>263</v>
      </c>
      <c r="D77" s="854" t="s">
        <v>256</v>
      </c>
      <c r="E77" s="856">
        <v>23937.85</v>
      </c>
      <c r="F77" s="852"/>
      <c r="G77" s="854" t="s">
        <v>1015</v>
      </c>
      <c r="H77" s="858">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854" t="s">
        <v>1016</v>
      </c>
      <c r="B78" s="854" t="s">
        <v>274</v>
      </c>
      <c r="C78" s="854" t="s">
        <v>1017</v>
      </c>
      <c r="D78" s="854" t="s">
        <v>1018</v>
      </c>
      <c r="E78" s="856">
        <v>37860.379999999997</v>
      </c>
      <c r="F78" s="852"/>
      <c r="G78" s="854" t="s">
        <v>1019</v>
      </c>
      <c r="H78" s="858">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854" t="s">
        <v>1020</v>
      </c>
      <c r="B79" s="854" t="s">
        <v>271</v>
      </c>
      <c r="C79" s="854" t="s">
        <v>263</v>
      </c>
      <c r="D79" s="854" t="s">
        <v>269</v>
      </c>
      <c r="E79" s="856">
        <v>17250</v>
      </c>
      <c r="F79" s="856">
        <v>-10994</v>
      </c>
      <c r="G79" s="854" t="s">
        <v>1021</v>
      </c>
      <c r="H79" s="858">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854" t="s">
        <v>1022</v>
      </c>
      <c r="B80" s="854" t="s">
        <v>686</v>
      </c>
      <c r="C80" s="854" t="s">
        <v>263</v>
      </c>
      <c r="D80" s="854" t="s">
        <v>261</v>
      </c>
      <c r="E80" s="856">
        <v>9050</v>
      </c>
      <c r="F80" s="852"/>
      <c r="G80" s="854" t="s">
        <v>1023</v>
      </c>
      <c r="H80" s="858">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854" t="s">
        <v>1024</v>
      </c>
      <c r="B81" s="854" t="s">
        <v>817</v>
      </c>
      <c r="C81" s="854" t="s">
        <v>702</v>
      </c>
      <c r="D81" s="854" t="s">
        <v>1025</v>
      </c>
      <c r="E81" s="856">
        <v>10550</v>
      </c>
      <c r="F81" s="852"/>
      <c r="G81" s="854" t="s">
        <v>1026</v>
      </c>
      <c r="H81" s="858">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854" t="s">
        <v>1027</v>
      </c>
      <c r="B82" s="854" t="s">
        <v>255</v>
      </c>
      <c r="C82" s="854" t="s">
        <v>263</v>
      </c>
      <c r="D82" s="854" t="s">
        <v>837</v>
      </c>
      <c r="E82" s="856">
        <v>48197.8</v>
      </c>
      <c r="F82" s="856">
        <v>-42300</v>
      </c>
      <c r="G82" s="854" t="s">
        <v>1028</v>
      </c>
      <c r="H82" s="858">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854" t="s">
        <v>1029</v>
      </c>
      <c r="B83" s="854" t="s">
        <v>271</v>
      </c>
      <c r="C83" s="854" t="s">
        <v>263</v>
      </c>
      <c r="D83" s="854" t="s">
        <v>273</v>
      </c>
      <c r="E83" s="856">
        <v>21402.85</v>
      </c>
      <c r="F83" s="852"/>
      <c r="G83" s="854" t="s">
        <v>1030</v>
      </c>
      <c r="H83" s="858">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854" t="s">
        <v>1031</v>
      </c>
      <c r="B84" s="854" t="s">
        <v>271</v>
      </c>
      <c r="C84" s="854" t="s">
        <v>263</v>
      </c>
      <c r="D84" s="854" t="s">
        <v>269</v>
      </c>
      <c r="E84" s="856">
        <v>18179.95</v>
      </c>
      <c r="F84" s="852"/>
      <c r="G84" s="854" t="s">
        <v>1032</v>
      </c>
      <c r="H84" s="858">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854" t="s">
        <v>1033</v>
      </c>
      <c r="B85" s="854" t="s">
        <v>740</v>
      </c>
      <c r="C85" s="854" t="s">
        <v>1034</v>
      </c>
      <c r="D85" s="854" t="s">
        <v>1035</v>
      </c>
      <c r="E85" s="856">
        <v>22550</v>
      </c>
      <c r="F85" s="852"/>
      <c r="G85" s="854" t="s">
        <v>1036</v>
      </c>
      <c r="H85" s="858">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854" t="s">
        <v>1037</v>
      </c>
      <c r="B86" s="854" t="s">
        <v>711</v>
      </c>
      <c r="C86" s="854" t="s">
        <v>700</v>
      </c>
      <c r="D86" s="854" t="s">
        <v>1038</v>
      </c>
      <c r="E86" s="856">
        <v>5450</v>
      </c>
      <c r="F86" s="852"/>
      <c r="G86" s="854" t="s">
        <v>1039</v>
      </c>
      <c r="H86" s="858">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854" t="s">
        <v>1040</v>
      </c>
      <c r="B87" s="854" t="s">
        <v>271</v>
      </c>
      <c r="C87" s="854" t="s">
        <v>263</v>
      </c>
      <c r="D87" s="854" t="s">
        <v>256</v>
      </c>
      <c r="E87" s="856">
        <v>20650</v>
      </c>
      <c r="F87" s="852"/>
      <c r="G87" s="854" t="s">
        <v>1041</v>
      </c>
      <c r="H87" s="858">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854" t="s">
        <v>1042</v>
      </c>
      <c r="B88" s="854" t="s">
        <v>686</v>
      </c>
      <c r="C88" s="854" t="s">
        <v>263</v>
      </c>
      <c r="D88" s="854" t="s">
        <v>256</v>
      </c>
      <c r="E88" s="856">
        <v>8550</v>
      </c>
      <c r="F88" s="852"/>
      <c r="G88" s="854" t="s">
        <v>1043</v>
      </c>
      <c r="H88" s="858">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854" t="s">
        <v>1044</v>
      </c>
      <c r="B89" s="854" t="s">
        <v>274</v>
      </c>
      <c r="C89" s="854" t="s">
        <v>263</v>
      </c>
      <c r="D89" s="854" t="s">
        <v>256</v>
      </c>
      <c r="E89" s="856">
        <v>25550</v>
      </c>
      <c r="F89" s="852"/>
      <c r="G89" s="854" t="s">
        <v>1045</v>
      </c>
      <c r="H89" s="858">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854" t="s">
        <v>1046</v>
      </c>
      <c r="B90" s="854" t="s">
        <v>274</v>
      </c>
      <c r="C90" s="854" t="s">
        <v>701</v>
      </c>
      <c r="D90" s="854" t="s">
        <v>1047</v>
      </c>
      <c r="E90" s="856">
        <v>28550</v>
      </c>
      <c r="F90" s="852"/>
      <c r="G90" s="854" t="s">
        <v>1048</v>
      </c>
      <c r="H90" s="858">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854" t="s">
        <v>1049</v>
      </c>
      <c r="B91" s="854" t="s">
        <v>271</v>
      </c>
      <c r="C91" s="854" t="s">
        <v>263</v>
      </c>
      <c r="D91" s="854" t="s">
        <v>269</v>
      </c>
      <c r="E91" s="856">
        <v>17050</v>
      </c>
      <c r="F91" s="852"/>
      <c r="G91" s="854" t="s">
        <v>1050</v>
      </c>
      <c r="H91" s="858">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854" t="s">
        <v>1051</v>
      </c>
      <c r="B92" s="854" t="s">
        <v>255</v>
      </c>
      <c r="C92" s="854" t="s">
        <v>263</v>
      </c>
      <c r="D92" s="854" t="s">
        <v>256</v>
      </c>
      <c r="E92" s="856">
        <v>31300</v>
      </c>
      <c r="F92" s="852"/>
      <c r="G92" s="854" t="s">
        <v>1052</v>
      </c>
      <c r="H92" s="858">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854" t="s">
        <v>1053</v>
      </c>
      <c r="B93" s="854" t="s">
        <v>260</v>
      </c>
      <c r="C93" s="854" t="s">
        <v>263</v>
      </c>
      <c r="D93" s="854" t="s">
        <v>258</v>
      </c>
      <c r="E93" s="856">
        <v>47388.75</v>
      </c>
      <c r="F93" s="852"/>
      <c r="G93" s="854" t="s">
        <v>1054</v>
      </c>
      <c r="H93" s="858">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854" t="s">
        <v>1055</v>
      </c>
      <c r="B94" s="854" t="s">
        <v>264</v>
      </c>
      <c r="C94" s="854" t="s">
        <v>263</v>
      </c>
      <c r="D94" s="854" t="s">
        <v>273</v>
      </c>
      <c r="E94" s="856">
        <v>24050</v>
      </c>
      <c r="F94" s="852"/>
      <c r="G94" s="854" t="s">
        <v>1056</v>
      </c>
      <c r="H94" s="858">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854" t="s">
        <v>1057</v>
      </c>
      <c r="B95" s="854" t="s">
        <v>274</v>
      </c>
      <c r="C95" s="854" t="s">
        <v>263</v>
      </c>
      <c r="D95" s="854" t="s">
        <v>256</v>
      </c>
      <c r="E95" s="856">
        <v>29837.9</v>
      </c>
      <c r="F95" s="852"/>
      <c r="G95" s="854" t="s">
        <v>1058</v>
      </c>
      <c r="H95" s="858">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854" t="s">
        <v>1059</v>
      </c>
      <c r="B96" s="854" t="s">
        <v>274</v>
      </c>
      <c r="C96" s="854" t="s">
        <v>263</v>
      </c>
      <c r="D96" s="854" t="s">
        <v>273</v>
      </c>
      <c r="E96" s="856">
        <v>18250</v>
      </c>
      <c r="F96" s="852"/>
      <c r="G96" s="854" t="s">
        <v>1060</v>
      </c>
      <c r="H96" s="858">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854" t="s">
        <v>1061</v>
      </c>
      <c r="B97" s="854" t="s">
        <v>264</v>
      </c>
      <c r="C97" s="854" t="s">
        <v>263</v>
      </c>
      <c r="D97" s="854" t="s">
        <v>256</v>
      </c>
      <c r="E97" s="856">
        <v>24300</v>
      </c>
      <c r="F97" s="852"/>
      <c r="G97" s="854" t="s">
        <v>1062</v>
      </c>
      <c r="H97" s="858">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854" t="s">
        <v>1063</v>
      </c>
      <c r="B98" s="854" t="s">
        <v>274</v>
      </c>
      <c r="C98" s="854" t="s">
        <v>263</v>
      </c>
      <c r="D98" s="854" t="s">
        <v>273</v>
      </c>
      <c r="E98" s="856">
        <v>16550</v>
      </c>
      <c r="F98" s="852"/>
      <c r="G98" s="854" t="s">
        <v>1064</v>
      </c>
      <c r="H98" s="858">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854" t="s">
        <v>1065</v>
      </c>
      <c r="B99" s="854" t="s">
        <v>274</v>
      </c>
      <c r="C99" s="854" t="s">
        <v>690</v>
      </c>
      <c r="D99" s="854" t="s">
        <v>1066</v>
      </c>
      <c r="E99" s="856">
        <v>53050</v>
      </c>
      <c r="F99" s="852"/>
      <c r="G99" s="854" t="s">
        <v>1067</v>
      </c>
      <c r="H99" s="858">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854" t="s">
        <v>1068</v>
      </c>
      <c r="B100" s="854" t="s">
        <v>276</v>
      </c>
      <c r="C100" s="854" t="s">
        <v>1069</v>
      </c>
      <c r="D100" s="854" t="s">
        <v>1070</v>
      </c>
      <c r="E100" s="856">
        <v>10300</v>
      </c>
      <c r="F100" s="852"/>
      <c r="G100" s="854" t="s">
        <v>1071</v>
      </c>
      <c r="H100" s="858">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854" t="s">
        <v>1072</v>
      </c>
      <c r="B101" s="854" t="s">
        <v>898</v>
      </c>
      <c r="C101" s="854" t="s">
        <v>263</v>
      </c>
      <c r="D101" s="854" t="s">
        <v>907</v>
      </c>
      <c r="E101" s="856">
        <v>2550</v>
      </c>
      <c r="F101" s="852"/>
      <c r="G101" s="854" t="s">
        <v>1073</v>
      </c>
      <c r="H101" s="858">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854" t="s">
        <v>1074</v>
      </c>
      <c r="B102" s="854" t="s">
        <v>898</v>
      </c>
      <c r="C102" s="854" t="s">
        <v>733</v>
      </c>
      <c r="D102" s="854" t="s">
        <v>1075</v>
      </c>
      <c r="E102" s="856">
        <v>2300</v>
      </c>
      <c r="F102" s="852"/>
      <c r="G102" s="854" t="s">
        <v>1076</v>
      </c>
      <c r="H102" s="858">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854" t="s">
        <v>1077</v>
      </c>
      <c r="B103" s="854" t="s">
        <v>260</v>
      </c>
      <c r="C103" s="854" t="s">
        <v>263</v>
      </c>
      <c r="D103" s="854" t="s">
        <v>256</v>
      </c>
      <c r="E103" s="856">
        <v>36050</v>
      </c>
      <c r="F103" s="852"/>
      <c r="G103" s="854" t="s">
        <v>1078</v>
      </c>
      <c r="H103" s="858">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854" t="s">
        <v>1079</v>
      </c>
      <c r="B104" s="854" t="s">
        <v>255</v>
      </c>
      <c r="C104" s="854" t="s">
        <v>263</v>
      </c>
      <c r="D104" s="854" t="s">
        <v>256</v>
      </c>
      <c r="E104" s="856">
        <v>33550</v>
      </c>
      <c r="F104" s="852"/>
      <c r="G104" s="854" t="s">
        <v>1080</v>
      </c>
      <c r="H104" s="858">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854" t="s">
        <v>1081</v>
      </c>
      <c r="B105" s="854" t="s">
        <v>255</v>
      </c>
      <c r="C105" s="854" t="s">
        <v>811</v>
      </c>
      <c r="D105" s="854" t="s">
        <v>1082</v>
      </c>
      <c r="E105" s="856">
        <v>20750</v>
      </c>
      <c r="F105" s="852"/>
      <c r="G105" s="854" t="s">
        <v>1083</v>
      </c>
      <c r="H105" s="858">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854" t="s">
        <v>1084</v>
      </c>
      <c r="B106" s="854" t="s">
        <v>264</v>
      </c>
      <c r="C106" s="854" t="s">
        <v>263</v>
      </c>
      <c r="D106" s="854" t="s">
        <v>256</v>
      </c>
      <c r="E106" s="856">
        <v>26050</v>
      </c>
      <c r="F106" s="852"/>
      <c r="G106" s="854" t="s">
        <v>1085</v>
      </c>
      <c r="H106" s="858">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854" t="s">
        <v>1086</v>
      </c>
      <c r="B107" s="854" t="s">
        <v>264</v>
      </c>
      <c r="C107" s="854" t="s">
        <v>811</v>
      </c>
      <c r="D107" s="854" t="s">
        <v>812</v>
      </c>
      <c r="E107" s="856">
        <v>29050</v>
      </c>
      <c r="F107" s="852"/>
      <c r="G107" s="854" t="s">
        <v>1087</v>
      </c>
      <c r="H107" s="858">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854" t="s">
        <v>1088</v>
      </c>
      <c r="B108" s="854" t="s">
        <v>271</v>
      </c>
      <c r="C108" s="854" t="s">
        <v>737</v>
      </c>
      <c r="D108" s="854" t="s">
        <v>1089</v>
      </c>
      <c r="E108" s="856">
        <v>35550</v>
      </c>
      <c r="F108" s="852"/>
      <c r="G108" s="854" t="s">
        <v>1090</v>
      </c>
      <c r="H108" s="858">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854" t="s">
        <v>1091</v>
      </c>
      <c r="B109" s="854" t="s">
        <v>686</v>
      </c>
      <c r="C109" s="854" t="s">
        <v>263</v>
      </c>
      <c r="D109" s="854" t="s">
        <v>261</v>
      </c>
      <c r="E109" s="856">
        <v>4050</v>
      </c>
      <c r="F109" s="852"/>
      <c r="G109" s="854" t="s">
        <v>1092</v>
      </c>
      <c r="H109" s="858">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841" t="s">
        <v>266</v>
      </c>
      <c r="B112" s="841" t="s">
        <v>267</v>
      </c>
      <c r="C112" s="841" t="s">
        <v>263</v>
      </c>
      <c r="D112" s="841" t="s">
        <v>261</v>
      </c>
      <c r="E112" s="839">
        <v>9521.7099999999991</v>
      </c>
      <c r="F112" s="838"/>
      <c r="G112" s="841" t="s">
        <v>268</v>
      </c>
      <c r="H112" s="840">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841" t="s">
        <v>692</v>
      </c>
      <c r="B113" s="841" t="s">
        <v>271</v>
      </c>
      <c r="C113" s="841" t="s">
        <v>693</v>
      </c>
      <c r="D113" s="841" t="s">
        <v>921</v>
      </c>
      <c r="E113" s="839">
        <v>36739.79</v>
      </c>
      <c r="F113" s="838"/>
      <c r="G113" s="841" t="s">
        <v>694</v>
      </c>
      <c r="H113" s="840">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841" t="s">
        <v>712</v>
      </c>
      <c r="B114" s="841" t="s">
        <v>711</v>
      </c>
      <c r="C114" s="841" t="s">
        <v>263</v>
      </c>
      <c r="D114" s="841" t="s">
        <v>679</v>
      </c>
      <c r="E114" s="839">
        <v>11948.62</v>
      </c>
      <c r="F114" s="838"/>
      <c r="G114" s="841" t="s">
        <v>713</v>
      </c>
      <c r="H114" s="840">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844" t="s">
        <v>248</v>
      </c>
      <c r="B1" s="850" t="s">
        <v>7</v>
      </c>
      <c r="C1" s="850" t="s">
        <v>249</v>
      </c>
      <c r="D1" s="850" t="s">
        <v>250</v>
      </c>
      <c r="E1" s="846" t="s">
        <v>648</v>
      </c>
      <c r="F1" s="846" t="s">
        <v>653</v>
      </c>
      <c r="G1" s="844" t="s">
        <v>253</v>
      </c>
      <c r="H1" s="848" t="s">
        <v>254</v>
      </c>
      <c r="I1" s="138"/>
      <c r="J1" s="138"/>
      <c r="K1" s="802">
        <v>45230</v>
      </c>
      <c r="L1" s="140" t="s">
        <v>251</v>
      </c>
      <c r="M1" s="140" t="s">
        <v>252</v>
      </c>
      <c r="N1" s="138"/>
      <c r="O1" s="138"/>
      <c r="P1" s="138"/>
      <c r="Q1" s="138"/>
      <c r="R1" s="138"/>
      <c r="S1" s="138"/>
      <c r="T1" s="138"/>
      <c r="U1" s="138"/>
      <c r="V1" s="138"/>
      <c r="W1" s="138"/>
      <c r="X1" s="138"/>
      <c r="Y1" s="138"/>
      <c r="Z1" s="138"/>
    </row>
    <row r="2" spans="1:26" ht="14.25" customHeight="1">
      <c r="A2" s="845" t="s">
        <v>705</v>
      </c>
      <c r="B2" s="845" t="s">
        <v>260</v>
      </c>
      <c r="C2" s="845" t="s">
        <v>263</v>
      </c>
      <c r="D2" s="845" t="s">
        <v>261</v>
      </c>
      <c r="E2" s="847">
        <v>33666.97</v>
      </c>
      <c r="F2" s="847">
        <v>-31504.85</v>
      </c>
      <c r="G2" s="845" t="s">
        <v>706</v>
      </c>
      <c r="H2" s="842">
        <v>142</v>
      </c>
      <c r="I2" s="138"/>
      <c r="J2" s="138"/>
      <c r="K2" s="140" t="s">
        <v>257</v>
      </c>
      <c r="L2" s="819">
        <f t="shared" ref="L2:M2" si="0">+SUM(E2:E9963)</f>
        <v>3059537.15</v>
      </c>
      <c r="M2" s="820">
        <f t="shared" si="0"/>
        <v>-2668371.9500000002</v>
      </c>
      <c r="N2" s="138"/>
      <c r="O2" s="138"/>
      <c r="P2" s="138"/>
      <c r="Q2" s="138"/>
      <c r="R2" s="138"/>
      <c r="S2" s="138"/>
      <c r="T2" s="138"/>
      <c r="U2" s="138"/>
      <c r="V2" s="138"/>
      <c r="W2" s="138"/>
      <c r="X2" s="138"/>
      <c r="Y2" s="138"/>
      <c r="Z2" s="138"/>
    </row>
    <row r="3" spans="1:26" ht="14.25" customHeight="1">
      <c r="A3" s="845" t="s">
        <v>703</v>
      </c>
      <c r="B3" s="845" t="s">
        <v>707</v>
      </c>
      <c r="C3" s="845" t="s">
        <v>263</v>
      </c>
      <c r="D3" s="845" t="s">
        <v>258</v>
      </c>
      <c r="E3" s="847">
        <v>56706.1</v>
      </c>
      <c r="F3" s="847">
        <v>-57628.2</v>
      </c>
      <c r="G3" s="845" t="s">
        <v>704</v>
      </c>
      <c r="H3" s="842">
        <v>142</v>
      </c>
      <c r="I3" s="138"/>
      <c r="J3" s="138"/>
      <c r="K3" s="138" t="s">
        <v>259</v>
      </c>
      <c r="L3" s="4">
        <f>COUNT(E:E)</f>
        <v>71</v>
      </c>
      <c r="M3" s="144">
        <f>-M2/L2</f>
        <v>0.87214889677021912</v>
      </c>
      <c r="N3" s="138"/>
      <c r="O3" s="138"/>
      <c r="P3" s="138"/>
      <c r="Q3" s="138"/>
      <c r="R3" s="138"/>
      <c r="S3" s="138"/>
      <c r="T3" s="138"/>
      <c r="U3" s="138"/>
      <c r="V3" s="138"/>
      <c r="W3" s="138"/>
      <c r="X3" s="138"/>
      <c r="Y3" s="138"/>
      <c r="Z3" s="138"/>
    </row>
    <row r="4" spans="1:26" ht="14.25" customHeight="1">
      <c r="A4" s="845" t="s">
        <v>724</v>
      </c>
      <c r="B4" s="845" t="s">
        <v>260</v>
      </c>
      <c r="C4" s="845" t="s">
        <v>263</v>
      </c>
      <c r="D4" s="845" t="s">
        <v>261</v>
      </c>
      <c r="E4" s="847">
        <v>31163.98</v>
      </c>
      <c r="F4" s="847">
        <v>-32628.75</v>
      </c>
      <c r="G4" s="845" t="s">
        <v>725</v>
      </c>
      <c r="H4" s="842">
        <v>116</v>
      </c>
      <c r="I4" s="138"/>
      <c r="J4" s="138"/>
      <c r="K4" s="138"/>
      <c r="L4" s="138"/>
      <c r="M4" s="138"/>
      <c r="N4" s="138"/>
      <c r="O4" s="138"/>
      <c r="P4" s="138"/>
      <c r="Q4" s="138"/>
      <c r="R4" s="138"/>
      <c r="S4" s="138"/>
      <c r="T4" s="138"/>
      <c r="U4" s="138"/>
      <c r="V4" s="138"/>
      <c r="W4" s="138"/>
      <c r="X4" s="138"/>
      <c r="Y4" s="138"/>
      <c r="Z4" s="138"/>
    </row>
    <row r="5" spans="1:26" ht="14.25" customHeight="1">
      <c r="A5" s="845" t="s">
        <v>722</v>
      </c>
      <c r="B5" s="845" t="s">
        <v>260</v>
      </c>
      <c r="C5" s="845" t="s">
        <v>263</v>
      </c>
      <c r="D5" s="845" t="s">
        <v>658</v>
      </c>
      <c r="E5" s="847">
        <v>38081.07</v>
      </c>
      <c r="F5" s="847">
        <v>-39936.75</v>
      </c>
      <c r="G5" s="845" t="s">
        <v>723</v>
      </c>
      <c r="H5" s="842">
        <v>111</v>
      </c>
      <c r="I5" s="138"/>
      <c r="J5" s="138"/>
      <c r="K5" s="138"/>
      <c r="L5" s="138"/>
      <c r="M5" s="138"/>
      <c r="N5" s="138"/>
      <c r="O5" s="138"/>
      <c r="P5" s="138"/>
      <c r="Q5" s="138"/>
      <c r="R5" s="138"/>
      <c r="S5" s="138"/>
      <c r="T5" s="138"/>
      <c r="U5" s="138"/>
      <c r="V5" s="138"/>
      <c r="W5" s="138"/>
      <c r="X5" s="138"/>
      <c r="Y5" s="138"/>
      <c r="Z5" s="138"/>
    </row>
    <row r="6" spans="1:26" ht="14.25" customHeight="1">
      <c r="A6" s="845" t="s">
        <v>718</v>
      </c>
      <c r="B6" s="845" t="s">
        <v>707</v>
      </c>
      <c r="C6" s="845" t="s">
        <v>263</v>
      </c>
      <c r="D6" s="845" t="s">
        <v>258</v>
      </c>
      <c r="E6" s="847">
        <v>50511.98</v>
      </c>
      <c r="F6" s="847">
        <v>-51427.95</v>
      </c>
      <c r="G6" s="845" t="s">
        <v>719</v>
      </c>
      <c r="H6" s="842">
        <v>108</v>
      </c>
      <c r="I6" s="138"/>
      <c r="J6" s="138"/>
      <c r="K6" s="139" t="s">
        <v>685</v>
      </c>
      <c r="L6" s="818">
        <f>SUM(E2:E12)</f>
        <v>532950.78999999992</v>
      </c>
      <c r="M6" s="818">
        <f>SUM(F2:F12)</f>
        <v>-378366.05</v>
      </c>
      <c r="N6" s="138"/>
      <c r="O6" s="138"/>
      <c r="P6" s="138"/>
      <c r="Q6" s="138"/>
      <c r="R6" s="138"/>
      <c r="S6" s="138"/>
      <c r="T6" s="138"/>
      <c r="U6" s="138"/>
      <c r="V6" s="138"/>
      <c r="W6" s="138"/>
      <c r="X6" s="138"/>
      <c r="Y6" s="138"/>
      <c r="Z6" s="138"/>
    </row>
    <row r="7" spans="1:26" ht="14.25" customHeight="1">
      <c r="A7" s="845" t="s">
        <v>716</v>
      </c>
      <c r="B7" s="845" t="s">
        <v>707</v>
      </c>
      <c r="C7" s="845" t="s">
        <v>263</v>
      </c>
      <c r="D7" s="845" t="s">
        <v>726</v>
      </c>
      <c r="E7" s="847">
        <v>54659.17</v>
      </c>
      <c r="F7" s="847">
        <v>-57051.75</v>
      </c>
      <c r="G7" s="845" t="s">
        <v>717</v>
      </c>
      <c r="H7" s="842">
        <v>104</v>
      </c>
      <c r="I7" s="138"/>
      <c r="J7" s="138"/>
      <c r="K7" s="138"/>
      <c r="L7" s="824">
        <v>2</v>
      </c>
      <c r="M7" s="145"/>
      <c r="N7" s="138"/>
      <c r="O7" s="138"/>
      <c r="P7" s="138"/>
      <c r="Q7" s="138"/>
      <c r="R7" s="138"/>
      <c r="S7" s="138"/>
      <c r="T7" s="138"/>
      <c r="U7" s="138"/>
      <c r="V7" s="138"/>
      <c r="W7" s="138"/>
      <c r="X7" s="138"/>
      <c r="Y7" s="138"/>
      <c r="Z7" s="138"/>
    </row>
    <row r="8" spans="1:26" ht="14.25" customHeight="1">
      <c r="A8" s="845" t="s">
        <v>720</v>
      </c>
      <c r="B8" s="845" t="s">
        <v>707</v>
      </c>
      <c r="C8" s="845" t="s">
        <v>263</v>
      </c>
      <c r="D8" s="845" t="s">
        <v>726</v>
      </c>
      <c r="E8" s="847">
        <v>48328.17</v>
      </c>
      <c r="F8" s="847">
        <v>-51136.05</v>
      </c>
      <c r="G8" s="845" t="s">
        <v>721</v>
      </c>
      <c r="H8" s="842">
        <v>97</v>
      </c>
      <c r="I8" s="138"/>
      <c r="J8" s="138"/>
      <c r="K8" s="138"/>
      <c r="L8" s="4"/>
      <c r="M8" s="144"/>
      <c r="N8" s="138"/>
      <c r="O8" s="138"/>
      <c r="P8" s="138"/>
      <c r="Q8" s="138"/>
      <c r="R8" s="138"/>
      <c r="S8" s="138"/>
      <c r="T8" s="138"/>
      <c r="U8" s="138"/>
      <c r="V8" s="138"/>
      <c r="W8" s="138"/>
      <c r="X8" s="138"/>
      <c r="Y8" s="138"/>
      <c r="Z8" s="138"/>
    </row>
    <row r="9" spans="1:26" ht="14.25" customHeight="1">
      <c r="A9" s="845" t="s">
        <v>714</v>
      </c>
      <c r="B9" s="845" t="s">
        <v>707</v>
      </c>
      <c r="C9" s="845" t="s">
        <v>263</v>
      </c>
      <c r="D9" s="845" t="s">
        <v>726</v>
      </c>
      <c r="E9" s="847">
        <v>57229.1</v>
      </c>
      <c r="F9" s="843"/>
      <c r="G9" s="845" t="s">
        <v>715</v>
      </c>
      <c r="H9" s="842">
        <v>93</v>
      </c>
      <c r="I9" s="138"/>
      <c r="J9" s="138"/>
      <c r="K9" s="139" t="s">
        <v>689</v>
      </c>
      <c r="L9" s="818">
        <v>0</v>
      </c>
      <c r="M9" s="818">
        <v>0</v>
      </c>
      <c r="N9" s="138"/>
      <c r="O9" s="138"/>
      <c r="P9" s="138"/>
      <c r="Q9" s="138"/>
      <c r="R9" s="138"/>
      <c r="S9" s="138"/>
      <c r="T9" s="138"/>
      <c r="U9" s="138"/>
      <c r="V9" s="138"/>
      <c r="W9" s="138"/>
      <c r="X9" s="138"/>
      <c r="Y9" s="138"/>
      <c r="Z9" s="138"/>
    </row>
    <row r="10" spans="1:26" ht="14.25" customHeight="1">
      <c r="A10" s="845" t="s">
        <v>749</v>
      </c>
      <c r="B10" s="845" t="s">
        <v>707</v>
      </c>
      <c r="C10" s="845" t="s">
        <v>263</v>
      </c>
      <c r="D10" s="845" t="s">
        <v>258</v>
      </c>
      <c r="E10" s="847">
        <v>58141.01</v>
      </c>
      <c r="F10" s="843"/>
      <c r="G10" s="845" t="s">
        <v>750</v>
      </c>
      <c r="H10" s="842">
        <v>90</v>
      </c>
      <c r="I10" s="138"/>
      <c r="J10" s="138"/>
      <c r="K10" s="138"/>
      <c r="L10" s="825">
        <v>0</v>
      </c>
      <c r="M10" s="145"/>
      <c r="N10" s="138"/>
      <c r="O10" s="138"/>
      <c r="P10" s="138"/>
      <c r="Q10" s="138"/>
      <c r="R10" s="138"/>
      <c r="S10" s="138"/>
      <c r="T10" s="138"/>
      <c r="U10" s="138"/>
      <c r="V10" s="138"/>
      <c r="W10" s="138"/>
      <c r="X10" s="138"/>
      <c r="Y10" s="138"/>
      <c r="Z10" s="138"/>
    </row>
    <row r="11" spans="1:26" ht="14.25" customHeight="1">
      <c r="A11" s="845" t="s">
        <v>753</v>
      </c>
      <c r="B11" s="845" t="s">
        <v>707</v>
      </c>
      <c r="C11" s="845" t="s">
        <v>263</v>
      </c>
      <c r="D11" s="845" t="s">
        <v>258</v>
      </c>
      <c r="E11" s="847">
        <v>48171.23</v>
      </c>
      <c r="F11" s="843"/>
      <c r="G11" s="845" t="s">
        <v>754</v>
      </c>
      <c r="H11" s="842">
        <v>90</v>
      </c>
      <c r="I11" s="138"/>
      <c r="J11" s="138"/>
      <c r="K11" s="138"/>
      <c r="L11" s="138"/>
      <c r="M11" s="138"/>
      <c r="N11" s="138"/>
      <c r="O11" s="138"/>
      <c r="P11" s="138"/>
      <c r="Q11" s="138"/>
      <c r="R11" s="138"/>
      <c r="S11" s="138"/>
      <c r="T11" s="138"/>
      <c r="U11" s="138"/>
      <c r="V11" s="138"/>
      <c r="W11" s="138"/>
      <c r="X11" s="138"/>
      <c r="Y11" s="138"/>
      <c r="Z11" s="138"/>
    </row>
    <row r="12" spans="1:26" ht="14.25" customHeight="1">
      <c r="A12" s="845" t="s">
        <v>763</v>
      </c>
      <c r="B12" s="845" t="s">
        <v>707</v>
      </c>
      <c r="C12" s="845" t="s">
        <v>263</v>
      </c>
      <c r="D12" s="845" t="s">
        <v>726</v>
      </c>
      <c r="E12" s="847">
        <v>56292.01</v>
      </c>
      <c r="F12" s="847">
        <v>-57051.75</v>
      </c>
      <c r="G12" s="845" t="s">
        <v>764</v>
      </c>
      <c r="H12" s="842">
        <v>90</v>
      </c>
      <c r="I12" s="138"/>
      <c r="J12" s="138"/>
      <c r="K12" s="138"/>
      <c r="L12" s="138"/>
      <c r="M12" s="138"/>
      <c r="N12" s="138"/>
      <c r="O12" s="138"/>
      <c r="P12" s="138"/>
      <c r="Q12" s="138"/>
      <c r="R12" s="138"/>
      <c r="S12" s="138"/>
      <c r="T12" s="138"/>
      <c r="U12" s="138"/>
      <c r="V12" s="138"/>
      <c r="W12" s="138"/>
      <c r="X12" s="138"/>
      <c r="Y12" s="138"/>
      <c r="Z12" s="138"/>
    </row>
    <row r="13" spans="1:26" ht="14.25" customHeight="1">
      <c r="A13" s="845" t="s">
        <v>751</v>
      </c>
      <c r="B13" s="845" t="s">
        <v>707</v>
      </c>
      <c r="C13" s="845" t="s">
        <v>263</v>
      </c>
      <c r="D13" s="845" t="s">
        <v>258</v>
      </c>
      <c r="E13" s="847">
        <v>56073.919999999998</v>
      </c>
      <c r="F13" s="847">
        <v>-58869.3</v>
      </c>
      <c r="G13" s="845" t="s">
        <v>752</v>
      </c>
      <c r="H13" s="849">
        <v>86</v>
      </c>
      <c r="I13" s="138"/>
      <c r="J13" s="138"/>
      <c r="K13" s="138"/>
      <c r="L13" s="138"/>
      <c r="M13" s="138"/>
      <c r="N13" s="138"/>
      <c r="O13" s="138"/>
      <c r="P13" s="138"/>
      <c r="Q13" s="138"/>
      <c r="R13" s="138"/>
      <c r="S13" s="138"/>
      <c r="T13" s="138"/>
      <c r="U13" s="138"/>
      <c r="V13" s="138"/>
      <c r="W13" s="138"/>
      <c r="X13" s="138"/>
      <c r="Y13" s="138"/>
      <c r="Z13" s="138"/>
    </row>
    <row r="14" spans="1:26" ht="14.25" customHeight="1">
      <c r="A14" s="845" t="s">
        <v>767</v>
      </c>
      <c r="B14" s="845" t="s">
        <v>707</v>
      </c>
      <c r="C14" s="845" t="s">
        <v>263</v>
      </c>
      <c r="D14" s="845" t="s">
        <v>275</v>
      </c>
      <c r="E14" s="847">
        <v>37397</v>
      </c>
      <c r="F14" s="847">
        <v>-39440.1</v>
      </c>
      <c r="G14" s="845" t="s">
        <v>768</v>
      </c>
      <c r="H14" s="849">
        <v>86</v>
      </c>
      <c r="I14" s="138"/>
      <c r="J14" s="138"/>
      <c r="K14" s="138"/>
      <c r="L14" s="138"/>
      <c r="M14" s="138"/>
      <c r="N14" s="138"/>
      <c r="O14" s="138"/>
      <c r="P14" s="138"/>
      <c r="Q14" s="138"/>
      <c r="R14" s="138"/>
      <c r="S14" s="138"/>
      <c r="T14" s="138"/>
      <c r="U14" s="138"/>
      <c r="V14" s="138"/>
      <c r="W14" s="138"/>
      <c r="X14" s="138"/>
      <c r="Y14" s="138"/>
      <c r="Z14" s="138"/>
    </row>
    <row r="15" spans="1:26" ht="14.25" customHeight="1">
      <c r="A15" s="845" t="s">
        <v>755</v>
      </c>
      <c r="B15" s="845" t="s">
        <v>707</v>
      </c>
      <c r="C15" s="845" t="s">
        <v>263</v>
      </c>
      <c r="D15" s="845" t="s">
        <v>726</v>
      </c>
      <c r="E15" s="847">
        <v>56197.99</v>
      </c>
      <c r="F15" s="847">
        <v>-58834.65</v>
      </c>
      <c r="G15" s="845" t="s">
        <v>756</v>
      </c>
      <c r="H15" s="849">
        <v>82</v>
      </c>
      <c r="I15" s="138"/>
      <c r="J15" s="138"/>
      <c r="K15" s="138"/>
      <c r="L15" s="138"/>
      <c r="M15" s="138"/>
      <c r="N15" s="138"/>
      <c r="O15" s="138"/>
      <c r="P15" s="138"/>
      <c r="Q15" s="138"/>
      <c r="R15" s="138"/>
      <c r="S15" s="138"/>
      <c r="T15" s="138"/>
      <c r="U15" s="138"/>
      <c r="V15" s="138"/>
      <c r="W15" s="138"/>
      <c r="X15" s="138"/>
      <c r="Y15" s="138"/>
      <c r="Z15" s="138"/>
    </row>
    <row r="16" spans="1:26" ht="14.25" customHeight="1">
      <c r="A16" s="845" t="s">
        <v>745</v>
      </c>
      <c r="B16" s="845" t="s">
        <v>260</v>
      </c>
      <c r="C16" s="845" t="s">
        <v>263</v>
      </c>
      <c r="D16" s="845" t="s">
        <v>658</v>
      </c>
      <c r="E16" s="847">
        <v>32135.51</v>
      </c>
      <c r="F16" s="847">
        <v>-34034.699999999997</v>
      </c>
      <c r="G16" s="845" t="s">
        <v>746</v>
      </c>
      <c r="H16" s="849">
        <v>80</v>
      </c>
      <c r="I16" s="138"/>
      <c r="J16" s="138"/>
      <c r="K16" s="138"/>
      <c r="L16" s="138"/>
      <c r="M16" s="138"/>
      <c r="N16" s="138"/>
      <c r="O16" s="138"/>
      <c r="P16" s="138"/>
      <c r="Q16" s="138"/>
      <c r="R16" s="138"/>
      <c r="S16" s="138"/>
      <c r="T16" s="138"/>
      <c r="U16" s="138"/>
      <c r="V16" s="138"/>
      <c r="W16" s="138"/>
      <c r="X16" s="138"/>
      <c r="Y16" s="138"/>
      <c r="Z16" s="138"/>
    </row>
    <row r="17" spans="1:26" ht="14.25" customHeight="1">
      <c r="A17" s="845" t="s">
        <v>757</v>
      </c>
      <c r="B17" s="845" t="s">
        <v>707</v>
      </c>
      <c r="C17" s="845" t="s">
        <v>263</v>
      </c>
      <c r="D17" s="845" t="s">
        <v>726</v>
      </c>
      <c r="E17" s="847">
        <v>55950.97</v>
      </c>
      <c r="F17" s="847">
        <v>-58834.65</v>
      </c>
      <c r="G17" s="845" t="s">
        <v>758</v>
      </c>
      <c r="H17" s="849">
        <v>74</v>
      </c>
      <c r="I17" s="138"/>
      <c r="J17" s="138"/>
      <c r="K17" s="138"/>
      <c r="L17" s="138"/>
      <c r="M17" s="138"/>
      <c r="N17" s="138"/>
      <c r="O17" s="138"/>
      <c r="P17" s="138"/>
      <c r="Q17" s="138"/>
      <c r="R17" s="138"/>
      <c r="S17" s="138"/>
      <c r="T17" s="138"/>
      <c r="U17" s="138"/>
      <c r="V17" s="138"/>
      <c r="W17" s="138"/>
      <c r="X17" s="138"/>
      <c r="Y17" s="138"/>
      <c r="Z17" s="138"/>
    </row>
    <row r="18" spans="1:26" ht="14.25" customHeight="1">
      <c r="A18" s="845" t="s">
        <v>759</v>
      </c>
      <c r="B18" s="845" t="s">
        <v>707</v>
      </c>
      <c r="C18" s="845" t="s">
        <v>263</v>
      </c>
      <c r="D18" s="845" t="s">
        <v>726</v>
      </c>
      <c r="E18" s="847">
        <v>55950.97</v>
      </c>
      <c r="F18" s="847">
        <v>-58834.65</v>
      </c>
      <c r="G18" s="845" t="s">
        <v>760</v>
      </c>
      <c r="H18" s="849">
        <v>74</v>
      </c>
      <c r="I18" s="138"/>
      <c r="J18" s="138"/>
      <c r="K18" s="138"/>
      <c r="L18" s="138"/>
      <c r="M18" s="138"/>
      <c r="N18" s="138"/>
      <c r="O18" s="138"/>
      <c r="P18" s="138"/>
      <c r="Q18" s="138"/>
      <c r="R18" s="138"/>
      <c r="S18" s="138"/>
      <c r="T18" s="138"/>
      <c r="U18" s="138"/>
      <c r="V18" s="138"/>
      <c r="W18" s="138"/>
      <c r="X18" s="138"/>
      <c r="Y18" s="138"/>
      <c r="Z18" s="138"/>
    </row>
    <row r="19" spans="1:26" ht="14.25" customHeight="1">
      <c r="A19" s="845" t="s">
        <v>777</v>
      </c>
      <c r="B19" s="845" t="s">
        <v>707</v>
      </c>
      <c r="C19" s="845" t="s">
        <v>263</v>
      </c>
      <c r="D19" s="845" t="s">
        <v>261</v>
      </c>
      <c r="E19" s="847">
        <v>26927</v>
      </c>
      <c r="F19" s="847">
        <v>-28367.85</v>
      </c>
      <c r="G19" s="845" t="s">
        <v>778</v>
      </c>
      <c r="H19" s="849">
        <v>74</v>
      </c>
      <c r="I19" s="138"/>
      <c r="J19" s="138"/>
      <c r="K19" s="138"/>
      <c r="L19" s="138"/>
      <c r="M19" s="138"/>
      <c r="N19" s="138"/>
      <c r="O19" s="138"/>
      <c r="P19" s="138"/>
      <c r="Q19" s="138"/>
      <c r="R19" s="138"/>
      <c r="S19" s="138"/>
      <c r="T19" s="138"/>
      <c r="U19" s="138"/>
      <c r="V19" s="138"/>
      <c r="W19" s="138"/>
      <c r="X19" s="138"/>
      <c r="Y19" s="138"/>
      <c r="Z19" s="138"/>
    </row>
    <row r="20" spans="1:26" ht="14.25" customHeight="1">
      <c r="A20" s="845" t="s">
        <v>743</v>
      </c>
      <c r="B20" s="845" t="s">
        <v>260</v>
      </c>
      <c r="C20" s="845" t="s">
        <v>263</v>
      </c>
      <c r="D20" s="845" t="s">
        <v>658</v>
      </c>
      <c r="E20" s="847">
        <v>37610</v>
      </c>
      <c r="F20" s="847">
        <v>-39461.1</v>
      </c>
      <c r="G20" s="845" t="s">
        <v>744</v>
      </c>
      <c r="H20" s="849">
        <v>73</v>
      </c>
      <c r="I20" s="138"/>
      <c r="J20" s="138"/>
      <c r="K20" s="138"/>
      <c r="L20" s="138"/>
      <c r="M20" s="138"/>
      <c r="N20" s="138"/>
      <c r="O20" s="138"/>
      <c r="P20" s="138"/>
      <c r="Q20" s="138"/>
      <c r="R20" s="138"/>
      <c r="S20" s="138"/>
      <c r="T20" s="138"/>
      <c r="U20" s="138"/>
      <c r="V20" s="138"/>
      <c r="W20" s="138"/>
      <c r="X20" s="138"/>
      <c r="Y20" s="138"/>
      <c r="Z20" s="138"/>
    </row>
    <row r="21" spans="1:26" ht="14.25" customHeight="1">
      <c r="A21" s="845" t="s">
        <v>761</v>
      </c>
      <c r="B21" s="845" t="s">
        <v>707</v>
      </c>
      <c r="C21" s="845" t="s">
        <v>263</v>
      </c>
      <c r="D21" s="845" t="s">
        <v>726</v>
      </c>
      <c r="E21" s="847">
        <v>55950.97</v>
      </c>
      <c r="F21" s="847">
        <v>-58834.65</v>
      </c>
      <c r="G21" s="845" t="s">
        <v>762</v>
      </c>
      <c r="H21" s="849">
        <v>73</v>
      </c>
      <c r="I21" s="138"/>
      <c r="J21" s="138"/>
      <c r="K21" s="138"/>
      <c r="L21" s="138"/>
      <c r="M21" s="138"/>
      <c r="N21" s="138"/>
      <c r="O21" s="138"/>
      <c r="P21" s="138"/>
      <c r="Q21" s="138"/>
      <c r="R21" s="138"/>
      <c r="S21" s="138"/>
      <c r="T21" s="138"/>
      <c r="U21" s="138"/>
      <c r="V21" s="138"/>
      <c r="W21" s="138"/>
      <c r="X21" s="138"/>
      <c r="Y21" s="138"/>
      <c r="Z21" s="138"/>
    </row>
    <row r="22" spans="1:26" ht="14.25" customHeight="1">
      <c r="A22" s="845" t="s">
        <v>775</v>
      </c>
      <c r="B22" s="845" t="s">
        <v>707</v>
      </c>
      <c r="C22" s="845" t="s">
        <v>263</v>
      </c>
      <c r="D22" s="845" t="s">
        <v>261</v>
      </c>
      <c r="E22" s="847">
        <v>29531</v>
      </c>
      <c r="F22" s="847">
        <v>-31102.05</v>
      </c>
      <c r="G22" s="845" t="s">
        <v>776</v>
      </c>
      <c r="H22" s="849">
        <v>73</v>
      </c>
      <c r="I22" s="138"/>
      <c r="J22" s="138"/>
      <c r="K22" s="138"/>
      <c r="L22" s="138"/>
      <c r="M22" s="138"/>
      <c r="N22" s="138"/>
      <c r="O22" s="138"/>
      <c r="P22" s="138"/>
      <c r="Q22" s="138"/>
      <c r="R22" s="138"/>
      <c r="S22" s="138"/>
      <c r="T22" s="138"/>
      <c r="U22" s="138"/>
      <c r="V22" s="138"/>
      <c r="W22" s="138"/>
      <c r="X22" s="138"/>
      <c r="Y22" s="138"/>
      <c r="Z22" s="138"/>
    </row>
    <row r="23" spans="1:26" ht="14.25" customHeight="1">
      <c r="A23" s="845" t="s">
        <v>765</v>
      </c>
      <c r="B23" s="845" t="s">
        <v>707</v>
      </c>
      <c r="C23" s="845" t="s">
        <v>263</v>
      </c>
      <c r="D23" s="845" t="s">
        <v>726</v>
      </c>
      <c r="E23" s="847">
        <v>54250</v>
      </c>
      <c r="F23" s="847">
        <v>-57051.75</v>
      </c>
      <c r="G23" s="845" t="s">
        <v>766</v>
      </c>
      <c r="H23" s="849">
        <v>68</v>
      </c>
      <c r="I23" s="138"/>
      <c r="J23" s="138"/>
      <c r="K23" s="138"/>
      <c r="L23" s="138"/>
      <c r="M23" s="138"/>
      <c r="N23" s="138"/>
      <c r="O23" s="138"/>
      <c r="P23" s="138"/>
      <c r="Q23" s="138"/>
      <c r="R23" s="138"/>
      <c r="S23" s="138"/>
      <c r="T23" s="138"/>
      <c r="U23" s="138"/>
      <c r="V23" s="138"/>
      <c r="W23" s="138"/>
      <c r="X23" s="138"/>
      <c r="Y23" s="138"/>
      <c r="Z23" s="138"/>
    </row>
    <row r="24" spans="1:26" ht="14.25" customHeight="1">
      <c r="A24" s="845" t="s">
        <v>769</v>
      </c>
      <c r="B24" s="845" t="s">
        <v>707</v>
      </c>
      <c r="C24" s="845" t="s">
        <v>263</v>
      </c>
      <c r="D24" s="845" t="s">
        <v>275</v>
      </c>
      <c r="E24" s="847">
        <v>37506.9</v>
      </c>
      <c r="F24" s="847">
        <v>-39440.1</v>
      </c>
      <c r="G24" s="845" t="s">
        <v>770</v>
      </c>
      <c r="H24" s="849">
        <v>68</v>
      </c>
      <c r="I24" s="138"/>
      <c r="J24" s="138"/>
      <c r="K24" s="138"/>
      <c r="L24" s="138"/>
      <c r="M24" s="138"/>
      <c r="N24" s="138"/>
      <c r="O24" s="138"/>
      <c r="P24" s="138"/>
      <c r="Q24" s="138"/>
      <c r="R24" s="138"/>
      <c r="S24" s="138"/>
      <c r="T24" s="138"/>
      <c r="U24" s="138"/>
      <c r="V24" s="138"/>
      <c r="W24" s="138"/>
      <c r="X24" s="138"/>
      <c r="Y24" s="138"/>
      <c r="Z24" s="138"/>
    </row>
    <row r="25" spans="1:26" ht="14.25" customHeight="1">
      <c r="A25" s="845" t="s">
        <v>771</v>
      </c>
      <c r="B25" s="845" t="s">
        <v>707</v>
      </c>
      <c r="C25" s="845" t="s">
        <v>263</v>
      </c>
      <c r="D25" s="845" t="s">
        <v>708</v>
      </c>
      <c r="E25" s="847">
        <v>32637</v>
      </c>
      <c r="F25" s="847">
        <v>-34363.35</v>
      </c>
      <c r="G25" s="845" t="s">
        <v>772</v>
      </c>
      <c r="H25" s="849">
        <v>68</v>
      </c>
      <c r="I25" s="138"/>
      <c r="J25" s="138"/>
      <c r="K25" s="138"/>
      <c r="L25" s="138"/>
      <c r="M25" s="138"/>
      <c r="N25" s="138"/>
      <c r="O25" s="138"/>
      <c r="P25" s="138"/>
      <c r="Q25" s="138"/>
      <c r="R25" s="138"/>
      <c r="S25" s="138"/>
      <c r="T25" s="138"/>
      <c r="U25" s="138"/>
      <c r="V25" s="138"/>
      <c r="W25" s="138"/>
      <c r="X25" s="138"/>
      <c r="Y25" s="138"/>
      <c r="Z25" s="138"/>
    </row>
    <row r="26" spans="1:26" ht="14.25" customHeight="1">
      <c r="A26" s="845" t="s">
        <v>747</v>
      </c>
      <c r="B26" s="845" t="s">
        <v>260</v>
      </c>
      <c r="C26" s="845" t="s">
        <v>263</v>
      </c>
      <c r="D26" s="845" t="s">
        <v>658</v>
      </c>
      <c r="E26" s="847">
        <v>28066.02</v>
      </c>
      <c r="F26" s="847">
        <v>-28951.65</v>
      </c>
      <c r="G26" s="845" t="s">
        <v>748</v>
      </c>
      <c r="H26" s="849">
        <v>62</v>
      </c>
      <c r="I26" s="138"/>
      <c r="J26" s="138"/>
      <c r="K26" s="138"/>
      <c r="L26" s="138"/>
      <c r="M26" s="138"/>
      <c r="N26" s="138"/>
      <c r="O26" s="138"/>
      <c r="P26" s="138"/>
      <c r="Q26" s="138"/>
      <c r="R26" s="138"/>
      <c r="S26" s="138"/>
      <c r="T26" s="138"/>
      <c r="U26" s="138"/>
      <c r="V26" s="138"/>
      <c r="W26" s="138"/>
      <c r="X26" s="138"/>
      <c r="Y26" s="138"/>
      <c r="Z26" s="138"/>
    </row>
    <row r="27" spans="1:26" ht="14.25" customHeight="1">
      <c r="A27" s="845" t="s">
        <v>773</v>
      </c>
      <c r="B27" s="845" t="s">
        <v>707</v>
      </c>
      <c r="C27" s="845" t="s">
        <v>263</v>
      </c>
      <c r="D27" s="845" t="s">
        <v>261</v>
      </c>
      <c r="E27" s="847">
        <v>32017.87</v>
      </c>
      <c r="F27" s="847">
        <v>-33204.15</v>
      </c>
      <c r="G27" s="845" t="s">
        <v>774</v>
      </c>
      <c r="H27" s="849">
        <v>62</v>
      </c>
      <c r="I27" s="138"/>
      <c r="J27" s="138"/>
      <c r="K27" s="138"/>
      <c r="L27" s="138"/>
      <c r="M27" s="138"/>
      <c r="N27" s="138"/>
      <c r="O27" s="138"/>
      <c r="P27" s="138"/>
      <c r="Q27" s="138"/>
      <c r="R27" s="138"/>
      <c r="S27" s="138"/>
      <c r="T27" s="138"/>
      <c r="U27" s="138"/>
      <c r="V27" s="138"/>
      <c r="W27" s="138"/>
      <c r="X27" s="138"/>
      <c r="Y27" s="138"/>
      <c r="Z27" s="138"/>
    </row>
    <row r="28" spans="1:26" ht="14.25" customHeight="1">
      <c r="A28" s="845" t="s">
        <v>820</v>
      </c>
      <c r="B28" s="845" t="s">
        <v>707</v>
      </c>
      <c r="C28" s="845" t="s">
        <v>263</v>
      </c>
      <c r="D28" s="845" t="s">
        <v>708</v>
      </c>
      <c r="E28" s="847">
        <v>31816.52</v>
      </c>
      <c r="F28" s="843"/>
      <c r="G28" s="845" t="s">
        <v>827</v>
      </c>
      <c r="H28" s="849">
        <v>52</v>
      </c>
      <c r="I28" s="138"/>
      <c r="J28" s="138"/>
      <c r="K28" s="138"/>
      <c r="L28" s="138"/>
      <c r="M28" s="138"/>
      <c r="N28" s="138"/>
      <c r="O28" s="138"/>
      <c r="P28" s="138"/>
      <c r="Q28" s="138"/>
      <c r="R28" s="138"/>
      <c r="S28" s="138"/>
      <c r="T28" s="138"/>
      <c r="U28" s="138"/>
      <c r="V28" s="138"/>
      <c r="W28" s="138"/>
      <c r="X28" s="138"/>
      <c r="Y28" s="138"/>
      <c r="Z28" s="138"/>
    </row>
    <row r="29" spans="1:26" ht="14.25" customHeight="1">
      <c r="A29" s="845" t="s">
        <v>922</v>
      </c>
      <c r="B29" s="845" t="s">
        <v>707</v>
      </c>
      <c r="C29" s="845" t="s">
        <v>263</v>
      </c>
      <c r="D29" s="845" t="s">
        <v>708</v>
      </c>
      <c r="E29" s="847">
        <v>31513</v>
      </c>
      <c r="F29" s="843"/>
      <c r="G29" s="845" t="s">
        <v>923</v>
      </c>
      <c r="H29" s="849">
        <v>51</v>
      </c>
      <c r="I29" s="138"/>
      <c r="J29" s="138"/>
      <c r="K29" s="138"/>
      <c r="L29" s="138"/>
      <c r="M29" s="138"/>
      <c r="N29" s="138"/>
      <c r="O29" s="138"/>
      <c r="P29" s="138"/>
      <c r="Q29" s="138"/>
      <c r="R29" s="138"/>
      <c r="S29" s="138"/>
      <c r="T29" s="138"/>
      <c r="U29" s="138"/>
      <c r="V29" s="138"/>
      <c r="W29" s="138"/>
      <c r="X29" s="138"/>
      <c r="Y29" s="138"/>
      <c r="Z29" s="138"/>
    </row>
    <row r="30" spans="1:26" ht="14.25" customHeight="1">
      <c r="A30" s="845" t="s">
        <v>824</v>
      </c>
      <c r="B30" s="845" t="s">
        <v>707</v>
      </c>
      <c r="C30" s="845" t="s">
        <v>263</v>
      </c>
      <c r="D30" s="845" t="s">
        <v>258</v>
      </c>
      <c r="E30" s="847">
        <v>48894</v>
      </c>
      <c r="F30" s="847">
        <v>-51427.95</v>
      </c>
      <c r="G30" s="845" t="s">
        <v>830</v>
      </c>
      <c r="H30" s="849">
        <v>48</v>
      </c>
      <c r="I30" s="138"/>
      <c r="J30" s="138"/>
      <c r="K30" s="138"/>
      <c r="L30" s="138"/>
      <c r="M30" s="138"/>
      <c r="N30" s="138"/>
      <c r="O30" s="138"/>
      <c r="P30" s="138"/>
      <c r="Q30" s="138"/>
      <c r="R30" s="138"/>
      <c r="S30" s="138"/>
      <c r="T30" s="138"/>
      <c r="U30" s="138"/>
      <c r="V30" s="138"/>
      <c r="W30" s="138"/>
      <c r="X30" s="138"/>
      <c r="Y30" s="138"/>
      <c r="Z30" s="138"/>
    </row>
    <row r="31" spans="1:26" ht="14.25" customHeight="1">
      <c r="A31" s="845" t="s">
        <v>839</v>
      </c>
      <c r="B31" s="845" t="s">
        <v>707</v>
      </c>
      <c r="C31" s="845" t="s">
        <v>263</v>
      </c>
      <c r="D31" s="845" t="s">
        <v>726</v>
      </c>
      <c r="E31" s="847">
        <v>55948</v>
      </c>
      <c r="F31" s="847">
        <v>-58834.65</v>
      </c>
      <c r="G31" s="845" t="s">
        <v>829</v>
      </c>
      <c r="H31" s="849">
        <v>48</v>
      </c>
      <c r="I31" s="138"/>
      <c r="J31" s="138"/>
      <c r="K31" s="138"/>
      <c r="L31" s="138"/>
      <c r="M31" s="138"/>
      <c r="N31" s="138"/>
      <c r="O31" s="138"/>
      <c r="P31" s="138"/>
      <c r="Q31" s="138"/>
      <c r="R31" s="138"/>
      <c r="S31" s="138"/>
      <c r="T31" s="138"/>
      <c r="U31" s="138"/>
      <c r="V31" s="138"/>
      <c r="W31" s="138"/>
      <c r="X31" s="138"/>
      <c r="Y31" s="138"/>
      <c r="Z31" s="138"/>
    </row>
    <row r="32" spans="1:26" ht="14.25" customHeight="1">
      <c r="A32" s="845" t="s">
        <v>924</v>
      </c>
      <c r="B32" s="845" t="s">
        <v>707</v>
      </c>
      <c r="C32" s="845" t="s">
        <v>263</v>
      </c>
      <c r="D32" s="845" t="s">
        <v>726</v>
      </c>
      <c r="E32" s="847">
        <v>54236.5</v>
      </c>
      <c r="F32" s="843"/>
      <c r="G32" s="845" t="s">
        <v>925</v>
      </c>
      <c r="H32" s="849">
        <v>48</v>
      </c>
      <c r="I32" s="138"/>
      <c r="J32" s="138"/>
      <c r="K32" s="138"/>
      <c r="L32" s="138"/>
      <c r="M32" s="138"/>
      <c r="N32" s="138"/>
      <c r="O32" s="138"/>
      <c r="P32" s="138"/>
      <c r="Q32" s="138"/>
      <c r="R32" s="138"/>
      <c r="S32" s="138"/>
      <c r="T32" s="138"/>
      <c r="U32" s="138"/>
      <c r="V32" s="138"/>
      <c r="W32" s="138"/>
      <c r="X32" s="138"/>
      <c r="Y32" s="138"/>
      <c r="Z32" s="138"/>
    </row>
    <row r="33" spans="1:26" ht="14.25" customHeight="1">
      <c r="A33" s="845" t="s">
        <v>843</v>
      </c>
      <c r="B33" s="845" t="s">
        <v>707</v>
      </c>
      <c r="C33" s="845" t="s">
        <v>263</v>
      </c>
      <c r="D33" s="845" t="s">
        <v>658</v>
      </c>
      <c r="E33" s="847">
        <v>32864</v>
      </c>
      <c r="F33" s="847">
        <v>-34706.699999999997</v>
      </c>
      <c r="G33" s="845" t="s">
        <v>828</v>
      </c>
      <c r="H33" s="849">
        <v>48</v>
      </c>
      <c r="I33" s="138"/>
      <c r="J33" s="138"/>
      <c r="K33" s="138"/>
      <c r="L33" s="138"/>
      <c r="M33" s="138"/>
      <c r="N33" s="138"/>
      <c r="O33" s="138"/>
      <c r="P33" s="138"/>
      <c r="Q33" s="138"/>
      <c r="R33" s="138"/>
      <c r="S33" s="138"/>
      <c r="T33" s="138"/>
      <c r="U33" s="138"/>
      <c r="V33" s="138"/>
      <c r="W33" s="138"/>
      <c r="X33" s="138"/>
      <c r="Y33" s="138"/>
      <c r="Z33" s="138"/>
    </row>
    <row r="34" spans="1:26" ht="14.25" customHeight="1">
      <c r="A34" s="845" t="s">
        <v>831</v>
      </c>
      <c r="B34" s="845" t="s">
        <v>707</v>
      </c>
      <c r="C34" s="845" t="s">
        <v>263</v>
      </c>
      <c r="D34" s="845" t="s">
        <v>258</v>
      </c>
      <c r="E34" s="847">
        <v>55259.97</v>
      </c>
      <c r="F34" s="847">
        <v>-58109.1</v>
      </c>
      <c r="G34" s="845" t="s">
        <v>832</v>
      </c>
      <c r="H34" s="849">
        <v>47</v>
      </c>
      <c r="I34" s="138"/>
      <c r="J34" s="138"/>
      <c r="K34" s="138"/>
      <c r="L34" s="138"/>
      <c r="M34" s="138"/>
      <c r="N34" s="138"/>
      <c r="O34" s="138"/>
      <c r="P34" s="138"/>
      <c r="Q34" s="138"/>
      <c r="R34" s="138"/>
      <c r="S34" s="138"/>
      <c r="T34" s="138"/>
      <c r="U34" s="138"/>
      <c r="V34" s="138"/>
      <c r="W34" s="138"/>
      <c r="X34" s="138"/>
      <c r="Y34" s="138"/>
      <c r="Z34" s="138"/>
    </row>
    <row r="35" spans="1:26" ht="14.25" customHeight="1">
      <c r="A35" s="845" t="s">
        <v>823</v>
      </c>
      <c r="B35" s="845" t="s">
        <v>707</v>
      </c>
      <c r="C35" s="845" t="s">
        <v>263</v>
      </c>
      <c r="D35" s="845" t="s">
        <v>726</v>
      </c>
      <c r="E35" s="847">
        <v>53794.97</v>
      </c>
      <c r="F35" s="847">
        <v>-56570.85</v>
      </c>
      <c r="G35" s="845" t="s">
        <v>833</v>
      </c>
      <c r="H35" s="849">
        <v>45</v>
      </c>
      <c r="I35" s="138"/>
      <c r="J35" s="138"/>
      <c r="K35" s="138"/>
      <c r="L35" s="138"/>
      <c r="M35" s="138"/>
      <c r="N35" s="138"/>
      <c r="O35" s="138"/>
      <c r="P35" s="138"/>
      <c r="Q35" s="138"/>
      <c r="R35" s="138"/>
      <c r="S35" s="138"/>
      <c r="T35" s="138"/>
      <c r="U35" s="138"/>
      <c r="V35" s="138"/>
      <c r="W35" s="138"/>
      <c r="X35" s="138"/>
      <c r="Y35" s="138"/>
      <c r="Z35" s="138"/>
    </row>
    <row r="36" spans="1:26" ht="14.25" customHeight="1">
      <c r="A36" s="845" t="s">
        <v>826</v>
      </c>
      <c r="B36" s="845" t="s">
        <v>707</v>
      </c>
      <c r="C36" s="845" t="s">
        <v>263</v>
      </c>
      <c r="D36" s="845" t="s">
        <v>261</v>
      </c>
      <c r="E36" s="847">
        <v>28629</v>
      </c>
      <c r="F36" s="843"/>
      <c r="G36" s="845" t="s">
        <v>835</v>
      </c>
      <c r="H36" s="849">
        <v>44</v>
      </c>
      <c r="I36" s="138"/>
      <c r="J36" s="138"/>
      <c r="K36" s="138"/>
      <c r="L36" s="138"/>
      <c r="M36" s="138"/>
      <c r="N36" s="138"/>
      <c r="O36" s="138"/>
      <c r="P36" s="138"/>
      <c r="Q36" s="138"/>
      <c r="R36" s="138"/>
      <c r="S36" s="138"/>
      <c r="T36" s="138"/>
      <c r="U36" s="138"/>
      <c r="V36" s="138"/>
      <c r="W36" s="138"/>
      <c r="X36" s="138"/>
      <c r="Y36" s="138"/>
      <c r="Z36" s="138"/>
    </row>
    <row r="37" spans="1:26" ht="14.25" customHeight="1">
      <c r="A37" s="845" t="s">
        <v>822</v>
      </c>
      <c r="B37" s="845" t="s">
        <v>707</v>
      </c>
      <c r="C37" s="845" t="s">
        <v>263</v>
      </c>
      <c r="D37" s="845" t="s">
        <v>258</v>
      </c>
      <c r="E37" s="847">
        <v>54801.97</v>
      </c>
      <c r="F37" s="847">
        <v>-57628.2</v>
      </c>
      <c r="G37" s="845" t="s">
        <v>838</v>
      </c>
      <c r="H37" s="849">
        <v>41</v>
      </c>
      <c r="I37" s="138"/>
      <c r="J37" s="138"/>
      <c r="K37" s="138"/>
      <c r="L37" s="138"/>
      <c r="M37" s="138"/>
      <c r="N37" s="138"/>
      <c r="O37" s="138"/>
      <c r="P37" s="138"/>
      <c r="Q37" s="138"/>
      <c r="R37" s="138"/>
      <c r="S37" s="138"/>
      <c r="T37" s="138"/>
      <c r="U37" s="138"/>
      <c r="V37" s="138"/>
      <c r="W37" s="138"/>
      <c r="X37" s="138"/>
      <c r="Y37" s="138"/>
      <c r="Z37" s="138"/>
    </row>
    <row r="38" spans="1:26" ht="14.25" customHeight="1">
      <c r="A38" s="845" t="s">
        <v>836</v>
      </c>
      <c r="B38" s="845" t="s">
        <v>707</v>
      </c>
      <c r="C38" s="845" t="s">
        <v>263</v>
      </c>
      <c r="D38" s="845" t="s">
        <v>258</v>
      </c>
      <c r="E38" s="847">
        <v>58249.97</v>
      </c>
      <c r="F38" s="843"/>
      <c r="G38" s="845" t="s">
        <v>840</v>
      </c>
      <c r="H38" s="849">
        <v>38</v>
      </c>
      <c r="I38" s="138"/>
      <c r="J38" s="138"/>
      <c r="K38" s="138"/>
      <c r="L38" s="138"/>
      <c r="M38" s="138"/>
      <c r="N38" s="138"/>
      <c r="O38" s="138"/>
      <c r="P38" s="138"/>
      <c r="Q38" s="138"/>
      <c r="R38" s="138"/>
      <c r="S38" s="138"/>
      <c r="T38" s="138"/>
      <c r="U38" s="138"/>
      <c r="V38" s="138"/>
      <c r="W38" s="138"/>
      <c r="X38" s="138"/>
      <c r="Y38" s="138"/>
      <c r="Z38" s="138"/>
    </row>
    <row r="39" spans="1:26" ht="14.25" customHeight="1">
      <c r="A39" s="845" t="s">
        <v>819</v>
      </c>
      <c r="B39" s="845" t="s">
        <v>707</v>
      </c>
      <c r="C39" s="845" t="s">
        <v>263</v>
      </c>
      <c r="D39" s="845" t="s">
        <v>256</v>
      </c>
      <c r="E39" s="847">
        <v>45175.95</v>
      </c>
      <c r="F39" s="847">
        <v>-47526.15</v>
      </c>
      <c r="G39" s="845" t="s">
        <v>841</v>
      </c>
      <c r="H39" s="849">
        <v>37</v>
      </c>
      <c r="I39" s="138"/>
      <c r="J39" s="138"/>
      <c r="K39" s="138"/>
      <c r="L39" s="138"/>
      <c r="M39" s="138"/>
      <c r="N39" s="138"/>
      <c r="O39" s="138"/>
      <c r="P39" s="138"/>
      <c r="Q39" s="138"/>
      <c r="R39" s="138"/>
      <c r="S39" s="138"/>
      <c r="T39" s="138"/>
      <c r="U39" s="138"/>
      <c r="V39" s="138"/>
      <c r="W39" s="138"/>
      <c r="X39" s="138"/>
      <c r="Y39" s="138"/>
      <c r="Z39" s="138"/>
    </row>
    <row r="40" spans="1:26" ht="14.25" customHeight="1">
      <c r="A40" s="845" t="s">
        <v>821</v>
      </c>
      <c r="B40" s="845" t="s">
        <v>707</v>
      </c>
      <c r="C40" s="845" t="s">
        <v>263</v>
      </c>
      <c r="D40" s="845" t="s">
        <v>256</v>
      </c>
      <c r="E40" s="847">
        <v>44101</v>
      </c>
      <c r="F40" s="847">
        <v>-46474.05</v>
      </c>
      <c r="G40" s="845" t="s">
        <v>842</v>
      </c>
      <c r="H40" s="849">
        <v>34</v>
      </c>
      <c r="I40" s="138"/>
      <c r="J40" s="138"/>
      <c r="K40" s="138"/>
      <c r="L40" s="138"/>
      <c r="M40" s="138"/>
      <c r="N40" s="138"/>
      <c r="O40" s="138"/>
      <c r="P40" s="138"/>
      <c r="Q40" s="138"/>
      <c r="R40" s="138"/>
      <c r="S40" s="138"/>
      <c r="T40" s="138"/>
      <c r="U40" s="138"/>
      <c r="V40" s="138"/>
      <c r="W40" s="138"/>
      <c r="X40" s="138"/>
      <c r="Y40" s="138"/>
      <c r="Z40" s="138"/>
    </row>
    <row r="41" spans="1:26" ht="14.25" customHeight="1">
      <c r="A41" s="845" t="s">
        <v>834</v>
      </c>
      <c r="B41" s="845" t="s">
        <v>707</v>
      </c>
      <c r="C41" s="845" t="s">
        <v>263</v>
      </c>
      <c r="D41" s="845" t="s">
        <v>258</v>
      </c>
      <c r="E41" s="847">
        <v>54806.97</v>
      </c>
      <c r="F41" s="847">
        <v>-57628.2</v>
      </c>
      <c r="G41" s="845" t="s">
        <v>845</v>
      </c>
      <c r="H41" s="849">
        <v>33</v>
      </c>
      <c r="I41" s="138"/>
      <c r="J41" s="138"/>
      <c r="K41" s="138"/>
      <c r="L41" s="138"/>
      <c r="M41" s="138"/>
      <c r="N41" s="138"/>
      <c r="O41" s="138"/>
      <c r="P41" s="138"/>
      <c r="Q41" s="138"/>
      <c r="R41" s="138"/>
      <c r="S41" s="138"/>
      <c r="T41" s="138"/>
      <c r="U41" s="138"/>
      <c r="V41" s="138"/>
      <c r="W41" s="138"/>
      <c r="X41" s="138"/>
      <c r="Y41" s="138"/>
      <c r="Z41" s="138"/>
    </row>
    <row r="42" spans="1:26" ht="14.25" customHeight="1">
      <c r="A42" s="845" t="s">
        <v>825</v>
      </c>
      <c r="B42" s="845" t="s">
        <v>707</v>
      </c>
      <c r="C42" s="845" t="s">
        <v>263</v>
      </c>
      <c r="D42" s="845" t="s">
        <v>658</v>
      </c>
      <c r="E42" s="847">
        <v>38195</v>
      </c>
      <c r="F42" s="847">
        <v>-40225.5</v>
      </c>
      <c r="G42" s="845" t="s">
        <v>844</v>
      </c>
      <c r="H42" s="849">
        <v>33</v>
      </c>
      <c r="I42" s="138"/>
      <c r="J42" s="138"/>
      <c r="K42" s="138"/>
      <c r="L42" s="138"/>
      <c r="M42" s="138"/>
      <c r="N42" s="138"/>
      <c r="O42" s="138"/>
      <c r="P42" s="138"/>
      <c r="Q42" s="138"/>
      <c r="R42" s="138"/>
      <c r="S42" s="138"/>
      <c r="T42" s="138"/>
      <c r="U42" s="138"/>
      <c r="V42" s="138"/>
      <c r="W42" s="138"/>
      <c r="X42" s="138"/>
      <c r="Y42" s="138"/>
      <c r="Z42" s="138"/>
    </row>
    <row r="43" spans="1:26" ht="14.25" customHeight="1">
      <c r="A43" s="845" t="s">
        <v>926</v>
      </c>
      <c r="B43" s="845" t="s">
        <v>707</v>
      </c>
      <c r="C43" s="845" t="s">
        <v>263</v>
      </c>
      <c r="D43" s="845" t="s">
        <v>726</v>
      </c>
      <c r="E43" s="847">
        <v>56348.1</v>
      </c>
      <c r="F43" s="847">
        <v>-58834.65</v>
      </c>
      <c r="G43" s="845" t="s">
        <v>927</v>
      </c>
      <c r="H43" s="849">
        <v>30</v>
      </c>
      <c r="I43" s="138"/>
      <c r="J43" s="138"/>
      <c r="K43" s="138"/>
      <c r="L43" s="138"/>
      <c r="M43" s="138"/>
      <c r="N43" s="138"/>
      <c r="O43" s="138"/>
      <c r="P43" s="138"/>
      <c r="Q43" s="138"/>
      <c r="R43" s="138"/>
      <c r="S43" s="138"/>
      <c r="T43" s="138"/>
      <c r="U43" s="138"/>
      <c r="V43" s="138"/>
      <c r="W43" s="138"/>
      <c r="X43" s="138"/>
      <c r="Y43" s="138"/>
      <c r="Z43" s="138"/>
    </row>
    <row r="44" spans="1:26" ht="14.25" customHeight="1">
      <c r="A44" s="845" t="s">
        <v>928</v>
      </c>
      <c r="B44" s="845" t="s">
        <v>707</v>
      </c>
      <c r="C44" s="845" t="s">
        <v>263</v>
      </c>
      <c r="D44" s="845" t="s">
        <v>256</v>
      </c>
      <c r="E44" s="847">
        <v>45762.95</v>
      </c>
      <c r="F44" s="843"/>
      <c r="G44" s="845" t="s">
        <v>929</v>
      </c>
      <c r="H44" s="849">
        <v>30</v>
      </c>
      <c r="I44" s="138"/>
      <c r="J44" s="138"/>
      <c r="K44" s="138"/>
      <c r="L44" s="138"/>
      <c r="M44" s="138"/>
      <c r="N44" s="138"/>
      <c r="O44" s="138"/>
      <c r="P44" s="138"/>
      <c r="Q44" s="138"/>
      <c r="R44" s="138"/>
      <c r="S44" s="138"/>
      <c r="T44" s="138"/>
      <c r="U44" s="138"/>
      <c r="V44" s="138"/>
      <c r="W44" s="138"/>
      <c r="X44" s="138"/>
      <c r="Y44" s="138"/>
      <c r="Z44" s="138"/>
    </row>
    <row r="45" spans="1:26" ht="14.25" customHeight="1">
      <c r="A45" s="845" t="s">
        <v>930</v>
      </c>
      <c r="B45" s="845" t="s">
        <v>707</v>
      </c>
      <c r="C45" s="845" t="s">
        <v>263</v>
      </c>
      <c r="D45" s="845" t="s">
        <v>658</v>
      </c>
      <c r="E45" s="847">
        <v>37908</v>
      </c>
      <c r="F45" s="847">
        <v>-39749.85</v>
      </c>
      <c r="G45" s="845" t="s">
        <v>931</v>
      </c>
      <c r="H45" s="849">
        <v>25</v>
      </c>
      <c r="I45" s="138"/>
      <c r="J45" s="138"/>
      <c r="K45" s="138"/>
      <c r="L45" s="138"/>
      <c r="M45" s="138"/>
      <c r="N45" s="138"/>
      <c r="O45" s="138"/>
      <c r="P45" s="138"/>
      <c r="Q45" s="138"/>
      <c r="R45" s="138"/>
      <c r="S45" s="138"/>
      <c r="T45" s="138"/>
      <c r="U45" s="138"/>
      <c r="V45" s="138"/>
      <c r="W45" s="138"/>
      <c r="X45" s="138"/>
      <c r="Y45" s="138"/>
      <c r="Z45" s="138"/>
    </row>
    <row r="46" spans="1:26" ht="14.25" customHeight="1">
      <c r="A46" s="845" t="s">
        <v>932</v>
      </c>
      <c r="B46" s="845" t="s">
        <v>707</v>
      </c>
      <c r="C46" s="845" t="s">
        <v>263</v>
      </c>
      <c r="D46" s="845" t="s">
        <v>658</v>
      </c>
      <c r="E46" s="847">
        <v>32705</v>
      </c>
      <c r="F46" s="847">
        <v>-34423.199999999997</v>
      </c>
      <c r="G46" s="845" t="s">
        <v>933</v>
      </c>
      <c r="H46" s="849">
        <v>25</v>
      </c>
      <c r="I46" s="138"/>
      <c r="J46" s="138"/>
      <c r="K46" s="138"/>
      <c r="L46" s="138"/>
      <c r="M46" s="138"/>
      <c r="N46" s="138"/>
      <c r="O46" s="138"/>
      <c r="P46" s="138"/>
      <c r="Q46" s="138"/>
      <c r="R46" s="138"/>
      <c r="S46" s="138"/>
      <c r="T46" s="138"/>
      <c r="U46" s="138"/>
      <c r="V46" s="138"/>
      <c r="W46" s="138"/>
      <c r="X46" s="138"/>
      <c r="Y46" s="138"/>
      <c r="Z46" s="138"/>
    </row>
    <row r="47" spans="1:26" ht="14.25" customHeight="1">
      <c r="A47" s="845" t="s">
        <v>934</v>
      </c>
      <c r="B47" s="845" t="s">
        <v>707</v>
      </c>
      <c r="C47" s="845" t="s">
        <v>263</v>
      </c>
      <c r="D47" s="845" t="s">
        <v>658</v>
      </c>
      <c r="E47" s="847">
        <v>32705</v>
      </c>
      <c r="F47" s="847">
        <v>-34423.199999999997</v>
      </c>
      <c r="G47" s="845" t="s">
        <v>935</v>
      </c>
      <c r="H47" s="849">
        <v>25</v>
      </c>
      <c r="I47" s="138"/>
      <c r="J47" s="138"/>
      <c r="K47" s="138"/>
      <c r="L47" s="138"/>
      <c r="M47" s="138"/>
      <c r="N47" s="138"/>
      <c r="O47" s="138"/>
      <c r="P47" s="138"/>
      <c r="Q47" s="138"/>
      <c r="R47" s="138"/>
      <c r="S47" s="138"/>
      <c r="T47" s="138"/>
      <c r="U47" s="138"/>
      <c r="V47" s="138"/>
      <c r="W47" s="138"/>
      <c r="X47" s="138"/>
      <c r="Y47" s="138"/>
      <c r="Z47" s="138"/>
    </row>
    <row r="48" spans="1:26" ht="14.25" customHeight="1">
      <c r="A48" s="845" t="s">
        <v>936</v>
      </c>
      <c r="B48" s="845" t="s">
        <v>707</v>
      </c>
      <c r="C48" s="845" t="s">
        <v>263</v>
      </c>
      <c r="D48" s="845" t="s">
        <v>658</v>
      </c>
      <c r="E48" s="847">
        <v>32700</v>
      </c>
      <c r="F48" s="847">
        <v>-34423.199999999997</v>
      </c>
      <c r="G48" s="845" t="s">
        <v>937</v>
      </c>
      <c r="H48" s="849">
        <v>25</v>
      </c>
      <c r="I48" s="138"/>
      <c r="J48" s="138"/>
      <c r="K48" s="138"/>
      <c r="L48" s="138"/>
      <c r="M48" s="138"/>
      <c r="N48" s="138"/>
      <c r="O48" s="138"/>
      <c r="P48" s="138"/>
      <c r="Q48" s="138"/>
      <c r="R48" s="138"/>
      <c r="S48" s="138"/>
      <c r="T48" s="138"/>
      <c r="U48" s="138"/>
      <c r="V48" s="138"/>
      <c r="W48" s="138"/>
      <c r="X48" s="138"/>
      <c r="Y48" s="138"/>
      <c r="Z48" s="138"/>
    </row>
    <row r="49" spans="1:26" ht="14.25" customHeight="1">
      <c r="A49" s="845" t="s">
        <v>938</v>
      </c>
      <c r="B49" s="845" t="s">
        <v>707</v>
      </c>
      <c r="C49" s="845" t="s">
        <v>263</v>
      </c>
      <c r="D49" s="845" t="s">
        <v>658</v>
      </c>
      <c r="E49" s="847">
        <v>35661.949999999997</v>
      </c>
      <c r="F49" s="843"/>
      <c r="G49" s="845" t="s">
        <v>939</v>
      </c>
      <c r="H49" s="849">
        <v>20</v>
      </c>
      <c r="I49" s="138"/>
      <c r="J49" s="138"/>
      <c r="K49" s="138"/>
      <c r="L49" s="138"/>
      <c r="M49" s="138"/>
      <c r="N49" s="138"/>
      <c r="O49" s="138"/>
      <c r="P49" s="138"/>
      <c r="Q49" s="138"/>
      <c r="R49" s="138"/>
      <c r="S49" s="138"/>
      <c r="T49" s="138"/>
      <c r="U49" s="138"/>
      <c r="V49" s="138"/>
      <c r="W49" s="138"/>
      <c r="X49" s="138"/>
      <c r="Y49" s="138"/>
      <c r="Z49" s="138"/>
    </row>
    <row r="50" spans="1:26" ht="14.25" customHeight="1">
      <c r="A50" s="845" t="s">
        <v>940</v>
      </c>
      <c r="B50" s="845" t="s">
        <v>707</v>
      </c>
      <c r="C50" s="845" t="s">
        <v>263</v>
      </c>
      <c r="D50" s="845" t="s">
        <v>256</v>
      </c>
      <c r="E50" s="847">
        <v>44107</v>
      </c>
      <c r="F50" s="847">
        <v>-46474.05</v>
      </c>
      <c r="G50" s="845" t="s">
        <v>941</v>
      </c>
      <c r="H50" s="849">
        <v>20</v>
      </c>
      <c r="I50" s="138"/>
      <c r="J50" s="138"/>
      <c r="K50" s="138"/>
      <c r="L50" s="138"/>
      <c r="M50" s="138"/>
      <c r="N50" s="138"/>
      <c r="O50" s="138"/>
      <c r="P50" s="138"/>
      <c r="Q50" s="138"/>
      <c r="R50" s="138"/>
      <c r="S50" s="138"/>
      <c r="T50" s="138"/>
      <c r="U50" s="138"/>
      <c r="V50" s="138"/>
      <c r="W50" s="138"/>
      <c r="X50" s="138"/>
      <c r="Y50" s="138"/>
      <c r="Z50" s="138"/>
    </row>
    <row r="51" spans="1:26" ht="14.25" customHeight="1">
      <c r="A51" s="845" t="s">
        <v>942</v>
      </c>
      <c r="B51" s="845" t="s">
        <v>707</v>
      </c>
      <c r="C51" s="845" t="s">
        <v>263</v>
      </c>
      <c r="D51" s="845" t="s">
        <v>658</v>
      </c>
      <c r="E51" s="847">
        <v>37441.5</v>
      </c>
      <c r="F51" s="843"/>
      <c r="G51" s="845" t="s">
        <v>943</v>
      </c>
      <c r="H51" s="849">
        <v>16</v>
      </c>
      <c r="I51" s="138"/>
      <c r="J51" s="138"/>
      <c r="K51" s="138"/>
      <c r="L51" s="138"/>
      <c r="M51" s="138"/>
      <c r="N51" s="138"/>
      <c r="O51" s="138"/>
      <c r="P51" s="138"/>
      <c r="Q51" s="138"/>
      <c r="R51" s="138"/>
      <c r="S51" s="138"/>
      <c r="T51" s="138"/>
      <c r="U51" s="138"/>
      <c r="V51" s="138"/>
      <c r="W51" s="138"/>
      <c r="X51" s="138"/>
      <c r="Y51" s="138"/>
      <c r="Z51" s="138"/>
    </row>
    <row r="52" spans="1:26" ht="14.25" customHeight="1">
      <c r="A52" s="845" t="s">
        <v>944</v>
      </c>
      <c r="B52" s="845" t="s">
        <v>707</v>
      </c>
      <c r="C52" s="845" t="s">
        <v>263</v>
      </c>
      <c r="D52" s="845" t="s">
        <v>275</v>
      </c>
      <c r="E52" s="847">
        <v>38207</v>
      </c>
      <c r="F52" s="847">
        <v>-40179.300000000003</v>
      </c>
      <c r="G52" s="845" t="s">
        <v>945</v>
      </c>
      <c r="H52" s="849">
        <v>13</v>
      </c>
      <c r="I52" s="138"/>
      <c r="J52" s="138"/>
      <c r="K52" s="138"/>
      <c r="L52" s="138"/>
      <c r="M52" s="138"/>
      <c r="N52" s="138"/>
      <c r="O52" s="138"/>
      <c r="P52" s="138"/>
      <c r="Q52" s="138"/>
      <c r="R52" s="138"/>
      <c r="S52" s="138"/>
      <c r="T52" s="138"/>
      <c r="U52" s="138"/>
      <c r="V52" s="138"/>
      <c r="W52" s="138"/>
      <c r="X52" s="138"/>
      <c r="Y52" s="138"/>
      <c r="Z52" s="138"/>
    </row>
    <row r="53" spans="1:26" ht="14.25" customHeight="1">
      <c r="A53" s="845" t="s">
        <v>946</v>
      </c>
      <c r="B53" s="845" t="s">
        <v>707</v>
      </c>
      <c r="C53" s="845" t="s">
        <v>263</v>
      </c>
      <c r="D53" s="845" t="s">
        <v>658</v>
      </c>
      <c r="E53" s="847">
        <v>37773</v>
      </c>
      <c r="F53" s="847">
        <v>-39749.85</v>
      </c>
      <c r="G53" s="845" t="s">
        <v>947</v>
      </c>
      <c r="H53" s="849">
        <v>13</v>
      </c>
      <c r="I53" s="138"/>
      <c r="J53" s="138"/>
      <c r="K53" s="138"/>
      <c r="L53" s="138"/>
      <c r="M53" s="138"/>
      <c r="N53" s="138"/>
      <c r="O53" s="138"/>
      <c r="P53" s="138"/>
      <c r="Q53" s="138"/>
      <c r="R53" s="138"/>
      <c r="S53" s="138"/>
      <c r="T53" s="138"/>
      <c r="U53" s="138"/>
      <c r="V53" s="138"/>
      <c r="W53" s="138"/>
      <c r="X53" s="138"/>
      <c r="Y53" s="138"/>
      <c r="Z53" s="138"/>
    </row>
    <row r="54" spans="1:26" ht="14.25" customHeight="1">
      <c r="A54" s="845" t="s">
        <v>948</v>
      </c>
      <c r="B54" s="845" t="s">
        <v>707</v>
      </c>
      <c r="C54" s="845" t="s">
        <v>263</v>
      </c>
      <c r="D54" s="845" t="s">
        <v>658</v>
      </c>
      <c r="E54" s="847">
        <v>37109</v>
      </c>
      <c r="F54" s="847">
        <v>-39552.449999999997</v>
      </c>
      <c r="G54" s="845" t="s">
        <v>949</v>
      </c>
      <c r="H54" s="849">
        <v>13</v>
      </c>
      <c r="I54" s="138"/>
      <c r="J54" s="138"/>
      <c r="K54" s="138"/>
      <c r="L54" s="138"/>
      <c r="M54" s="138"/>
      <c r="N54" s="138"/>
      <c r="O54" s="138"/>
      <c r="P54" s="138"/>
      <c r="Q54" s="138"/>
      <c r="R54" s="138"/>
      <c r="S54" s="138"/>
      <c r="T54" s="138"/>
      <c r="U54" s="138"/>
      <c r="V54" s="138"/>
      <c r="W54" s="138"/>
      <c r="X54" s="138"/>
      <c r="Y54" s="138"/>
      <c r="Z54" s="138"/>
    </row>
    <row r="55" spans="1:26" ht="14.25" customHeight="1">
      <c r="A55" s="845" t="s">
        <v>950</v>
      </c>
      <c r="B55" s="845" t="s">
        <v>707</v>
      </c>
      <c r="C55" s="845" t="s">
        <v>263</v>
      </c>
      <c r="D55" s="845" t="s">
        <v>658</v>
      </c>
      <c r="E55" s="847">
        <v>34270</v>
      </c>
      <c r="F55" s="847">
        <v>-36066.449999999997</v>
      </c>
      <c r="G55" s="845" t="s">
        <v>951</v>
      </c>
      <c r="H55" s="849">
        <v>13</v>
      </c>
      <c r="I55" s="138"/>
      <c r="J55" s="138"/>
      <c r="K55" s="138"/>
      <c r="L55" s="138"/>
      <c r="M55" s="138"/>
      <c r="N55" s="138"/>
      <c r="O55" s="138"/>
      <c r="P55" s="138"/>
      <c r="Q55" s="138"/>
      <c r="R55" s="138"/>
      <c r="S55" s="138"/>
      <c r="T55" s="138"/>
      <c r="U55" s="138"/>
      <c r="V55" s="138"/>
      <c r="W55" s="138"/>
      <c r="X55" s="138"/>
      <c r="Y55" s="138"/>
      <c r="Z55" s="138"/>
    </row>
    <row r="56" spans="1:26" ht="14.25" customHeight="1">
      <c r="A56" s="845" t="s">
        <v>952</v>
      </c>
      <c r="B56" s="845" t="s">
        <v>707</v>
      </c>
      <c r="C56" s="845" t="s">
        <v>263</v>
      </c>
      <c r="D56" s="845" t="s">
        <v>275</v>
      </c>
      <c r="E56" s="847">
        <v>39384</v>
      </c>
      <c r="F56" s="847">
        <v>-41836.199999999997</v>
      </c>
      <c r="G56" s="845" t="s">
        <v>953</v>
      </c>
      <c r="H56" s="849">
        <v>12</v>
      </c>
      <c r="I56" s="138"/>
      <c r="J56" s="138"/>
      <c r="K56" s="138"/>
      <c r="L56" s="138"/>
      <c r="M56" s="138"/>
      <c r="N56" s="138"/>
      <c r="O56" s="138"/>
      <c r="P56" s="138"/>
      <c r="Q56" s="138"/>
      <c r="R56" s="138"/>
      <c r="S56" s="138"/>
      <c r="T56" s="138"/>
      <c r="U56" s="138"/>
      <c r="V56" s="138"/>
      <c r="W56" s="138"/>
      <c r="X56" s="138"/>
      <c r="Y56" s="138"/>
      <c r="Z56" s="138"/>
    </row>
    <row r="57" spans="1:26" ht="14.25" customHeight="1">
      <c r="A57" s="845" t="s">
        <v>954</v>
      </c>
      <c r="B57" s="845" t="s">
        <v>707</v>
      </c>
      <c r="C57" s="845" t="s">
        <v>263</v>
      </c>
      <c r="D57" s="845" t="s">
        <v>837</v>
      </c>
      <c r="E57" s="847">
        <v>49697</v>
      </c>
      <c r="F57" s="847">
        <v>-52243.8</v>
      </c>
      <c r="G57" s="845" t="s">
        <v>955</v>
      </c>
      <c r="H57" s="849">
        <v>12</v>
      </c>
      <c r="I57" s="138"/>
      <c r="J57" s="138"/>
      <c r="K57" s="138"/>
      <c r="L57" s="138"/>
      <c r="M57" s="138"/>
      <c r="N57" s="138"/>
      <c r="O57" s="138"/>
      <c r="P57" s="138"/>
      <c r="Q57" s="138"/>
      <c r="R57" s="138"/>
      <c r="S57" s="138"/>
      <c r="T57" s="138"/>
      <c r="U57" s="138"/>
      <c r="V57" s="138"/>
      <c r="W57" s="138"/>
      <c r="X57" s="138"/>
      <c r="Y57" s="138"/>
      <c r="Z57" s="138"/>
    </row>
    <row r="58" spans="1:26" ht="14.25" customHeight="1">
      <c r="A58" s="845" t="s">
        <v>956</v>
      </c>
      <c r="B58" s="845" t="s">
        <v>707</v>
      </c>
      <c r="C58" s="845" t="s">
        <v>263</v>
      </c>
      <c r="D58" s="845" t="s">
        <v>837</v>
      </c>
      <c r="E58" s="847">
        <v>49697</v>
      </c>
      <c r="F58" s="847">
        <v>-52243.8</v>
      </c>
      <c r="G58" s="845" t="s">
        <v>957</v>
      </c>
      <c r="H58" s="849">
        <v>12</v>
      </c>
      <c r="I58" s="138"/>
      <c r="J58" s="138"/>
      <c r="K58" s="138"/>
      <c r="L58" s="138"/>
      <c r="M58" s="138"/>
      <c r="N58" s="138"/>
      <c r="O58" s="138"/>
      <c r="P58" s="138"/>
      <c r="Q58" s="138"/>
      <c r="R58" s="138"/>
      <c r="S58" s="138"/>
      <c r="T58" s="138"/>
      <c r="U58" s="138"/>
      <c r="V58" s="138"/>
      <c r="W58" s="138"/>
      <c r="X58" s="138"/>
      <c r="Y58" s="138"/>
      <c r="Z58" s="138"/>
    </row>
    <row r="59" spans="1:26" ht="14.25" customHeight="1">
      <c r="A59" s="845" t="s">
        <v>958</v>
      </c>
      <c r="B59" s="845" t="s">
        <v>707</v>
      </c>
      <c r="C59" s="845" t="s">
        <v>263</v>
      </c>
      <c r="D59" s="845" t="s">
        <v>658</v>
      </c>
      <c r="E59" s="847">
        <v>35568</v>
      </c>
      <c r="F59" s="847">
        <v>-37434.6</v>
      </c>
      <c r="G59" s="845" t="s">
        <v>959</v>
      </c>
      <c r="H59" s="849">
        <v>12</v>
      </c>
      <c r="I59" s="138"/>
      <c r="J59" s="138"/>
      <c r="K59" s="138"/>
      <c r="L59" s="138"/>
      <c r="M59" s="138"/>
      <c r="N59" s="138"/>
      <c r="O59" s="138"/>
      <c r="P59" s="138"/>
      <c r="Q59" s="138"/>
      <c r="R59" s="138"/>
      <c r="S59" s="138"/>
      <c r="T59" s="138"/>
      <c r="U59" s="138"/>
      <c r="V59" s="138"/>
      <c r="W59" s="138"/>
      <c r="X59" s="138"/>
      <c r="Y59" s="138"/>
      <c r="Z59" s="138"/>
    </row>
    <row r="60" spans="1:26" ht="14.25" customHeight="1">
      <c r="A60" s="845" t="s">
        <v>960</v>
      </c>
      <c r="B60" s="845" t="s">
        <v>707</v>
      </c>
      <c r="C60" s="845" t="s">
        <v>263</v>
      </c>
      <c r="D60" s="845" t="s">
        <v>658</v>
      </c>
      <c r="E60" s="847">
        <v>34265</v>
      </c>
      <c r="F60" s="847">
        <v>-36066.449999999997</v>
      </c>
      <c r="G60" s="845" t="s">
        <v>961</v>
      </c>
      <c r="H60" s="849">
        <v>12</v>
      </c>
      <c r="I60" s="138"/>
      <c r="J60" s="138"/>
      <c r="K60" s="138"/>
      <c r="L60" s="138"/>
      <c r="M60" s="138"/>
      <c r="N60" s="138"/>
      <c r="O60" s="138"/>
      <c r="P60" s="138"/>
      <c r="Q60" s="138"/>
      <c r="R60" s="138"/>
      <c r="S60" s="138"/>
      <c r="T60" s="138"/>
      <c r="U60" s="138"/>
      <c r="V60" s="138"/>
      <c r="W60" s="138"/>
      <c r="X60" s="138"/>
      <c r="Y60" s="138"/>
      <c r="Z60" s="138"/>
    </row>
    <row r="61" spans="1:26" ht="14.25" customHeight="1">
      <c r="A61" s="845" t="s">
        <v>962</v>
      </c>
      <c r="B61" s="845" t="s">
        <v>707</v>
      </c>
      <c r="C61" s="845" t="s">
        <v>263</v>
      </c>
      <c r="D61" s="845" t="s">
        <v>658</v>
      </c>
      <c r="E61" s="847">
        <v>28211</v>
      </c>
      <c r="F61" s="843"/>
      <c r="G61" s="845" t="s">
        <v>963</v>
      </c>
      <c r="H61" s="849">
        <v>12</v>
      </c>
      <c r="I61" s="138"/>
      <c r="J61" s="138"/>
      <c r="K61" s="138"/>
      <c r="L61" s="138"/>
      <c r="M61" s="138"/>
      <c r="N61" s="138"/>
      <c r="O61" s="138"/>
      <c r="P61" s="138"/>
      <c r="Q61" s="138"/>
      <c r="R61" s="138"/>
      <c r="S61" s="138"/>
      <c r="T61" s="138"/>
      <c r="U61" s="138"/>
      <c r="V61" s="138"/>
      <c r="W61" s="138"/>
      <c r="X61" s="138"/>
      <c r="Y61" s="138"/>
      <c r="Z61" s="138"/>
    </row>
    <row r="62" spans="1:26" ht="14.25" customHeight="1">
      <c r="A62" s="845" t="s">
        <v>964</v>
      </c>
      <c r="B62" s="845" t="s">
        <v>707</v>
      </c>
      <c r="C62" s="845" t="s">
        <v>263</v>
      </c>
      <c r="D62" s="845" t="s">
        <v>256</v>
      </c>
      <c r="E62" s="847">
        <v>47482.92</v>
      </c>
      <c r="F62" s="847">
        <v>-47526.15</v>
      </c>
      <c r="G62" s="845" t="s">
        <v>965</v>
      </c>
      <c r="H62" s="849">
        <v>12</v>
      </c>
      <c r="I62" s="138"/>
      <c r="J62" s="138"/>
      <c r="K62" s="138"/>
      <c r="L62" s="138"/>
      <c r="M62" s="138"/>
      <c r="N62" s="138"/>
      <c r="O62" s="138"/>
      <c r="P62" s="138"/>
      <c r="Q62" s="138"/>
      <c r="R62" s="138"/>
      <c r="S62" s="138"/>
      <c r="T62" s="138"/>
      <c r="U62" s="138"/>
      <c r="V62" s="138"/>
      <c r="W62" s="138"/>
      <c r="X62" s="138"/>
      <c r="Y62" s="138"/>
      <c r="Z62" s="138"/>
    </row>
    <row r="63" spans="1:26" ht="14.25" customHeight="1">
      <c r="A63" s="845" t="s">
        <v>966</v>
      </c>
      <c r="B63" s="845" t="s">
        <v>707</v>
      </c>
      <c r="C63" s="845" t="s">
        <v>263</v>
      </c>
      <c r="D63" s="845" t="s">
        <v>256</v>
      </c>
      <c r="E63" s="847">
        <v>40734</v>
      </c>
      <c r="F63" s="847">
        <v>-43358.7</v>
      </c>
      <c r="G63" s="845" t="s">
        <v>967</v>
      </c>
      <c r="H63" s="849">
        <v>9</v>
      </c>
      <c r="I63" s="138"/>
      <c r="J63" s="138"/>
      <c r="K63" s="138"/>
      <c r="L63" s="138"/>
      <c r="M63" s="138"/>
      <c r="N63" s="138"/>
      <c r="O63" s="138"/>
      <c r="P63" s="138"/>
      <c r="Q63" s="138"/>
      <c r="R63" s="138"/>
      <c r="S63" s="138"/>
      <c r="T63" s="138"/>
      <c r="U63" s="138"/>
      <c r="V63" s="138"/>
      <c r="W63" s="138"/>
      <c r="X63" s="138"/>
      <c r="Y63" s="138"/>
      <c r="Z63" s="138"/>
    </row>
    <row r="64" spans="1:26" ht="14.25" customHeight="1">
      <c r="A64" s="845" t="s">
        <v>968</v>
      </c>
      <c r="B64" s="845" t="s">
        <v>707</v>
      </c>
      <c r="C64" s="845" t="s">
        <v>263</v>
      </c>
      <c r="D64" s="845" t="s">
        <v>275</v>
      </c>
      <c r="E64" s="847">
        <v>37806</v>
      </c>
      <c r="F64" s="847">
        <v>-40179.300000000003</v>
      </c>
      <c r="G64" s="845" t="s">
        <v>969</v>
      </c>
      <c r="H64" s="849">
        <v>3</v>
      </c>
      <c r="I64" s="138"/>
      <c r="J64" s="138"/>
      <c r="K64" s="138"/>
      <c r="L64" s="138"/>
      <c r="M64" s="138"/>
      <c r="N64" s="138"/>
      <c r="O64" s="138"/>
      <c r="P64" s="138"/>
      <c r="Q64" s="138"/>
      <c r="R64" s="138"/>
      <c r="S64" s="138"/>
      <c r="T64" s="138"/>
      <c r="U64" s="138"/>
      <c r="V64" s="138"/>
      <c r="W64" s="138"/>
      <c r="X64" s="138"/>
      <c r="Y64" s="138"/>
      <c r="Z64" s="138"/>
    </row>
    <row r="65" spans="1:26" ht="14.25" customHeight="1">
      <c r="A65" s="845" t="s">
        <v>970</v>
      </c>
      <c r="B65" s="845" t="s">
        <v>707</v>
      </c>
      <c r="C65" s="845" t="s">
        <v>263</v>
      </c>
      <c r="D65" s="845" t="s">
        <v>256</v>
      </c>
      <c r="E65" s="847">
        <v>44886</v>
      </c>
      <c r="F65" s="847">
        <v>-47718.3</v>
      </c>
      <c r="G65" s="845" t="s">
        <v>971</v>
      </c>
      <c r="H65" s="849">
        <v>3</v>
      </c>
      <c r="I65" s="138"/>
      <c r="J65" s="138"/>
      <c r="K65" s="138"/>
      <c r="L65" s="138"/>
      <c r="M65" s="138"/>
      <c r="N65" s="138"/>
      <c r="O65" s="138"/>
      <c r="P65" s="138"/>
      <c r="Q65" s="138"/>
      <c r="R65" s="138"/>
      <c r="S65" s="138"/>
      <c r="T65" s="138"/>
      <c r="U65" s="138"/>
      <c r="V65" s="138"/>
      <c r="W65" s="138"/>
      <c r="X65" s="138"/>
      <c r="Y65" s="138"/>
      <c r="Z65" s="138"/>
    </row>
    <row r="66" spans="1:26" ht="14.25" customHeight="1">
      <c r="A66" s="845" t="s">
        <v>972</v>
      </c>
      <c r="B66" s="845" t="s">
        <v>707</v>
      </c>
      <c r="C66" s="845" t="s">
        <v>263</v>
      </c>
      <c r="D66" s="845" t="s">
        <v>256</v>
      </c>
      <c r="E66" s="847">
        <v>44154</v>
      </c>
      <c r="F66" s="847">
        <v>-46949.7</v>
      </c>
      <c r="G66" s="845" t="s">
        <v>973</v>
      </c>
      <c r="H66" s="849">
        <v>3</v>
      </c>
      <c r="I66" s="138"/>
      <c r="J66" s="138"/>
      <c r="K66" s="138"/>
      <c r="L66" s="138"/>
      <c r="M66" s="138"/>
      <c r="N66" s="138"/>
      <c r="O66" s="138"/>
      <c r="P66" s="138"/>
      <c r="Q66" s="138"/>
      <c r="R66" s="138"/>
      <c r="S66" s="138"/>
      <c r="T66" s="138"/>
      <c r="U66" s="138"/>
      <c r="V66" s="138"/>
      <c r="W66" s="138"/>
      <c r="X66" s="138"/>
      <c r="Y66" s="138"/>
      <c r="Z66" s="138"/>
    </row>
    <row r="67" spans="1:26" ht="14.25" customHeight="1">
      <c r="A67" s="845" t="s">
        <v>974</v>
      </c>
      <c r="B67" s="845" t="s">
        <v>707</v>
      </c>
      <c r="C67" s="845" t="s">
        <v>263</v>
      </c>
      <c r="D67" s="845" t="s">
        <v>256</v>
      </c>
      <c r="E67" s="847">
        <v>44154</v>
      </c>
      <c r="F67" s="847">
        <v>-46949.7</v>
      </c>
      <c r="G67" s="845" t="s">
        <v>975</v>
      </c>
      <c r="H67" s="849">
        <v>3</v>
      </c>
      <c r="I67" s="138"/>
      <c r="J67" s="138"/>
      <c r="K67" s="138"/>
      <c r="L67" s="138"/>
      <c r="M67" s="138"/>
      <c r="N67" s="138"/>
      <c r="O67" s="138"/>
      <c r="P67" s="138"/>
      <c r="Q67" s="138"/>
      <c r="R67" s="138"/>
      <c r="S67" s="138"/>
      <c r="T67" s="138"/>
      <c r="U67" s="138"/>
      <c r="V67" s="138"/>
      <c r="W67" s="138"/>
      <c r="X67" s="138"/>
      <c r="Y67" s="138"/>
      <c r="Z67" s="138"/>
    </row>
    <row r="68" spans="1:26" ht="14.25" customHeight="1">
      <c r="A68" s="845" t="s">
        <v>976</v>
      </c>
      <c r="B68" s="845" t="s">
        <v>707</v>
      </c>
      <c r="C68" s="845" t="s">
        <v>263</v>
      </c>
      <c r="D68" s="845" t="s">
        <v>256</v>
      </c>
      <c r="E68" s="847">
        <v>43701</v>
      </c>
      <c r="F68" s="847">
        <v>-46474.05</v>
      </c>
      <c r="G68" s="845" t="s">
        <v>977</v>
      </c>
      <c r="H68" s="849">
        <v>3</v>
      </c>
      <c r="I68" s="138"/>
      <c r="J68" s="138"/>
      <c r="K68" s="138"/>
      <c r="L68" s="138"/>
      <c r="M68" s="138"/>
      <c r="N68" s="138"/>
      <c r="O68" s="138"/>
      <c r="P68" s="138"/>
      <c r="Q68" s="138"/>
      <c r="R68" s="138"/>
      <c r="S68" s="138"/>
      <c r="T68" s="138"/>
      <c r="U68" s="138"/>
      <c r="V68" s="138"/>
      <c r="W68" s="138"/>
      <c r="X68" s="138"/>
      <c r="Y68" s="138"/>
      <c r="Z68" s="138"/>
    </row>
    <row r="69" spans="1:26" ht="14.25" customHeight="1">
      <c r="A69" s="845" t="s">
        <v>978</v>
      </c>
      <c r="B69" s="845" t="s">
        <v>707</v>
      </c>
      <c r="C69" s="845" t="s">
        <v>263</v>
      </c>
      <c r="D69" s="845" t="s">
        <v>256</v>
      </c>
      <c r="E69" s="847">
        <v>43701</v>
      </c>
      <c r="F69" s="847">
        <v>-46474.05</v>
      </c>
      <c r="G69" s="845" t="s">
        <v>979</v>
      </c>
      <c r="H69" s="849">
        <v>3</v>
      </c>
      <c r="I69" s="138"/>
      <c r="J69" s="138"/>
      <c r="K69" s="138"/>
      <c r="L69" s="138"/>
      <c r="M69" s="138"/>
      <c r="N69" s="138"/>
      <c r="O69" s="138"/>
      <c r="P69" s="138"/>
      <c r="Q69" s="138"/>
      <c r="R69" s="138"/>
      <c r="S69" s="138"/>
      <c r="T69" s="138"/>
      <c r="U69" s="138"/>
      <c r="V69" s="138"/>
      <c r="W69" s="138"/>
      <c r="X69" s="138"/>
      <c r="Y69" s="138"/>
      <c r="Z69" s="138"/>
    </row>
    <row r="70" spans="1:26" ht="14.25" customHeight="1">
      <c r="A70" s="845" t="s">
        <v>980</v>
      </c>
      <c r="B70" s="845" t="s">
        <v>707</v>
      </c>
      <c r="C70" s="845" t="s">
        <v>263</v>
      </c>
      <c r="D70" s="845" t="s">
        <v>256</v>
      </c>
      <c r="E70" s="847">
        <v>40734</v>
      </c>
      <c r="F70" s="847">
        <v>-43358.7</v>
      </c>
      <c r="G70" s="845" t="s">
        <v>981</v>
      </c>
      <c r="H70" s="849">
        <v>3</v>
      </c>
      <c r="I70" s="138"/>
      <c r="J70" s="138"/>
      <c r="K70" s="138"/>
      <c r="L70" s="138"/>
      <c r="M70" s="138"/>
      <c r="N70" s="138"/>
      <c r="O70" s="138"/>
      <c r="P70" s="138"/>
      <c r="Q70" s="138"/>
      <c r="R70" s="138"/>
      <c r="S70" s="138"/>
      <c r="T70" s="138"/>
      <c r="U70" s="138"/>
      <c r="V70" s="138"/>
      <c r="W70" s="138"/>
      <c r="X70" s="138"/>
      <c r="Y70" s="138"/>
      <c r="Z70" s="138"/>
    </row>
    <row r="71" spans="1:26" ht="14.25" customHeight="1">
      <c r="A71" s="845" t="s">
        <v>982</v>
      </c>
      <c r="B71" s="845" t="s">
        <v>707</v>
      </c>
      <c r="C71" s="845" t="s">
        <v>263</v>
      </c>
      <c r="D71" s="845" t="s">
        <v>256</v>
      </c>
      <c r="E71" s="847">
        <v>39069</v>
      </c>
      <c r="F71" s="847">
        <v>-41610.449999999997</v>
      </c>
      <c r="G71" s="845" t="s">
        <v>983</v>
      </c>
      <c r="H71" s="849">
        <v>3</v>
      </c>
      <c r="I71" s="138"/>
      <c r="J71" s="138"/>
      <c r="K71" s="138"/>
      <c r="L71" s="138"/>
      <c r="M71" s="138"/>
      <c r="N71" s="138"/>
      <c r="O71" s="138"/>
      <c r="P71" s="138"/>
      <c r="Q71" s="138"/>
      <c r="R71" s="138"/>
      <c r="S71" s="138"/>
      <c r="T71" s="138"/>
      <c r="U71" s="138"/>
      <c r="V71" s="138"/>
      <c r="W71" s="138"/>
      <c r="X71" s="138"/>
      <c r="Y71" s="138"/>
      <c r="Z71" s="138"/>
    </row>
    <row r="72" spans="1:26" ht="14.25" customHeight="1">
      <c r="A72" s="845" t="s">
        <v>984</v>
      </c>
      <c r="B72" s="845" t="s">
        <v>707</v>
      </c>
      <c r="C72" s="845" t="s">
        <v>263</v>
      </c>
      <c r="D72" s="845" t="s">
        <v>256</v>
      </c>
      <c r="E72" s="847">
        <v>44154</v>
      </c>
      <c r="F72" s="847">
        <v>-46949.7</v>
      </c>
      <c r="G72" s="845" t="s">
        <v>985</v>
      </c>
      <c r="H72" s="849">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65" workbookViewId="0">
      <selection activeCell="B86" sqref="B86:D89"/>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053" t="str">
        <f>Parametres!$B$1&amp;" "&amp;"2 pager"&amp;" "&amp;Parametres!$B$3&amp;" "&amp;Parametres!$B$4</f>
        <v>Hyundai 2 pager Mai 2025</v>
      </c>
      <c r="C1" s="1054"/>
      <c r="D1" s="1054"/>
      <c r="E1" s="1054"/>
      <c r="F1" s="1054"/>
      <c r="G1" s="1054"/>
      <c r="H1" s="1054"/>
      <c r="I1" s="1054"/>
      <c r="J1" s="1054"/>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280</v>
      </c>
      <c r="C3" s="155" t="s">
        <v>281</v>
      </c>
      <c r="D3" s="156" t="s">
        <v>282</v>
      </c>
      <c r="E3" s="157">
        <v>2023</v>
      </c>
      <c r="F3" s="156" t="s">
        <v>283</v>
      </c>
      <c r="G3" s="158" t="s">
        <v>1097</v>
      </c>
      <c r="H3" s="156" t="s">
        <v>284</v>
      </c>
      <c r="I3" s="158" t="s">
        <v>1098</v>
      </c>
      <c r="J3" s="154" t="s">
        <v>285</v>
      </c>
      <c r="K3" s="3"/>
      <c r="L3" s="3"/>
      <c r="M3" s="3"/>
      <c r="N3" s="3"/>
      <c r="O3" s="3"/>
      <c r="P3" s="3"/>
      <c r="Q3" s="3"/>
      <c r="R3" s="3"/>
      <c r="S3" s="3"/>
      <c r="T3" s="3"/>
      <c r="U3" s="3"/>
      <c r="V3" s="3"/>
      <c r="W3" s="3"/>
    </row>
    <row r="4" spans="1:23" ht="14.45" customHeight="1">
      <c r="A4" s="3"/>
      <c r="B4" s="159" t="s">
        <v>286</v>
      </c>
      <c r="C4" s="160">
        <f>+Print_Mois!$J$13+Print_Mois!$J$15</f>
        <v>98</v>
      </c>
      <c r="D4" s="160">
        <f>+Print_Mois!$D$13+Print_Mois!$D$15</f>
        <v>0</v>
      </c>
      <c r="E4" s="160">
        <f>+Print_Mois!$O$13+Print_Mois!$O$15</f>
        <v>0</v>
      </c>
      <c r="F4" s="161">
        <f t="shared" ref="F4:F15" si="0">+IFERROR($C4-D4,"")</f>
        <v>98</v>
      </c>
      <c r="G4" s="162">
        <f t="shared" ref="G4:G15" si="1">+IFERROR($C4-E4,"")</f>
        <v>98</v>
      </c>
      <c r="H4" s="163" t="str">
        <f t="shared" ref="H4:H15" si="2">+IFERROR(F4/ABS($D4),"")</f>
        <v/>
      </c>
      <c r="I4" s="164" t="str">
        <f t="shared" ref="I4:I15" si="3">+IFERROR(G4/ABS($E4),"")</f>
        <v/>
      </c>
      <c r="J4" s="1050" t="s">
        <v>1101</v>
      </c>
      <c r="K4" s="3"/>
      <c r="L4" s="3"/>
      <c r="M4" s="3"/>
      <c r="N4" s="3"/>
      <c r="O4" s="3"/>
      <c r="P4" s="3"/>
      <c r="Q4" s="3"/>
      <c r="R4" s="3"/>
      <c r="S4" s="3"/>
      <c r="T4" s="3"/>
      <c r="U4" s="3"/>
      <c r="V4" s="3"/>
      <c r="W4" s="3"/>
    </row>
    <row r="5" spans="1:23">
      <c r="A5" s="3"/>
      <c r="B5" s="165" t="s">
        <v>287</v>
      </c>
      <c r="C5" s="166">
        <f>+Print_Mois!$L$13+Print_Mois!$L$15</f>
        <v>210465.02999999988</v>
      </c>
      <c r="D5" s="166">
        <f>+Print_Mois!$F$13+Print_Mois!$F$15</f>
        <v>0</v>
      </c>
      <c r="E5" s="166">
        <f>+Print_Mois!$Q$13+Print_Mois!$Q$15</f>
        <v>0</v>
      </c>
      <c r="F5" s="167">
        <f t="shared" si="0"/>
        <v>210465.02999999988</v>
      </c>
      <c r="G5" s="168">
        <f t="shared" si="1"/>
        <v>210465.02999999988</v>
      </c>
      <c r="H5" s="170" t="str">
        <f t="shared" si="2"/>
        <v/>
      </c>
      <c r="I5" s="171" t="str">
        <f t="shared" si="3"/>
        <v/>
      </c>
      <c r="J5" s="1051"/>
      <c r="K5" s="3"/>
      <c r="L5" s="3"/>
      <c r="M5" s="3"/>
      <c r="N5" s="3"/>
      <c r="O5" s="3"/>
      <c r="P5" s="3"/>
      <c r="Q5" s="3"/>
      <c r="R5" s="3"/>
      <c r="S5" s="3"/>
      <c r="T5" s="3"/>
      <c r="U5" s="3"/>
      <c r="V5" s="3"/>
      <c r="W5" s="3"/>
    </row>
    <row r="6" spans="1:23">
      <c r="A6" s="3"/>
      <c r="B6" s="165" t="s">
        <v>288</v>
      </c>
      <c r="C6" s="166">
        <f t="shared" ref="C6:E6" si="4">+C5/C4</f>
        <v>2147.6023469387742</v>
      </c>
      <c r="D6" s="166" t="e">
        <f t="shared" si="4"/>
        <v>#DIV/0!</v>
      </c>
      <c r="E6" s="166" t="e">
        <f t="shared" si="4"/>
        <v>#DIV/0!</v>
      </c>
      <c r="F6" s="167" t="str">
        <f t="shared" si="0"/>
        <v/>
      </c>
      <c r="G6" s="168" t="str">
        <f t="shared" si="1"/>
        <v/>
      </c>
      <c r="H6" s="170" t="str">
        <f t="shared" si="2"/>
        <v/>
      </c>
      <c r="I6" s="171" t="str">
        <f t="shared" si="3"/>
        <v/>
      </c>
      <c r="J6" s="1051"/>
      <c r="K6" s="3"/>
      <c r="L6" s="3"/>
      <c r="M6" s="3"/>
      <c r="N6" s="3"/>
      <c r="O6" s="3"/>
      <c r="P6" s="3"/>
      <c r="Q6" s="3"/>
      <c r="R6" s="3"/>
      <c r="S6" s="3"/>
      <c r="T6" s="3"/>
      <c r="U6" s="3"/>
      <c r="V6" s="3"/>
      <c r="W6" s="3"/>
    </row>
    <row r="7" spans="1:23">
      <c r="A7" s="3"/>
      <c r="B7" s="165" t="s">
        <v>289</v>
      </c>
      <c r="C7" s="166">
        <f>+Print_Mois!$L$31</f>
        <v>84685.349999999977</v>
      </c>
      <c r="D7" s="166">
        <f>+Print_Mois!$F$31</f>
        <v>0</v>
      </c>
      <c r="E7" s="166">
        <f>+Print_Mois!$Q$31</f>
        <v>0</v>
      </c>
      <c r="F7" s="167">
        <f t="shared" si="0"/>
        <v>84685.349999999977</v>
      </c>
      <c r="G7" s="168">
        <f t="shared" si="1"/>
        <v>84685.349999999977</v>
      </c>
      <c r="H7" s="170" t="str">
        <f t="shared" si="2"/>
        <v/>
      </c>
      <c r="I7" s="171" t="str">
        <f t="shared" si="3"/>
        <v/>
      </c>
      <c r="J7" s="1051"/>
      <c r="K7" s="3"/>
      <c r="L7" s="3"/>
      <c r="M7" s="3"/>
      <c r="N7" s="3"/>
      <c r="O7" s="3"/>
      <c r="P7" s="3"/>
      <c r="Q7" s="3"/>
      <c r="R7" s="3"/>
      <c r="S7" s="3"/>
      <c r="T7" s="3"/>
      <c r="U7" s="3"/>
      <c r="V7" s="3"/>
      <c r="W7" s="3"/>
    </row>
    <row r="8" spans="1:23">
      <c r="A8" s="3"/>
      <c r="B8" s="165" t="s">
        <v>290</v>
      </c>
      <c r="C8" s="169">
        <f t="shared" ref="C8:E8" si="5">+C7/C5</f>
        <v>0.40237254616598311</v>
      </c>
      <c r="D8" s="169" t="e">
        <f t="shared" si="5"/>
        <v>#DIV/0!</v>
      </c>
      <c r="E8" s="169" t="e">
        <f t="shared" si="5"/>
        <v>#DIV/0!</v>
      </c>
      <c r="F8" s="172" t="str">
        <f t="shared" si="0"/>
        <v/>
      </c>
      <c r="G8" s="173" t="str">
        <f t="shared" si="1"/>
        <v/>
      </c>
      <c r="H8" s="170" t="str">
        <f t="shared" si="2"/>
        <v/>
      </c>
      <c r="I8" s="171" t="str">
        <f t="shared" si="3"/>
        <v/>
      </c>
      <c r="J8" s="1051"/>
      <c r="K8" s="3"/>
      <c r="L8" s="3"/>
      <c r="M8" s="3"/>
      <c r="N8" s="3"/>
      <c r="O8" s="3"/>
      <c r="P8" s="3"/>
      <c r="Q8" s="3"/>
      <c r="R8" s="3"/>
      <c r="S8" s="3"/>
      <c r="T8" s="3"/>
      <c r="U8" s="3"/>
      <c r="V8" s="3"/>
      <c r="W8" s="3"/>
    </row>
    <row r="9" spans="1:23">
      <c r="A9" s="3"/>
      <c r="B9" s="165" t="s">
        <v>291</v>
      </c>
      <c r="C9" s="166">
        <f>+Print_Mois!$L$24</f>
        <v>105462.94</v>
      </c>
      <c r="D9" s="166">
        <f>+Print_Mois!$F$24</f>
        <v>0</v>
      </c>
      <c r="E9" s="166">
        <f>+Print_Mois!$Q$24</f>
        <v>0</v>
      </c>
      <c r="F9" s="167">
        <f t="shared" si="0"/>
        <v>105462.94</v>
      </c>
      <c r="G9" s="168">
        <f t="shared" si="1"/>
        <v>105462.94</v>
      </c>
      <c r="H9" s="170" t="str">
        <f t="shared" si="2"/>
        <v/>
      </c>
      <c r="I9" s="171" t="str">
        <f t="shared" si="3"/>
        <v/>
      </c>
      <c r="J9" s="1051"/>
      <c r="K9" s="3"/>
      <c r="L9" s="3"/>
      <c r="M9" s="3"/>
      <c r="N9" s="3"/>
      <c r="O9" s="3"/>
      <c r="P9" s="3"/>
      <c r="Q9" s="3"/>
      <c r="R9" s="3"/>
      <c r="S9" s="3"/>
      <c r="T9" s="3"/>
      <c r="U9" s="3"/>
      <c r="V9" s="3"/>
      <c r="W9" s="3"/>
    </row>
    <row r="10" spans="1:23">
      <c r="A10" s="3"/>
      <c r="B10" s="165" t="s">
        <v>292</v>
      </c>
      <c r="C10" s="166">
        <f t="shared" ref="C10:E10" si="6">+C9/C4</f>
        <v>1076.1524489795918</v>
      </c>
      <c r="D10" s="166" t="e">
        <f t="shared" si="6"/>
        <v>#DIV/0!</v>
      </c>
      <c r="E10" s="166" t="e">
        <f t="shared" si="6"/>
        <v>#DIV/0!</v>
      </c>
      <c r="F10" s="167" t="str">
        <f t="shared" si="0"/>
        <v/>
      </c>
      <c r="G10" s="168" t="str">
        <f t="shared" si="1"/>
        <v/>
      </c>
      <c r="H10" s="170" t="str">
        <f t="shared" si="2"/>
        <v/>
      </c>
      <c r="I10" s="171" t="str">
        <f t="shared" si="3"/>
        <v/>
      </c>
      <c r="J10" s="1051"/>
      <c r="K10" s="3"/>
      <c r="L10" s="3"/>
      <c r="M10" s="3"/>
      <c r="N10" s="3"/>
      <c r="O10" s="3"/>
      <c r="P10" s="3"/>
      <c r="Q10" s="3"/>
      <c r="R10" s="3"/>
      <c r="S10" s="3"/>
      <c r="T10" s="3"/>
      <c r="U10" s="3"/>
      <c r="V10" s="3"/>
      <c r="W10" s="3"/>
    </row>
    <row r="11" spans="1:23">
      <c r="A11" s="3"/>
      <c r="B11" s="165" t="s">
        <v>293</v>
      </c>
      <c r="C11" s="166">
        <f>+Print_Mois!$L$32</f>
        <v>37508.680000000008</v>
      </c>
      <c r="D11" s="166">
        <f>+Print_Mois!$F$32</f>
        <v>0</v>
      </c>
      <c r="E11" s="166">
        <f>+Print_Mois!$Q$32</f>
        <v>0</v>
      </c>
      <c r="F11" s="167">
        <f t="shared" si="0"/>
        <v>37508.680000000008</v>
      </c>
      <c r="G11" s="168">
        <f t="shared" si="1"/>
        <v>37508.680000000008</v>
      </c>
      <c r="H11" s="170" t="str">
        <f t="shared" si="2"/>
        <v/>
      </c>
      <c r="I11" s="171" t="str">
        <f t="shared" si="3"/>
        <v/>
      </c>
      <c r="J11" s="1051"/>
      <c r="K11" s="3"/>
      <c r="L11" s="3"/>
      <c r="M11" s="3"/>
      <c r="N11" s="3"/>
      <c r="O11" s="3"/>
      <c r="P11" s="3"/>
      <c r="Q11" s="3"/>
      <c r="R11" s="3"/>
      <c r="S11" s="3"/>
      <c r="T11" s="3"/>
      <c r="U11" s="3"/>
      <c r="V11" s="3"/>
      <c r="W11" s="3"/>
    </row>
    <row r="12" spans="1:23">
      <c r="A12" s="3"/>
      <c r="B12" s="165" t="s">
        <v>294</v>
      </c>
      <c r="C12" s="169">
        <f t="shared" ref="C12:E12" si="7">+C11/C9</f>
        <v>0.35565744706149865</v>
      </c>
      <c r="D12" s="169" t="e">
        <f t="shared" si="7"/>
        <v>#DIV/0!</v>
      </c>
      <c r="E12" s="169" t="e">
        <f t="shared" si="7"/>
        <v>#DIV/0!</v>
      </c>
      <c r="F12" s="170" t="str">
        <f t="shared" si="0"/>
        <v/>
      </c>
      <c r="G12" s="174" t="str">
        <f t="shared" si="1"/>
        <v/>
      </c>
      <c r="H12" s="170" t="str">
        <f t="shared" si="2"/>
        <v/>
      </c>
      <c r="I12" s="171" t="str">
        <f t="shared" si="3"/>
        <v/>
      </c>
      <c r="J12" s="1051"/>
      <c r="K12" s="3"/>
      <c r="L12" s="3"/>
      <c r="M12" s="3"/>
      <c r="N12" s="3"/>
      <c r="O12" s="3"/>
      <c r="P12" s="3"/>
      <c r="Q12" s="3"/>
      <c r="R12" s="3"/>
      <c r="S12" s="3"/>
      <c r="T12" s="3"/>
      <c r="U12" s="3"/>
      <c r="V12" s="3"/>
      <c r="W12" s="3"/>
    </row>
    <row r="13" spans="1:23">
      <c r="A13" s="3"/>
      <c r="B13" s="165" t="s">
        <v>295</v>
      </c>
      <c r="C13" s="166">
        <f>+Print_Mois!$L$41-C7-C11</f>
        <v>65869.780000000013</v>
      </c>
      <c r="D13" s="166">
        <f>+Print_Mois!$F$41-D7-D11</f>
        <v>0</v>
      </c>
      <c r="E13" s="166">
        <f>+Print_Mois!$Q$41-E7-E11</f>
        <v>0</v>
      </c>
      <c r="F13" s="167">
        <f t="shared" si="0"/>
        <v>65869.780000000013</v>
      </c>
      <c r="G13" s="168">
        <f t="shared" si="1"/>
        <v>65869.780000000013</v>
      </c>
      <c r="H13" s="170" t="str">
        <f t="shared" si="2"/>
        <v/>
      </c>
      <c r="I13" s="171" t="str">
        <f t="shared" si="3"/>
        <v/>
      </c>
      <c r="J13" s="1051"/>
      <c r="K13" s="3"/>
      <c r="L13" s="3"/>
      <c r="M13" s="3"/>
      <c r="N13" s="3"/>
      <c r="O13" s="3"/>
      <c r="P13" s="3"/>
      <c r="Q13" s="3"/>
      <c r="R13" s="3"/>
      <c r="S13" s="3"/>
      <c r="T13" s="3"/>
      <c r="U13" s="3"/>
      <c r="V13" s="3"/>
      <c r="W13" s="3"/>
    </row>
    <row r="14" spans="1:23">
      <c r="A14" s="3"/>
      <c r="B14" s="165" t="s">
        <v>296</v>
      </c>
      <c r="C14" s="166">
        <f t="shared" ref="C14:E14" si="8">+C13/C4</f>
        <v>672.14061224489808</v>
      </c>
      <c r="D14" s="166" t="e">
        <f t="shared" si="8"/>
        <v>#DIV/0!</v>
      </c>
      <c r="E14" s="166" t="e">
        <f t="shared" si="8"/>
        <v>#DIV/0!</v>
      </c>
      <c r="F14" s="167" t="str">
        <f t="shared" si="0"/>
        <v/>
      </c>
      <c r="G14" s="168" t="str">
        <f t="shared" si="1"/>
        <v/>
      </c>
      <c r="H14" s="170" t="str">
        <f t="shared" si="2"/>
        <v/>
      </c>
      <c r="I14" s="171" t="str">
        <f t="shared" si="3"/>
        <v/>
      </c>
      <c r="J14" s="1051"/>
      <c r="K14" s="3"/>
      <c r="L14" s="3"/>
      <c r="M14" s="3"/>
      <c r="N14" s="3"/>
      <c r="O14" s="3"/>
      <c r="P14" s="3"/>
      <c r="Q14" s="3"/>
      <c r="R14" s="3"/>
      <c r="S14" s="3"/>
      <c r="T14" s="3"/>
      <c r="U14" s="3"/>
      <c r="V14" s="3"/>
      <c r="W14" s="3"/>
    </row>
    <row r="15" spans="1:23">
      <c r="A15" s="3"/>
      <c r="B15" s="165" t="s">
        <v>297</v>
      </c>
      <c r="C15" s="166">
        <f>+Print_Mois!$L$83</f>
        <v>113744</v>
      </c>
      <c r="D15" s="166">
        <f>+Print_Mois!$F$83</f>
        <v>0</v>
      </c>
      <c r="E15" s="166">
        <f>+Print_Mois!$Q$83</f>
        <v>0</v>
      </c>
      <c r="F15" s="167">
        <f t="shared" si="0"/>
        <v>113744</v>
      </c>
      <c r="G15" s="168">
        <f t="shared" si="1"/>
        <v>113744</v>
      </c>
      <c r="H15" s="170" t="str">
        <f t="shared" si="2"/>
        <v/>
      </c>
      <c r="I15" s="171" t="str">
        <f t="shared" si="3"/>
        <v/>
      </c>
      <c r="J15" s="1051"/>
      <c r="K15" s="3"/>
      <c r="L15" s="3"/>
      <c r="M15" s="3"/>
      <c r="N15" s="3"/>
      <c r="O15" s="3"/>
      <c r="P15" s="3"/>
      <c r="Q15" s="3"/>
      <c r="R15" s="3"/>
      <c r="S15" s="3"/>
      <c r="T15" s="3"/>
      <c r="U15" s="3"/>
      <c r="V15" s="3"/>
      <c r="W15" s="3"/>
    </row>
    <row r="16" spans="1:23" ht="15" hidden="1" customHeight="1">
      <c r="A16" s="3"/>
      <c r="B16" s="175" t="s">
        <v>298</v>
      </c>
      <c r="C16" s="176"/>
      <c r="D16" s="176"/>
      <c r="E16" s="176"/>
      <c r="F16" s="177"/>
      <c r="G16" s="178"/>
      <c r="H16" s="179"/>
      <c r="I16" s="180"/>
      <c r="J16" s="1051"/>
      <c r="K16" s="3"/>
      <c r="L16" s="3"/>
      <c r="M16" s="3"/>
      <c r="N16" s="3"/>
      <c r="O16" s="3"/>
      <c r="P16" s="3"/>
      <c r="Q16" s="3"/>
      <c r="R16" s="3"/>
      <c r="S16" s="3"/>
      <c r="T16" s="3"/>
      <c r="U16" s="3"/>
      <c r="V16" s="3"/>
      <c r="W16" s="3"/>
    </row>
    <row r="17" spans="1:23" ht="15" hidden="1" customHeight="1">
      <c r="A17" s="3"/>
      <c r="B17" s="181" t="s">
        <v>286</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051"/>
      <c r="K17" s="3"/>
      <c r="L17" s="3"/>
      <c r="M17" s="3"/>
      <c r="N17" s="3"/>
      <c r="O17" s="3"/>
      <c r="P17" s="3"/>
      <c r="Q17" s="3"/>
      <c r="R17" s="3"/>
      <c r="S17" s="3"/>
      <c r="T17" s="3"/>
      <c r="U17" s="3"/>
      <c r="V17" s="3"/>
      <c r="W17" s="3"/>
    </row>
    <row r="18" spans="1:23">
      <c r="A18" s="3"/>
      <c r="B18" s="183" t="s">
        <v>299</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052"/>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300</v>
      </c>
      <c r="C20" s="191" t="s">
        <v>281</v>
      </c>
      <c r="D20" s="191" t="s">
        <v>282</v>
      </c>
      <c r="E20" s="191">
        <f>$E$3</f>
        <v>2023</v>
      </c>
      <c r="F20" s="192" t="s">
        <v>283</v>
      </c>
      <c r="G20" s="193" t="str">
        <f>$G$3</f>
        <v>▲2023</v>
      </c>
      <c r="H20" s="192" t="s">
        <v>284</v>
      </c>
      <c r="I20" s="193" t="str">
        <f>$I$3</f>
        <v>% ▲ 2023</v>
      </c>
      <c r="J20" s="194" t="s">
        <v>285</v>
      </c>
      <c r="K20" s="3"/>
      <c r="L20" s="3"/>
      <c r="M20" s="3"/>
      <c r="N20" s="3"/>
      <c r="O20" s="3"/>
      <c r="P20" s="3"/>
      <c r="Q20" s="3"/>
      <c r="R20" s="3"/>
      <c r="S20" s="3"/>
      <c r="T20" s="3"/>
      <c r="U20" s="3"/>
      <c r="V20" s="3"/>
      <c r="W20" s="3"/>
    </row>
    <row r="21" spans="1:23" ht="15.75" customHeight="1">
      <c r="A21" s="3"/>
      <c r="B21" s="159" t="s">
        <v>286</v>
      </c>
      <c r="C21" s="160">
        <f>+Print_Mois!$J$97</f>
        <v>7</v>
      </c>
      <c r="D21" s="160">
        <f>+Print_Mois!$D$97</f>
        <v>0</v>
      </c>
      <c r="E21" s="160">
        <f>+Print_Mois!$O$97</f>
        <v>0</v>
      </c>
      <c r="F21" s="161">
        <f t="shared" ref="F21:F32" si="11">+IFERROR($C21-D21,"")</f>
        <v>7</v>
      </c>
      <c r="G21" s="162">
        <f t="shared" ref="G21:G32" si="12">+IFERROR($C21-E21,"")</f>
        <v>7</v>
      </c>
      <c r="H21" s="163" t="str">
        <f t="shared" ref="H21:H32" si="13">+IFERROR(F21/ABS($D21),"")</f>
        <v/>
      </c>
      <c r="I21" s="164" t="str">
        <f t="shared" ref="I21:I32" si="14">+IFERROR(G21/ABS($E21),"")</f>
        <v/>
      </c>
      <c r="J21" s="1050" t="s">
        <v>1102</v>
      </c>
      <c r="K21" s="3"/>
      <c r="L21" s="3"/>
      <c r="M21" s="3"/>
      <c r="N21" s="3"/>
      <c r="O21" s="3"/>
      <c r="P21" s="3"/>
      <c r="Q21" s="3"/>
      <c r="R21" s="3"/>
      <c r="S21" s="3"/>
      <c r="T21" s="3"/>
      <c r="U21" s="3"/>
      <c r="V21" s="3"/>
      <c r="W21" s="3"/>
    </row>
    <row r="22" spans="1:23" ht="15.75" customHeight="1">
      <c r="A22" s="3"/>
      <c r="B22" s="165" t="s">
        <v>287</v>
      </c>
      <c r="C22" s="166">
        <f>+Print_Mois!$L$97</f>
        <v>3324.8299999999872</v>
      </c>
      <c r="D22" s="166">
        <f>+Print_Mois!$F$97</f>
        <v>0</v>
      </c>
      <c r="E22" s="166">
        <f>+Print_Mois!$Q$97</f>
        <v>0</v>
      </c>
      <c r="F22" s="167">
        <f t="shared" si="11"/>
        <v>3324.8299999999872</v>
      </c>
      <c r="G22" s="168">
        <f t="shared" si="12"/>
        <v>3324.8299999999872</v>
      </c>
      <c r="H22" s="170" t="str">
        <f t="shared" si="13"/>
        <v/>
      </c>
      <c r="I22" s="171" t="str">
        <f t="shared" si="14"/>
        <v/>
      </c>
      <c r="J22" s="1051"/>
      <c r="K22" s="3"/>
      <c r="L22" s="3"/>
      <c r="M22" s="3"/>
      <c r="N22" s="3"/>
      <c r="O22" s="3"/>
      <c r="P22" s="3"/>
      <c r="Q22" s="3"/>
      <c r="R22" s="3"/>
      <c r="S22" s="3"/>
      <c r="T22" s="3"/>
      <c r="U22" s="3"/>
      <c r="V22" s="3"/>
      <c r="W22" s="3"/>
    </row>
    <row r="23" spans="1:23" ht="15.75" customHeight="1">
      <c r="A23" s="3"/>
      <c r="B23" s="165" t="s">
        <v>288</v>
      </c>
      <c r="C23" s="166">
        <f t="shared" ref="C23:E23" si="15">+C22/C21</f>
        <v>474.97571428571246</v>
      </c>
      <c r="D23" s="166" t="e">
        <f t="shared" si="15"/>
        <v>#DIV/0!</v>
      </c>
      <c r="E23" s="166" t="e">
        <f t="shared" si="15"/>
        <v>#DIV/0!</v>
      </c>
      <c r="F23" s="167" t="str">
        <f t="shared" si="11"/>
        <v/>
      </c>
      <c r="G23" s="168" t="str">
        <f t="shared" si="12"/>
        <v/>
      </c>
      <c r="H23" s="170" t="str">
        <f t="shared" si="13"/>
        <v/>
      </c>
      <c r="I23" s="171" t="str">
        <f t="shared" si="14"/>
        <v/>
      </c>
      <c r="J23" s="1051"/>
      <c r="K23" s="3"/>
      <c r="L23" s="3"/>
      <c r="M23" s="3"/>
      <c r="N23" s="3"/>
      <c r="O23" s="3"/>
      <c r="P23" s="3"/>
      <c r="Q23" s="3"/>
      <c r="R23" s="3"/>
      <c r="S23" s="3"/>
      <c r="T23" s="3"/>
      <c r="U23" s="3"/>
      <c r="V23" s="3"/>
      <c r="W23" s="3"/>
    </row>
    <row r="24" spans="1:23" ht="15.75" customHeight="1">
      <c r="A24" s="3"/>
      <c r="B24" s="165" t="s">
        <v>289</v>
      </c>
      <c r="C24" s="166">
        <f>+Print_Mois!$L$113</f>
        <v>15673.800000000003</v>
      </c>
      <c r="D24" s="166">
        <f>+Print_Mois!$F$113</f>
        <v>0</v>
      </c>
      <c r="E24" s="166">
        <f>+Print_Mois!$Q$113</f>
        <v>0</v>
      </c>
      <c r="F24" s="167">
        <f t="shared" si="11"/>
        <v>15673.800000000003</v>
      </c>
      <c r="G24" s="168">
        <f t="shared" si="12"/>
        <v>15673.800000000003</v>
      </c>
      <c r="H24" s="170" t="str">
        <f t="shared" si="13"/>
        <v/>
      </c>
      <c r="I24" s="171" t="str">
        <f t="shared" si="14"/>
        <v/>
      </c>
      <c r="J24" s="1051"/>
      <c r="K24" s="3"/>
      <c r="L24" s="3"/>
      <c r="M24" s="3"/>
      <c r="N24" s="3"/>
      <c r="O24" s="3"/>
      <c r="P24" s="3"/>
      <c r="Q24" s="3"/>
      <c r="R24" s="3"/>
      <c r="S24" s="3"/>
      <c r="T24" s="3"/>
      <c r="U24" s="3"/>
      <c r="V24" s="3"/>
      <c r="W24" s="3"/>
    </row>
    <row r="25" spans="1:23" ht="15.75" customHeight="1">
      <c r="A25" s="3"/>
      <c r="B25" s="165" t="s">
        <v>290</v>
      </c>
      <c r="C25" s="169">
        <f t="shared" ref="C25:E25" si="16">+C24/C22</f>
        <v>4.7141658370503343</v>
      </c>
      <c r="D25" s="169" t="e">
        <f t="shared" si="16"/>
        <v>#DIV/0!</v>
      </c>
      <c r="E25" s="169" t="e">
        <f t="shared" si="16"/>
        <v>#DIV/0!</v>
      </c>
      <c r="F25" s="172" t="str">
        <f t="shared" si="11"/>
        <v/>
      </c>
      <c r="G25" s="173" t="str">
        <f t="shared" si="12"/>
        <v/>
      </c>
      <c r="H25" s="170" t="str">
        <f t="shared" si="13"/>
        <v/>
      </c>
      <c r="I25" s="171" t="str">
        <f t="shared" si="14"/>
        <v/>
      </c>
      <c r="J25" s="1051"/>
      <c r="K25" s="3"/>
      <c r="L25" s="3"/>
      <c r="M25" s="3"/>
      <c r="N25" s="3"/>
      <c r="O25" s="3"/>
      <c r="P25" s="3"/>
      <c r="Q25" s="3"/>
      <c r="R25" s="3"/>
      <c r="S25" s="3"/>
      <c r="T25" s="3"/>
      <c r="U25" s="3"/>
      <c r="V25" s="3"/>
      <c r="W25" s="3"/>
    </row>
    <row r="26" spans="1:23" ht="15.75" customHeight="1">
      <c r="A26" s="3"/>
      <c r="B26" s="165" t="s">
        <v>291</v>
      </c>
      <c r="C26" s="166">
        <f>+Print_Mois!$L$106</f>
        <v>7296.369999999999</v>
      </c>
      <c r="D26" s="166">
        <f>+Print_Mois!$F$106</f>
        <v>0</v>
      </c>
      <c r="E26" s="166">
        <f>+Print_Mois!$Q$106</f>
        <v>0</v>
      </c>
      <c r="F26" s="167">
        <f t="shared" si="11"/>
        <v>7296.369999999999</v>
      </c>
      <c r="G26" s="168">
        <f t="shared" si="12"/>
        <v>7296.369999999999</v>
      </c>
      <c r="H26" s="170" t="str">
        <f t="shared" si="13"/>
        <v/>
      </c>
      <c r="I26" s="171" t="str">
        <f t="shared" si="14"/>
        <v/>
      </c>
      <c r="J26" s="1051"/>
      <c r="K26" s="3"/>
      <c r="L26" s="3"/>
      <c r="M26" s="3"/>
      <c r="N26" s="3"/>
      <c r="O26" s="3"/>
      <c r="P26" s="3"/>
      <c r="Q26" s="3"/>
      <c r="R26" s="3"/>
      <c r="S26" s="3"/>
      <c r="T26" s="3"/>
      <c r="U26" s="3"/>
      <c r="V26" s="3"/>
      <c r="W26" s="3"/>
    </row>
    <row r="27" spans="1:23" ht="15.75" customHeight="1">
      <c r="A27" s="3"/>
      <c r="B27" s="165" t="s">
        <v>292</v>
      </c>
      <c r="C27" s="166">
        <f t="shared" ref="C27:E27" si="17">+C26/C21</f>
        <v>1042.3385714285712</v>
      </c>
      <c r="D27" s="166" t="e">
        <f t="shared" si="17"/>
        <v>#DIV/0!</v>
      </c>
      <c r="E27" s="166" t="e">
        <f t="shared" si="17"/>
        <v>#DIV/0!</v>
      </c>
      <c r="F27" s="167" t="str">
        <f t="shared" si="11"/>
        <v/>
      </c>
      <c r="G27" s="168" t="str">
        <f t="shared" si="12"/>
        <v/>
      </c>
      <c r="H27" s="170" t="str">
        <f t="shared" si="13"/>
        <v/>
      </c>
      <c r="I27" s="171" t="str">
        <f t="shared" si="14"/>
        <v/>
      </c>
      <c r="J27" s="1051"/>
      <c r="K27" s="3"/>
      <c r="L27" s="3"/>
      <c r="M27" s="3"/>
      <c r="N27" s="3"/>
      <c r="O27" s="3"/>
      <c r="P27" s="3"/>
      <c r="Q27" s="3"/>
      <c r="R27" s="3"/>
      <c r="S27" s="3"/>
      <c r="T27" s="3"/>
      <c r="U27" s="3"/>
      <c r="V27" s="3"/>
      <c r="W27" s="3"/>
    </row>
    <row r="28" spans="1:23" ht="15.75" customHeight="1">
      <c r="A28" s="3"/>
      <c r="B28" s="165" t="s">
        <v>293</v>
      </c>
      <c r="C28" s="166">
        <f>+Print_Mois!$L$114</f>
        <v>1649.7799999999988</v>
      </c>
      <c r="D28" s="166">
        <f>+Print_Mois!$F$114</f>
        <v>0</v>
      </c>
      <c r="E28" s="166">
        <f>+Print_Mois!$Q$114</f>
        <v>0</v>
      </c>
      <c r="F28" s="167">
        <f t="shared" si="11"/>
        <v>1649.7799999999988</v>
      </c>
      <c r="G28" s="168">
        <f t="shared" si="12"/>
        <v>1649.7799999999988</v>
      </c>
      <c r="H28" s="170" t="str">
        <f t="shared" si="13"/>
        <v/>
      </c>
      <c r="I28" s="171" t="str">
        <f t="shared" si="14"/>
        <v/>
      </c>
      <c r="J28" s="1051"/>
      <c r="K28" s="3"/>
      <c r="L28" s="3"/>
      <c r="M28" s="3"/>
      <c r="N28" s="3"/>
      <c r="O28" s="3"/>
      <c r="P28" s="3"/>
      <c r="Q28" s="3"/>
      <c r="R28" s="3"/>
      <c r="S28" s="3"/>
      <c r="T28" s="3"/>
      <c r="U28" s="3"/>
      <c r="V28" s="3"/>
      <c r="W28" s="3"/>
    </row>
    <row r="29" spans="1:23" ht="15.75" customHeight="1">
      <c r="A29" s="3"/>
      <c r="B29" s="165" t="s">
        <v>294</v>
      </c>
      <c r="C29" s="169">
        <f t="shared" ref="C29:E29" si="18">+C28/C26</f>
        <v>0.22610969564317587</v>
      </c>
      <c r="D29" s="169" t="e">
        <f t="shared" si="18"/>
        <v>#DIV/0!</v>
      </c>
      <c r="E29" s="169" t="e">
        <f t="shared" si="18"/>
        <v>#DIV/0!</v>
      </c>
      <c r="F29" s="170" t="str">
        <f t="shared" si="11"/>
        <v/>
      </c>
      <c r="G29" s="174" t="str">
        <f t="shared" si="12"/>
        <v/>
      </c>
      <c r="H29" s="170" t="str">
        <f t="shared" si="13"/>
        <v/>
      </c>
      <c r="I29" s="171" t="str">
        <f t="shared" si="14"/>
        <v/>
      </c>
      <c r="J29" s="1051"/>
      <c r="K29" s="3"/>
      <c r="L29" s="3"/>
      <c r="M29" s="3"/>
      <c r="N29" s="3"/>
      <c r="O29" s="3"/>
      <c r="P29" s="3"/>
      <c r="Q29" s="3"/>
      <c r="R29" s="3"/>
      <c r="S29" s="3"/>
      <c r="T29" s="3"/>
      <c r="U29" s="3"/>
      <c r="V29" s="3"/>
      <c r="W29" s="3"/>
    </row>
    <row r="30" spans="1:23" ht="15.75" customHeight="1">
      <c r="A30" s="3"/>
      <c r="B30" s="165" t="s">
        <v>295</v>
      </c>
      <c r="C30" s="166">
        <f>+Print_Mois!$L$123-C24-C28</f>
        <v>2142.2899999999972</v>
      </c>
      <c r="D30" s="166">
        <f>+Print_Mois!$F$123-D24-D28</f>
        <v>0</v>
      </c>
      <c r="E30" s="166">
        <f>+Print_Mois!$Q$123-E24-E28</f>
        <v>0</v>
      </c>
      <c r="F30" s="167">
        <f t="shared" si="11"/>
        <v>2142.2899999999972</v>
      </c>
      <c r="G30" s="168">
        <f t="shared" si="12"/>
        <v>2142.2899999999972</v>
      </c>
      <c r="H30" s="170" t="str">
        <f t="shared" si="13"/>
        <v/>
      </c>
      <c r="I30" s="171" t="str">
        <f t="shared" si="14"/>
        <v/>
      </c>
      <c r="J30" s="1051"/>
      <c r="K30" s="3"/>
      <c r="L30" s="3"/>
      <c r="M30" s="3"/>
      <c r="N30" s="3"/>
      <c r="O30" s="3"/>
      <c r="P30" s="3"/>
      <c r="Q30" s="3"/>
      <c r="R30" s="3"/>
      <c r="S30" s="3"/>
      <c r="T30" s="3"/>
      <c r="U30" s="3"/>
      <c r="V30" s="3"/>
      <c r="W30" s="3"/>
    </row>
    <row r="31" spans="1:23" ht="15.75" customHeight="1">
      <c r="A31" s="3"/>
      <c r="B31" s="165" t="s">
        <v>296</v>
      </c>
      <c r="C31" s="166">
        <f t="shared" ref="C31:E31" si="19">+C30/C21</f>
        <v>306.04142857142818</v>
      </c>
      <c r="D31" s="166" t="e">
        <f t="shared" si="19"/>
        <v>#DIV/0!</v>
      </c>
      <c r="E31" s="166" t="e">
        <f t="shared" si="19"/>
        <v>#DIV/0!</v>
      </c>
      <c r="F31" s="167" t="str">
        <f t="shared" si="11"/>
        <v/>
      </c>
      <c r="G31" s="168" t="str">
        <f t="shared" si="12"/>
        <v/>
      </c>
      <c r="H31" s="170" t="str">
        <f t="shared" si="13"/>
        <v/>
      </c>
      <c r="I31" s="171" t="str">
        <f t="shared" si="14"/>
        <v/>
      </c>
      <c r="J31" s="1051"/>
      <c r="K31" s="3"/>
      <c r="L31" s="3"/>
      <c r="M31" s="3"/>
      <c r="N31" s="3"/>
      <c r="O31" s="3"/>
      <c r="P31" s="3"/>
      <c r="Q31" s="3"/>
      <c r="R31" s="3"/>
      <c r="S31" s="3"/>
      <c r="T31" s="3"/>
      <c r="U31" s="3"/>
      <c r="V31" s="3"/>
      <c r="W31" s="3"/>
    </row>
    <row r="32" spans="1:23" ht="15.75" customHeight="1">
      <c r="A32" s="3"/>
      <c r="B32" s="165" t="s">
        <v>297</v>
      </c>
      <c r="C32" s="166">
        <f>+Print_Mois!$L$164</f>
        <v>0</v>
      </c>
      <c r="D32" s="166">
        <f>+Print_Mois!$F$164</f>
        <v>0</v>
      </c>
      <c r="E32" s="166">
        <f>+Print_Mois!$Q$164</f>
        <v>0</v>
      </c>
      <c r="F32" s="167">
        <f t="shared" si="11"/>
        <v>0</v>
      </c>
      <c r="G32" s="168">
        <f t="shared" si="12"/>
        <v>0</v>
      </c>
      <c r="H32" s="170" t="str">
        <f t="shared" si="13"/>
        <v/>
      </c>
      <c r="I32" s="171" t="str">
        <f t="shared" si="14"/>
        <v/>
      </c>
      <c r="J32" s="1051"/>
      <c r="K32" s="3"/>
      <c r="L32" s="3"/>
      <c r="M32" s="3"/>
      <c r="N32" s="3"/>
      <c r="O32" s="3"/>
      <c r="P32" s="3"/>
      <c r="Q32" s="3"/>
      <c r="R32" s="3"/>
      <c r="S32" s="3"/>
      <c r="T32" s="3"/>
      <c r="U32" s="3"/>
      <c r="V32" s="3"/>
      <c r="W32" s="3"/>
    </row>
    <row r="33" spans="1:23" ht="15.75" hidden="1" customHeight="1">
      <c r="A33" s="3"/>
      <c r="B33" s="175" t="s">
        <v>298</v>
      </c>
      <c r="C33" s="176"/>
      <c r="D33" s="176"/>
      <c r="E33" s="176"/>
      <c r="F33" s="177"/>
      <c r="G33" s="178"/>
      <c r="H33" s="179"/>
      <c r="I33" s="180"/>
      <c r="J33" s="1051"/>
      <c r="K33" s="3"/>
      <c r="L33" s="3"/>
      <c r="M33" s="3"/>
      <c r="N33" s="3"/>
      <c r="O33" s="3"/>
      <c r="P33" s="3"/>
      <c r="Q33" s="3"/>
      <c r="R33" s="3"/>
      <c r="S33" s="3"/>
      <c r="T33" s="3"/>
      <c r="U33" s="3"/>
      <c r="V33" s="3"/>
      <c r="W33" s="3"/>
    </row>
    <row r="34" spans="1:23" ht="15.75" hidden="1" customHeight="1">
      <c r="A34" s="3"/>
      <c r="B34" s="181" t="s">
        <v>286</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051"/>
      <c r="K34" s="3"/>
      <c r="L34" s="3"/>
      <c r="M34" s="3"/>
      <c r="N34" s="3"/>
      <c r="O34" s="3"/>
      <c r="P34" s="3"/>
      <c r="Q34" s="3"/>
      <c r="R34" s="3"/>
      <c r="S34" s="3"/>
      <c r="T34" s="3"/>
      <c r="U34" s="3"/>
      <c r="V34" s="3"/>
      <c r="W34" s="3"/>
    </row>
    <row r="35" spans="1:23" ht="15.75" customHeight="1">
      <c r="A35" s="3"/>
      <c r="B35" s="183" t="s">
        <v>299</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052"/>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157</v>
      </c>
      <c r="C37" s="197" t="s">
        <v>281</v>
      </c>
      <c r="D37" s="197" t="s">
        <v>282</v>
      </c>
      <c r="E37" s="197">
        <f>$E$3</f>
        <v>2023</v>
      </c>
      <c r="F37" s="198" t="s">
        <v>283</v>
      </c>
      <c r="G37" s="199" t="str">
        <f>$G$3</f>
        <v>▲2023</v>
      </c>
      <c r="H37" s="198" t="s">
        <v>284</v>
      </c>
      <c r="I37" s="199" t="str">
        <f>$I$3</f>
        <v>% ▲ 2023</v>
      </c>
      <c r="J37" s="196" t="s">
        <v>285</v>
      </c>
      <c r="K37" s="3"/>
      <c r="L37" s="3"/>
      <c r="M37" s="3"/>
      <c r="N37" s="3"/>
      <c r="O37" s="3"/>
      <c r="P37" s="3"/>
      <c r="Q37" s="3"/>
      <c r="R37" s="3"/>
      <c r="S37" s="3"/>
      <c r="T37" s="3"/>
      <c r="U37" s="3"/>
      <c r="V37" s="3"/>
      <c r="W37" s="3"/>
    </row>
    <row r="38" spans="1:23" ht="15.75" customHeight="1">
      <c r="A38" s="3"/>
      <c r="B38" s="159" t="s">
        <v>301</v>
      </c>
      <c r="C38" s="200">
        <f>+Print_Mois!$K$195</f>
        <v>272120.72999999992</v>
      </c>
      <c r="D38" s="200">
        <f>+Print_Mois!$E$195</f>
        <v>0</v>
      </c>
      <c r="E38" s="200">
        <f>+Print_Mois!$P$195</f>
        <v>0</v>
      </c>
      <c r="F38" s="201">
        <f t="shared" ref="F38:F47" si="22">+IFERROR($C38-D38,"")</f>
        <v>272120.72999999992</v>
      </c>
      <c r="G38" s="202">
        <f t="shared" ref="G38:G47" si="23">+IFERROR($C38-E38,"")</f>
        <v>272120.72999999992</v>
      </c>
      <c r="H38" s="163" t="str">
        <f t="shared" ref="H38:H47" si="24">+IFERROR(F38/ABS($D38),"")</f>
        <v/>
      </c>
      <c r="I38" s="164" t="str">
        <f t="shared" ref="I38:I47" si="25">+IFERROR(G38/ABS($E38),"")</f>
        <v/>
      </c>
      <c r="J38" s="1050" t="s">
        <v>1103</v>
      </c>
      <c r="K38" s="3"/>
      <c r="L38" s="3"/>
      <c r="M38" s="3"/>
      <c r="N38" s="3"/>
      <c r="O38" s="3"/>
      <c r="P38" s="3"/>
      <c r="Q38" s="3"/>
      <c r="R38" s="3"/>
      <c r="S38" s="3"/>
      <c r="T38" s="3"/>
      <c r="U38" s="3"/>
      <c r="V38" s="3"/>
      <c r="W38" s="3"/>
    </row>
    <row r="39" spans="1:23" ht="15.75" customHeight="1">
      <c r="A39" s="3"/>
      <c r="B39" s="159" t="s">
        <v>302</v>
      </c>
      <c r="C39" s="200">
        <f>+Print_Mois!$L$195</f>
        <v>185060.19999999992</v>
      </c>
      <c r="D39" s="200">
        <f>+Print_Mois!$F$195</f>
        <v>0</v>
      </c>
      <c r="E39" s="200">
        <f>+Print_Mois!$Q$195</f>
        <v>0</v>
      </c>
      <c r="F39" s="201">
        <f t="shared" si="22"/>
        <v>185060.19999999992</v>
      </c>
      <c r="G39" s="202">
        <f t="shared" si="23"/>
        <v>185060.19999999992</v>
      </c>
      <c r="H39" s="203" t="str">
        <f t="shared" si="24"/>
        <v/>
      </c>
      <c r="I39" s="204" t="str">
        <f t="shared" si="25"/>
        <v/>
      </c>
      <c r="J39" s="1051"/>
      <c r="K39" s="3"/>
      <c r="L39" s="3"/>
      <c r="M39" s="3"/>
      <c r="N39" s="3"/>
      <c r="O39" s="3"/>
      <c r="P39" s="3"/>
      <c r="Q39" s="3"/>
      <c r="R39" s="3"/>
      <c r="S39" s="3"/>
      <c r="T39" s="3"/>
      <c r="U39" s="3"/>
      <c r="V39" s="3"/>
      <c r="W39" s="3"/>
    </row>
    <row r="40" spans="1:23" ht="15.75" customHeight="1">
      <c r="A40" s="3"/>
      <c r="B40" s="165" t="s">
        <v>303</v>
      </c>
      <c r="C40" s="166">
        <f>+Print_Mois!$K$173/Print_Mois!$J$173</f>
        <v>161.54958634953459</v>
      </c>
      <c r="D40" s="166" t="str">
        <f>+IFERROR(Print_Mois!$E$173/Print_Mois!$D$173,"")</f>
        <v/>
      </c>
      <c r="E40" s="166" t="e">
        <f>+Print_Mois!$P$173/Print_Mois!$O$173</f>
        <v>#DIV/0!</v>
      </c>
      <c r="F40" s="167" t="str">
        <f t="shared" si="22"/>
        <v/>
      </c>
      <c r="G40" s="168" t="str">
        <f t="shared" si="23"/>
        <v/>
      </c>
      <c r="H40" s="170" t="str">
        <f t="shared" si="24"/>
        <v/>
      </c>
      <c r="I40" s="171" t="str">
        <f t="shared" si="25"/>
        <v/>
      </c>
      <c r="J40" s="1051"/>
      <c r="K40" s="3"/>
      <c r="L40" s="3"/>
      <c r="M40" s="3"/>
      <c r="N40" s="3"/>
      <c r="O40" s="3"/>
      <c r="P40" s="3"/>
      <c r="Q40" s="3"/>
      <c r="R40" s="3"/>
      <c r="S40" s="3"/>
      <c r="T40" s="3"/>
      <c r="U40" s="3"/>
      <c r="V40" s="3"/>
      <c r="W40" s="3"/>
    </row>
    <row r="41" spans="1:23" ht="15.75" customHeight="1">
      <c r="A41" s="3"/>
      <c r="B41" s="165" t="s">
        <v>304</v>
      </c>
      <c r="C41" s="166">
        <f>+Print_Mois!$K$176/Print_Mois!$J$176</f>
        <v>156.99212499999993</v>
      </c>
      <c r="D41" s="166" t="str">
        <f>+IFERROR(Print_Mois!$E$176/Print_Mois!$D$176,"")</f>
        <v/>
      </c>
      <c r="E41" s="166" t="e">
        <f>+Print_Mois!$P$176/Print_Mois!$O$176</f>
        <v>#DIV/0!</v>
      </c>
      <c r="F41" s="167" t="str">
        <f t="shared" si="22"/>
        <v/>
      </c>
      <c r="G41" s="168" t="str">
        <f t="shared" si="23"/>
        <v/>
      </c>
      <c r="H41" s="170" t="str">
        <f t="shared" si="24"/>
        <v/>
      </c>
      <c r="I41" s="171" t="str">
        <f t="shared" si="25"/>
        <v/>
      </c>
      <c r="J41" s="1051"/>
      <c r="K41" s="3"/>
      <c r="L41" s="3"/>
      <c r="M41" s="3"/>
      <c r="N41" s="3"/>
      <c r="O41" s="3"/>
      <c r="P41" s="3"/>
      <c r="Q41" s="3"/>
      <c r="R41" s="3"/>
      <c r="S41" s="3"/>
      <c r="T41" s="3"/>
      <c r="U41" s="3"/>
      <c r="V41" s="3"/>
      <c r="W41" s="3"/>
    </row>
    <row r="42" spans="1:23" ht="15.75" customHeight="1">
      <c r="A42" s="3"/>
      <c r="B42" s="165" t="s">
        <v>305</v>
      </c>
      <c r="C42" s="166">
        <f>+Print_Mois!$L$185</f>
        <v>2699.41</v>
      </c>
      <c r="D42" s="166">
        <f>+Print_Mois!$F$185</f>
        <v>0</v>
      </c>
      <c r="E42" s="166">
        <f>+Print_Mois!$Q$185</f>
        <v>0</v>
      </c>
      <c r="F42" s="167">
        <f t="shared" si="22"/>
        <v>2699.41</v>
      </c>
      <c r="G42" s="168">
        <f t="shared" si="23"/>
        <v>2699.41</v>
      </c>
      <c r="H42" s="170" t="str">
        <f t="shared" si="24"/>
        <v/>
      </c>
      <c r="I42" s="171" t="str">
        <f t="shared" si="25"/>
        <v/>
      </c>
      <c r="J42" s="1051"/>
      <c r="K42" s="3"/>
      <c r="L42" s="3"/>
      <c r="M42" s="3"/>
      <c r="N42" s="3"/>
      <c r="O42" s="3"/>
      <c r="P42" s="3"/>
      <c r="Q42" s="3"/>
      <c r="R42" s="3"/>
      <c r="S42" s="3"/>
      <c r="T42" s="3"/>
      <c r="U42" s="3"/>
      <c r="V42" s="3"/>
      <c r="W42" s="3"/>
    </row>
    <row r="43" spans="1:23" ht="15.75" customHeight="1">
      <c r="A43" s="3"/>
      <c r="B43" s="165" t="s">
        <v>306</v>
      </c>
      <c r="C43" s="166">
        <f>+Print_Mois!$L$211</f>
        <v>84644.890000000014</v>
      </c>
      <c r="D43" s="166">
        <f>+Print_Mois!$F$211</f>
        <v>0</v>
      </c>
      <c r="E43" s="166">
        <f>+Print_Mois!$Q$211</f>
        <v>0</v>
      </c>
      <c r="F43" s="167">
        <f t="shared" si="22"/>
        <v>84644.890000000014</v>
      </c>
      <c r="G43" s="168">
        <f t="shared" si="23"/>
        <v>84644.890000000014</v>
      </c>
      <c r="H43" s="170" t="str">
        <f t="shared" si="24"/>
        <v/>
      </c>
      <c r="I43" s="171" t="str">
        <f t="shared" si="25"/>
        <v/>
      </c>
      <c r="J43" s="1051"/>
      <c r="K43" s="3"/>
      <c r="L43" s="3"/>
      <c r="M43" s="3"/>
      <c r="N43" s="3"/>
      <c r="O43" s="3"/>
      <c r="P43" s="3"/>
      <c r="Q43" s="3"/>
      <c r="R43" s="3"/>
      <c r="S43" s="3"/>
      <c r="T43" s="3"/>
      <c r="U43" s="3"/>
      <c r="V43" s="3"/>
      <c r="W43" s="3"/>
    </row>
    <row r="44" spans="1:23" ht="15.75" customHeight="1">
      <c r="A44" s="3"/>
      <c r="B44" s="181" t="s">
        <v>307</v>
      </c>
      <c r="C44" s="166">
        <f>+SUM(Print_Mois!$L$199:$L$205)</f>
        <v>55661.8</v>
      </c>
      <c r="D44" s="166">
        <f>+SUM(Print_Mois!$F$199:$F$205)</f>
        <v>0</v>
      </c>
      <c r="E44" s="166">
        <f>+SUM(Print_Mois!$Q$199:$Q$205)</f>
        <v>0</v>
      </c>
      <c r="F44" s="167">
        <f t="shared" si="22"/>
        <v>55661.8</v>
      </c>
      <c r="G44" s="168">
        <f t="shared" si="23"/>
        <v>55661.8</v>
      </c>
      <c r="H44" s="170" t="str">
        <f t="shared" si="24"/>
        <v/>
      </c>
      <c r="I44" s="171" t="str">
        <f t="shared" si="25"/>
        <v/>
      </c>
      <c r="J44" s="1051"/>
      <c r="K44" s="3"/>
      <c r="L44" s="3"/>
      <c r="M44" s="3"/>
      <c r="N44" s="3"/>
      <c r="O44" s="3"/>
      <c r="P44" s="3"/>
      <c r="Q44" s="3"/>
      <c r="R44" s="3"/>
      <c r="S44" s="3"/>
      <c r="T44" s="3"/>
      <c r="U44" s="3"/>
      <c r="V44" s="3"/>
      <c r="W44" s="3"/>
    </row>
    <row r="45" spans="1:23">
      <c r="A45" s="3"/>
      <c r="B45" s="181" t="s">
        <v>308</v>
      </c>
      <c r="C45" s="166">
        <f>+SUM(Print_Mois!$L$206:$L$210)</f>
        <v>28983.090000000007</v>
      </c>
      <c r="D45" s="166">
        <f>+SUM(Print_Mois!$F$206:$F$210)</f>
        <v>0</v>
      </c>
      <c r="E45" s="166">
        <f>+SUM(Print_Mois!$Q$206:$Q$210)</f>
        <v>0</v>
      </c>
      <c r="F45" s="167">
        <f t="shared" si="22"/>
        <v>28983.090000000007</v>
      </c>
      <c r="G45" s="168">
        <f t="shared" si="23"/>
        <v>28983.090000000007</v>
      </c>
      <c r="H45" s="170" t="str">
        <f t="shared" si="24"/>
        <v/>
      </c>
      <c r="I45" s="171" t="str">
        <f t="shared" si="25"/>
        <v/>
      </c>
      <c r="J45" s="1051"/>
      <c r="K45" s="3"/>
      <c r="L45" s="3"/>
      <c r="M45" s="3"/>
      <c r="N45" s="3"/>
      <c r="O45" s="3"/>
      <c r="P45" s="3"/>
      <c r="Q45" s="3"/>
      <c r="R45" s="3"/>
      <c r="S45" s="3"/>
      <c r="T45" s="3"/>
      <c r="U45" s="3"/>
      <c r="V45" s="3"/>
      <c r="W45" s="3"/>
    </row>
    <row r="46" spans="1:23">
      <c r="A46" s="3"/>
      <c r="B46" s="165" t="s">
        <v>309</v>
      </c>
      <c r="C46" s="169">
        <f t="shared" ref="C46:E46" si="26">+C43/C38</f>
        <v>0.31105638295178772</v>
      </c>
      <c r="D46" s="169" t="e">
        <f t="shared" si="26"/>
        <v>#DIV/0!</v>
      </c>
      <c r="E46" s="169" t="e">
        <f t="shared" si="26"/>
        <v>#DIV/0!</v>
      </c>
      <c r="F46" s="172" t="str">
        <f t="shared" si="22"/>
        <v/>
      </c>
      <c r="G46" s="173" t="str">
        <f t="shared" si="23"/>
        <v/>
      </c>
      <c r="H46" s="170" t="str">
        <f t="shared" si="24"/>
        <v/>
      </c>
      <c r="I46" s="171" t="str">
        <f t="shared" si="25"/>
        <v/>
      </c>
      <c r="J46" s="1051"/>
      <c r="K46" s="3"/>
      <c r="L46" s="3"/>
      <c r="M46" s="3"/>
      <c r="N46" s="3"/>
      <c r="O46" s="3"/>
      <c r="P46" s="3"/>
      <c r="Q46" s="3"/>
      <c r="R46" s="3"/>
      <c r="S46" s="3"/>
      <c r="T46" s="3"/>
      <c r="U46" s="3"/>
      <c r="V46" s="3"/>
      <c r="W46" s="3"/>
    </row>
    <row r="47" spans="1:23">
      <c r="A47" s="3"/>
      <c r="B47" s="205" t="s">
        <v>127</v>
      </c>
      <c r="C47" s="184">
        <f>+Print_Mois!$L$214</f>
        <v>604.97999999999956</v>
      </c>
      <c r="D47" s="184">
        <f>+Print_Mois!$F$214</f>
        <v>0</v>
      </c>
      <c r="E47" s="184">
        <f>+Print_Mois!$Q$214</f>
        <v>0</v>
      </c>
      <c r="F47" s="185">
        <f t="shared" si="22"/>
        <v>604.97999999999956</v>
      </c>
      <c r="G47" s="186">
        <f t="shared" si="23"/>
        <v>604.97999999999956</v>
      </c>
      <c r="H47" s="187" t="str">
        <f t="shared" si="24"/>
        <v/>
      </c>
      <c r="I47" s="188" t="str">
        <f t="shared" si="25"/>
        <v/>
      </c>
      <c r="J47" s="1052"/>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310</v>
      </c>
      <c r="C49" s="207" t="s">
        <v>281</v>
      </c>
      <c r="D49" s="207" t="s">
        <v>282</v>
      </c>
      <c r="E49" s="207">
        <f>$E$3</f>
        <v>2023</v>
      </c>
      <c r="F49" s="208" t="s">
        <v>283</v>
      </c>
      <c r="G49" s="209" t="str">
        <f>$G$3</f>
        <v>▲2023</v>
      </c>
      <c r="H49" s="208" t="s">
        <v>284</v>
      </c>
      <c r="I49" s="209" t="str">
        <f>$I$3</f>
        <v>% ▲ 2023</v>
      </c>
      <c r="J49" s="210" t="s">
        <v>285</v>
      </c>
      <c r="K49" s="3"/>
      <c r="L49" s="3"/>
      <c r="M49" s="3"/>
      <c r="N49" s="3"/>
      <c r="O49" s="3"/>
      <c r="P49" s="3"/>
      <c r="Q49" s="3"/>
      <c r="R49" s="3"/>
      <c r="S49" s="3"/>
      <c r="T49" s="3"/>
      <c r="U49" s="3"/>
      <c r="V49" s="3"/>
      <c r="W49" s="3"/>
    </row>
    <row r="50" spans="1:23" ht="15" customHeight="1">
      <c r="A50" s="3"/>
      <c r="B50" s="211" t="s">
        <v>301</v>
      </c>
      <c r="C50" s="200">
        <f>+Print_Mois!$J$315</f>
        <v>621178.80999999994</v>
      </c>
      <c r="D50" s="200">
        <f>+Print_Mois!$D$315</f>
        <v>0</v>
      </c>
      <c r="E50" s="200">
        <f>+Print_Mois!$O$315</f>
        <v>0</v>
      </c>
      <c r="F50" s="201">
        <f t="shared" ref="F50:F59" si="27">+IFERROR($C50-D50,"")</f>
        <v>621178.80999999994</v>
      </c>
      <c r="G50" s="202">
        <f t="shared" ref="G50:G59" si="28">+IFERROR($C50-E50,"")</f>
        <v>621178.80999999994</v>
      </c>
      <c r="H50" s="163" t="str">
        <f t="shared" ref="H50:H59" si="29">+IFERROR(F50/ABS($D50),"")</f>
        <v/>
      </c>
      <c r="I50" s="164" t="str">
        <f t="shared" ref="I50:I59" si="30">+IFERROR(G50/ABS($E50),"")</f>
        <v/>
      </c>
      <c r="J50" s="1050" t="s">
        <v>1104</v>
      </c>
      <c r="K50" s="3"/>
      <c r="L50" s="3"/>
      <c r="M50" s="3"/>
      <c r="N50" s="3"/>
      <c r="O50" s="3"/>
      <c r="P50" s="3"/>
      <c r="Q50" s="3"/>
      <c r="R50" s="3"/>
      <c r="S50" s="3"/>
      <c r="T50" s="3"/>
      <c r="U50" s="3"/>
      <c r="V50" s="3"/>
      <c r="W50" s="3"/>
    </row>
    <row r="51" spans="1:23" ht="15.75" customHeight="1">
      <c r="A51" s="3"/>
      <c r="B51" s="181" t="s">
        <v>311</v>
      </c>
      <c r="C51" s="166">
        <f>+Print_Mois!$J$296</f>
        <v>106106.47000000003</v>
      </c>
      <c r="D51" s="166">
        <f>+Print_Mois!$D$296</f>
        <v>0</v>
      </c>
      <c r="E51" s="166">
        <f>+Print_Mois!$O$296</f>
        <v>0</v>
      </c>
      <c r="F51" s="167">
        <f t="shared" si="27"/>
        <v>106106.47000000003</v>
      </c>
      <c r="G51" s="168">
        <f t="shared" si="28"/>
        <v>106106.47000000003</v>
      </c>
      <c r="H51" s="170" t="str">
        <f t="shared" si="29"/>
        <v/>
      </c>
      <c r="I51" s="171" t="str">
        <f t="shared" si="30"/>
        <v/>
      </c>
      <c r="J51" s="1051"/>
      <c r="K51" s="3"/>
      <c r="L51" s="3"/>
      <c r="M51" s="3"/>
      <c r="N51" s="3"/>
      <c r="O51" s="3"/>
      <c r="P51" s="3"/>
      <c r="Q51" s="3"/>
      <c r="R51" s="3"/>
      <c r="S51" s="3"/>
      <c r="T51" s="3"/>
      <c r="U51" s="3"/>
      <c r="V51" s="3"/>
      <c r="W51" s="3"/>
    </row>
    <row r="52" spans="1:23" ht="15.75" customHeight="1">
      <c r="A52" s="3"/>
      <c r="B52" s="181" t="s">
        <v>312</v>
      </c>
      <c r="C52" s="166">
        <f>+Print_Mois!$J$298</f>
        <v>83015</v>
      </c>
      <c r="D52" s="166">
        <f>+Print_Mois!$D$298</f>
        <v>0</v>
      </c>
      <c r="E52" s="166">
        <f>+Print_Mois!$O$298</f>
        <v>0</v>
      </c>
      <c r="F52" s="167">
        <f t="shared" si="27"/>
        <v>83015</v>
      </c>
      <c r="G52" s="168">
        <f t="shared" si="28"/>
        <v>83015</v>
      </c>
      <c r="H52" s="170" t="str">
        <f t="shared" si="29"/>
        <v/>
      </c>
      <c r="I52" s="171" t="str">
        <f t="shared" si="30"/>
        <v/>
      </c>
      <c r="J52" s="1051"/>
      <c r="K52" s="3"/>
      <c r="L52" s="3"/>
      <c r="M52" s="3"/>
      <c r="N52" s="3"/>
      <c r="O52" s="3"/>
      <c r="P52" s="3"/>
      <c r="Q52" s="3"/>
      <c r="R52" s="3"/>
      <c r="S52" s="3"/>
      <c r="T52" s="3"/>
      <c r="U52" s="3"/>
      <c r="V52" s="3"/>
      <c r="W52" s="3"/>
    </row>
    <row r="53" spans="1:23" ht="15.75" customHeight="1">
      <c r="A53" s="3"/>
      <c r="B53" s="181" t="s">
        <v>313</v>
      </c>
      <c r="C53" s="166">
        <f>+Print_Mois!$J$301</f>
        <v>332808.04999999981</v>
      </c>
      <c r="D53" s="166">
        <f>+Print_Mois!$D$301</f>
        <v>0</v>
      </c>
      <c r="E53" s="166">
        <f>+Print_Mois!$O$301</f>
        <v>0</v>
      </c>
      <c r="F53" s="167">
        <f t="shared" si="27"/>
        <v>332808.04999999981</v>
      </c>
      <c r="G53" s="168">
        <f t="shared" si="28"/>
        <v>332808.04999999981</v>
      </c>
      <c r="H53" s="170" t="str">
        <f t="shared" si="29"/>
        <v/>
      </c>
      <c r="I53" s="171" t="str">
        <f t="shared" si="30"/>
        <v/>
      </c>
      <c r="J53" s="1051"/>
      <c r="K53" s="3"/>
      <c r="L53" s="3"/>
      <c r="M53" s="3"/>
      <c r="N53" s="3"/>
      <c r="O53" s="3"/>
      <c r="P53" s="3"/>
      <c r="Q53" s="3"/>
      <c r="R53" s="3"/>
      <c r="S53" s="3"/>
      <c r="T53" s="3"/>
      <c r="U53" s="3"/>
      <c r="V53" s="3"/>
      <c r="W53" s="3"/>
    </row>
    <row r="54" spans="1:23" ht="15.75" customHeight="1">
      <c r="A54" s="3"/>
      <c r="B54" s="181" t="s">
        <v>314</v>
      </c>
      <c r="C54" s="166">
        <f>+Print_Mois!$J$308</f>
        <v>40167.010000000009</v>
      </c>
      <c r="D54" s="166">
        <f>+Print_Mois!$D$308</f>
        <v>0</v>
      </c>
      <c r="E54" s="166">
        <f>+Print_Mois!$O$308</f>
        <v>0</v>
      </c>
      <c r="F54" s="167">
        <f t="shared" si="27"/>
        <v>40167.010000000009</v>
      </c>
      <c r="G54" s="168">
        <f t="shared" si="28"/>
        <v>40167.010000000009</v>
      </c>
      <c r="H54" s="170" t="str">
        <f t="shared" si="29"/>
        <v/>
      </c>
      <c r="I54" s="171" t="str">
        <f t="shared" si="30"/>
        <v/>
      </c>
      <c r="J54" s="1051"/>
      <c r="K54" s="3"/>
      <c r="L54" s="3"/>
      <c r="M54" s="3"/>
      <c r="N54" s="3"/>
      <c r="O54" s="3"/>
      <c r="P54" s="3"/>
      <c r="Q54" s="3"/>
      <c r="R54" s="3"/>
      <c r="S54" s="3"/>
      <c r="T54" s="3"/>
      <c r="U54" s="3"/>
      <c r="V54" s="3"/>
      <c r="W54" s="3"/>
    </row>
    <row r="55" spans="1:23" ht="15.75" customHeight="1">
      <c r="A55" s="3"/>
      <c r="B55" s="181" t="s">
        <v>315</v>
      </c>
      <c r="C55" s="166">
        <f t="shared" ref="C55:E55" si="31">+C50-SUM(C51:C54)</f>
        <v>59082.280000000144</v>
      </c>
      <c r="D55" s="166">
        <f t="shared" si="31"/>
        <v>0</v>
      </c>
      <c r="E55" s="166">
        <f t="shared" si="31"/>
        <v>0</v>
      </c>
      <c r="F55" s="167">
        <f t="shared" si="27"/>
        <v>59082.280000000144</v>
      </c>
      <c r="G55" s="168">
        <f t="shared" si="28"/>
        <v>59082.280000000144</v>
      </c>
      <c r="H55" s="170" t="str">
        <f t="shared" si="29"/>
        <v/>
      </c>
      <c r="I55" s="171" t="str">
        <f t="shared" si="30"/>
        <v/>
      </c>
      <c r="J55" s="1051"/>
      <c r="K55" s="3"/>
      <c r="L55" s="3"/>
      <c r="M55" s="3"/>
      <c r="N55" s="3"/>
      <c r="O55" s="3"/>
      <c r="P55" s="3"/>
      <c r="Q55" s="3"/>
      <c r="R55" s="3"/>
      <c r="S55" s="3"/>
      <c r="T55" s="3"/>
      <c r="U55" s="3"/>
      <c r="V55" s="3"/>
      <c r="W55" s="3"/>
    </row>
    <row r="56" spans="1:23" ht="15.75" customHeight="1">
      <c r="A56" s="3"/>
      <c r="B56" s="159" t="s">
        <v>302</v>
      </c>
      <c r="C56" s="200">
        <f>+Print_Mois!$L$315</f>
        <v>148127.27999999988</v>
      </c>
      <c r="D56" s="200">
        <f>+Print_Mois!$F$315</f>
        <v>0</v>
      </c>
      <c r="E56" s="200">
        <f>+Print_Mois!$Q$315</f>
        <v>0</v>
      </c>
      <c r="F56" s="201">
        <f t="shared" si="27"/>
        <v>148127.27999999988</v>
      </c>
      <c r="G56" s="202">
        <f t="shared" si="28"/>
        <v>148127.27999999988</v>
      </c>
      <c r="H56" s="203" t="str">
        <f t="shared" si="29"/>
        <v/>
      </c>
      <c r="I56" s="204" t="str">
        <f t="shared" si="30"/>
        <v/>
      </c>
      <c r="J56" s="1051"/>
      <c r="K56" s="3"/>
      <c r="L56" s="3"/>
      <c r="M56" s="3"/>
      <c r="N56" s="3"/>
      <c r="O56" s="3"/>
      <c r="P56" s="3"/>
      <c r="Q56" s="3"/>
      <c r="R56" s="3"/>
      <c r="S56" s="3"/>
      <c r="T56" s="3"/>
      <c r="U56" s="3"/>
      <c r="V56" s="3"/>
      <c r="W56" s="3"/>
    </row>
    <row r="57" spans="1:23" ht="15.75" customHeight="1">
      <c r="A57" s="3"/>
      <c r="B57" s="165" t="s">
        <v>303</v>
      </c>
      <c r="C57" s="166">
        <f>+Print_Mois!$J$296/Print_Mois!$J$173</f>
        <v>109.72747673216135</v>
      </c>
      <c r="D57" s="166" t="str">
        <f>+IFERROR(Print_Mois!$D$296/Print_Mois!$D$173,"")</f>
        <v/>
      </c>
      <c r="E57" s="166" t="e">
        <f>+Print_Mois!$O$296/Print_Mois!$O$173</f>
        <v>#DIV/0!</v>
      </c>
      <c r="F57" s="167" t="str">
        <f t="shared" si="27"/>
        <v/>
      </c>
      <c r="G57" s="168" t="str">
        <f t="shared" si="28"/>
        <v/>
      </c>
      <c r="H57" s="170" t="str">
        <f t="shared" si="29"/>
        <v/>
      </c>
      <c r="I57" s="171" t="str">
        <f t="shared" si="30"/>
        <v/>
      </c>
      <c r="J57" s="1051"/>
      <c r="K57" s="3"/>
      <c r="L57" s="3"/>
      <c r="M57" s="3"/>
      <c r="N57" s="3"/>
      <c r="O57" s="3"/>
      <c r="P57" s="3"/>
      <c r="Q57" s="3"/>
      <c r="R57" s="3"/>
      <c r="S57" s="3"/>
      <c r="T57" s="3"/>
      <c r="U57" s="3"/>
      <c r="V57" s="3"/>
      <c r="W57" s="3"/>
    </row>
    <row r="58" spans="1:23" ht="15.75" customHeight="1">
      <c r="A58" s="3"/>
      <c r="B58" s="165" t="s">
        <v>304</v>
      </c>
      <c r="C58" s="166">
        <f>+Print_Mois!$J$298/Print_Mois!$J$176</f>
        <v>345.89583333333331</v>
      </c>
      <c r="D58" s="166" t="str">
        <f>+IFERROR(Print_Mois!$D$298/Print_Mois!$D$176,"")</f>
        <v/>
      </c>
      <c r="E58" s="166" t="e">
        <f>+Print_Mois!$O$298/Print_Mois!$O$176</f>
        <v>#DIV/0!</v>
      </c>
      <c r="F58" s="167" t="str">
        <f t="shared" si="27"/>
        <v/>
      </c>
      <c r="G58" s="168" t="str">
        <f t="shared" si="28"/>
        <v/>
      </c>
      <c r="H58" s="170" t="str">
        <f t="shared" si="29"/>
        <v/>
      </c>
      <c r="I58" s="171" t="str">
        <f t="shared" si="30"/>
        <v/>
      </c>
      <c r="J58" s="1051"/>
      <c r="K58" s="3"/>
      <c r="L58" s="3"/>
      <c r="M58" s="3"/>
      <c r="N58" s="3"/>
      <c r="O58" s="3"/>
      <c r="P58" s="3"/>
      <c r="Q58" s="3"/>
      <c r="R58" s="3"/>
      <c r="S58" s="3"/>
      <c r="T58" s="3"/>
      <c r="U58" s="3"/>
      <c r="V58" s="3"/>
      <c r="W58" s="3"/>
    </row>
    <row r="59" spans="1:23" ht="15.75" customHeight="1">
      <c r="A59" s="3"/>
      <c r="B59" s="205" t="s">
        <v>118</v>
      </c>
      <c r="C59" s="184">
        <f>+Print_Mois!$L$321</f>
        <v>20034.040000000008</v>
      </c>
      <c r="D59" s="184">
        <f>+Print_Mois!$F$321</f>
        <v>0</v>
      </c>
      <c r="E59" s="184">
        <f>+Print_Mois!$Q$321</f>
        <v>0</v>
      </c>
      <c r="F59" s="185">
        <f t="shared" si="27"/>
        <v>20034.040000000008</v>
      </c>
      <c r="G59" s="186">
        <f t="shared" si="28"/>
        <v>20034.040000000008</v>
      </c>
      <c r="H59" s="187" t="str">
        <f t="shared" si="29"/>
        <v/>
      </c>
      <c r="I59" s="188" t="str">
        <f t="shared" si="30"/>
        <v/>
      </c>
      <c r="J59" s="1052"/>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316</v>
      </c>
      <c r="C61" s="213" t="s">
        <v>281</v>
      </c>
      <c r="D61" s="213" t="s">
        <v>282</v>
      </c>
      <c r="E61" s="213">
        <f>$E$3</f>
        <v>2023</v>
      </c>
      <c r="F61" s="214" t="s">
        <v>283</v>
      </c>
      <c r="G61" s="215" t="str">
        <f>$G$3</f>
        <v>▲2023</v>
      </c>
      <c r="H61" s="214" t="s">
        <v>284</v>
      </c>
      <c r="I61" s="215" t="str">
        <f>$I$3</f>
        <v>% ▲ 2023</v>
      </c>
      <c r="J61" s="216" t="s">
        <v>285</v>
      </c>
      <c r="K61" s="3"/>
      <c r="L61" s="3"/>
      <c r="M61" s="3"/>
      <c r="N61" s="3"/>
      <c r="O61" s="3"/>
      <c r="P61" s="3"/>
      <c r="Q61" s="3"/>
      <c r="R61" s="3"/>
      <c r="S61" s="3"/>
      <c r="T61" s="3"/>
      <c r="U61" s="3"/>
      <c r="V61" s="3"/>
      <c r="W61" s="3"/>
    </row>
    <row r="62" spans="1:23" ht="15" customHeight="1">
      <c r="A62" s="3"/>
      <c r="B62" s="181" t="s">
        <v>317</v>
      </c>
      <c r="C62" s="169">
        <f>+Print_Mois!$AF$434/Print_Mois!$AF$408</f>
        <v>0.27259840001594998</v>
      </c>
      <c r="D62" s="169" t="e">
        <f>+Print_Mois!$Z$434/Print_Mois!$Z$408</f>
        <v>#DIV/0!</v>
      </c>
      <c r="E62" s="169" t="e">
        <f>+Print_Mois!$AL$434/Print_Mois!$AL$408</f>
        <v>#DIV/0!</v>
      </c>
      <c r="F62" s="172" t="str">
        <f t="shared" ref="F62:G67" si="32">+IFERROR($C62-D62,"")</f>
        <v/>
      </c>
      <c r="G62" s="173" t="str">
        <f t="shared" si="32"/>
        <v/>
      </c>
      <c r="H62" s="170" t="str">
        <f t="shared" ref="H62:H67" si="33">+IFERROR(F62/ABS($D62),"")</f>
        <v/>
      </c>
      <c r="I62" s="171" t="str">
        <f t="shared" ref="I62:I67" si="34">+IFERROR(G62/ABS($E62),"")</f>
        <v/>
      </c>
      <c r="J62" s="1050"/>
      <c r="K62" s="3"/>
      <c r="L62" s="3"/>
      <c r="M62" s="3"/>
      <c r="N62" s="3"/>
      <c r="O62" s="3"/>
      <c r="P62" s="3"/>
      <c r="Q62" s="3"/>
      <c r="R62" s="3"/>
      <c r="S62" s="3"/>
      <c r="T62" s="3"/>
      <c r="U62" s="3"/>
      <c r="V62" s="3"/>
      <c r="W62" s="3"/>
    </row>
    <row r="63" spans="1:23" ht="15.75" hidden="1" customHeight="1">
      <c r="A63" s="3"/>
      <c r="B63" s="181" t="s">
        <v>318</v>
      </c>
      <c r="C63" s="217">
        <v>57</v>
      </c>
      <c r="D63" s="217">
        <v>59</v>
      </c>
      <c r="E63" s="217">
        <v>56</v>
      </c>
      <c r="F63" s="218">
        <f t="shared" si="32"/>
        <v>-2</v>
      </c>
      <c r="G63" s="219">
        <f t="shared" si="32"/>
        <v>1</v>
      </c>
      <c r="H63" s="170">
        <f t="shared" si="33"/>
        <v>-3.3898305084745763E-2</v>
      </c>
      <c r="I63" s="171">
        <f t="shared" si="34"/>
        <v>1.7857142857142856E-2</v>
      </c>
      <c r="J63" s="1051"/>
      <c r="K63" s="3"/>
      <c r="L63" s="3"/>
      <c r="M63" s="3"/>
      <c r="N63" s="3"/>
      <c r="O63" s="3"/>
      <c r="P63" s="3"/>
      <c r="Q63" s="3"/>
      <c r="R63" s="3"/>
      <c r="S63" s="3"/>
      <c r="T63" s="3"/>
      <c r="U63" s="3"/>
      <c r="V63" s="3"/>
      <c r="W63" s="3"/>
    </row>
    <row r="64" spans="1:23" ht="15.75" customHeight="1">
      <c r="A64" s="3"/>
      <c r="B64" s="181" t="s">
        <v>319</v>
      </c>
      <c r="C64" s="166">
        <f>N17+Print_Mois!$AF$415+Print_Mois!$AF$435</f>
        <v>45642.99</v>
      </c>
      <c r="D64" s="166">
        <f>+Print_Mois!$Z$415+Print_Mois!$Z$435</f>
        <v>0</v>
      </c>
      <c r="E64" s="166">
        <f>+Print_Mois!$AL$415+Print_Mois!$AL$435</f>
        <v>0</v>
      </c>
      <c r="F64" s="167">
        <f t="shared" si="32"/>
        <v>45642.99</v>
      </c>
      <c r="G64" s="168">
        <f t="shared" si="32"/>
        <v>45642.99</v>
      </c>
      <c r="H64" s="170" t="str">
        <f t="shared" si="33"/>
        <v/>
      </c>
      <c r="I64" s="171" t="str">
        <f t="shared" si="34"/>
        <v/>
      </c>
      <c r="J64" s="1051"/>
      <c r="K64" s="3"/>
      <c r="L64" s="3"/>
      <c r="M64" s="3"/>
      <c r="N64" s="3"/>
      <c r="O64" s="3"/>
      <c r="P64" s="3"/>
      <c r="Q64" s="3"/>
      <c r="R64" s="3"/>
      <c r="S64" s="3"/>
      <c r="T64" s="3"/>
      <c r="U64" s="3"/>
      <c r="V64" s="3"/>
      <c r="W64" s="3"/>
    </row>
    <row r="65" spans="1:23" ht="15.75" customHeight="1">
      <c r="A65" s="3"/>
      <c r="B65" s="181" t="s">
        <v>320</v>
      </c>
      <c r="C65" s="166">
        <f>+Print_Mois!$AF$453-Print_Mois!$AF$435</f>
        <v>64136.760000000017</v>
      </c>
      <c r="D65" s="166">
        <f>+Print_Mois!$Z$453-Print_Mois!$Z$435</f>
        <v>0</v>
      </c>
      <c r="E65" s="166">
        <f>+Print_Mois!$AL$453-Print_Mois!$AL$435</f>
        <v>0</v>
      </c>
      <c r="F65" s="167">
        <f t="shared" si="32"/>
        <v>64136.760000000017</v>
      </c>
      <c r="G65" s="168">
        <f t="shared" si="32"/>
        <v>64136.760000000017</v>
      </c>
      <c r="H65" s="170" t="str">
        <f t="shared" si="33"/>
        <v/>
      </c>
      <c r="I65" s="171" t="str">
        <f t="shared" si="34"/>
        <v/>
      </c>
      <c r="J65" s="1051"/>
      <c r="K65" s="3"/>
      <c r="L65" s="3"/>
      <c r="M65" s="3"/>
      <c r="N65" s="3"/>
      <c r="O65" s="3"/>
      <c r="P65" s="3"/>
      <c r="Q65" s="3"/>
      <c r="R65" s="3"/>
      <c r="S65" s="3"/>
      <c r="T65" s="3"/>
      <c r="U65" s="3"/>
      <c r="V65" s="3"/>
      <c r="W65" s="3"/>
    </row>
    <row r="66" spans="1:23" ht="15.75" customHeight="1">
      <c r="A66" s="3"/>
      <c r="B66" s="181" t="s">
        <v>321</v>
      </c>
      <c r="C66" s="166">
        <f>+Print_Mois!$AF$416</f>
        <v>29422.620000000006</v>
      </c>
      <c r="D66" s="166">
        <f>+Print_Mois!$Z$416</f>
        <v>0</v>
      </c>
      <c r="E66" s="166">
        <f>+Print_Mois!$AL$416</f>
        <v>0</v>
      </c>
      <c r="F66" s="167">
        <f t="shared" si="32"/>
        <v>29422.620000000006</v>
      </c>
      <c r="G66" s="168">
        <f t="shared" si="32"/>
        <v>29422.620000000006</v>
      </c>
      <c r="H66" s="170" t="str">
        <f t="shared" si="33"/>
        <v/>
      </c>
      <c r="I66" s="171" t="str">
        <f t="shared" si="34"/>
        <v/>
      </c>
      <c r="J66" s="1051"/>
      <c r="K66" s="3"/>
      <c r="L66" s="3"/>
      <c r="M66" s="3"/>
      <c r="N66" s="3"/>
      <c r="O66" s="3"/>
      <c r="P66" s="3"/>
      <c r="Q66" s="3"/>
      <c r="R66" s="3"/>
      <c r="S66" s="3"/>
      <c r="T66" s="3"/>
      <c r="U66" s="3"/>
      <c r="V66" s="3"/>
      <c r="W66" s="3"/>
    </row>
    <row r="67" spans="1:23">
      <c r="A67" s="3"/>
      <c r="B67" s="183" t="s">
        <v>322</v>
      </c>
      <c r="C67" s="184">
        <f>+Print_Mois!$AF$482-C32-C15</f>
        <v>66344.080000000016</v>
      </c>
      <c r="D67" s="184">
        <f>+Print_Mois!$Z$482-D32-D15</f>
        <v>0</v>
      </c>
      <c r="E67" s="184">
        <f>+Print_Mois!$AL$482-E32-E15</f>
        <v>0</v>
      </c>
      <c r="F67" s="185">
        <f t="shared" si="32"/>
        <v>66344.080000000016</v>
      </c>
      <c r="G67" s="186">
        <f t="shared" si="32"/>
        <v>66344.080000000016</v>
      </c>
      <c r="H67" s="187" t="str">
        <f t="shared" si="33"/>
        <v/>
      </c>
      <c r="I67" s="188" t="str">
        <f t="shared" si="34"/>
        <v/>
      </c>
      <c r="J67" s="1052"/>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323</v>
      </c>
      <c r="C69" s="221" t="s">
        <v>281</v>
      </c>
      <c r="D69" s="221" t="s">
        <v>282</v>
      </c>
      <c r="E69" s="221">
        <f>$E$3</f>
        <v>2023</v>
      </c>
      <c r="F69" s="222" t="s">
        <v>283</v>
      </c>
      <c r="G69" s="223" t="str">
        <f>$G$3</f>
        <v>▲2023</v>
      </c>
      <c r="H69" s="222" t="s">
        <v>284</v>
      </c>
      <c r="I69" s="223" t="str">
        <f>$I$3</f>
        <v>% ▲ 2023</v>
      </c>
      <c r="J69" s="224" t="s">
        <v>285</v>
      </c>
      <c r="K69" s="3"/>
      <c r="L69" s="3"/>
      <c r="M69" s="3"/>
      <c r="N69" s="3"/>
      <c r="O69" s="3"/>
      <c r="P69" s="3"/>
      <c r="Q69" s="3"/>
      <c r="R69" s="3"/>
      <c r="S69" s="3"/>
      <c r="T69" s="3"/>
      <c r="U69" s="3"/>
      <c r="V69" s="3"/>
      <c r="W69" s="3"/>
    </row>
    <row r="70" spans="1:23" ht="15" customHeight="1">
      <c r="A70" s="3"/>
      <c r="B70" s="181" t="s">
        <v>324</v>
      </c>
      <c r="C70" s="166">
        <f>+Print_Mois!$AF$420-Print_Mois!$AF$416+Print_Mois!$AF$435+Print_Mois!$AF$436+Print_Mois!$AF$437</f>
        <v>189971.1</v>
      </c>
      <c r="D70" s="166">
        <f>+Print_Mois!$Z$420-Print_Mois!$Z$416+Print_Mois!$Z$435+Print_Mois!$Z$436+Print_Mois!$Z$437</f>
        <v>0</v>
      </c>
      <c r="E70" s="166">
        <f>+Print_Mois!$AL$420-Print_Mois!$AL$416+Print_Mois!$AL$435+Print_Mois!$AL$436+Print_Mois!$AL$437</f>
        <v>0</v>
      </c>
      <c r="F70" s="225">
        <f t="shared" ref="F70:G77" si="35">+IFERROR($C70-D70,"")</f>
        <v>189971.1</v>
      </c>
      <c r="G70" s="226">
        <f t="shared" si="35"/>
        <v>189971.1</v>
      </c>
      <c r="H70" s="170" t="str">
        <f t="shared" ref="H70:H77" si="36">+IFERROR(F70/ABS($D70),"")</f>
        <v/>
      </c>
      <c r="I70" s="171" t="str">
        <f t="shared" ref="I70:I77" si="37">+IFERROR(G70/ABS($E70),"")</f>
        <v/>
      </c>
      <c r="J70" s="1050" t="s">
        <v>1105</v>
      </c>
      <c r="K70" s="3"/>
      <c r="L70" s="3"/>
      <c r="M70" s="3"/>
      <c r="N70" s="3"/>
      <c r="O70" s="3"/>
      <c r="P70" s="3"/>
      <c r="Q70" s="3"/>
      <c r="R70" s="3"/>
      <c r="S70" s="3"/>
      <c r="T70" s="3"/>
      <c r="U70" s="3"/>
      <c r="V70" s="3"/>
      <c r="W70" s="3"/>
    </row>
    <row r="71" spans="1:23" ht="15.75" customHeight="1">
      <c r="A71" s="3"/>
      <c r="B71" s="181" t="s">
        <v>325</v>
      </c>
      <c r="C71" s="169">
        <f>+C70/Print_Mois!$AF$408</f>
        <v>0.21667833162734026</v>
      </c>
      <c r="D71" s="169" t="e">
        <f>+D70/Print_Mois!$Z$408</f>
        <v>#DIV/0!</v>
      </c>
      <c r="E71" s="169" t="e">
        <f>+E70/Print_Mois!$AL$408</f>
        <v>#DIV/0!</v>
      </c>
      <c r="F71" s="172" t="str">
        <f t="shared" si="35"/>
        <v/>
      </c>
      <c r="G71" s="173" t="str">
        <f t="shared" si="35"/>
        <v/>
      </c>
      <c r="H71" s="170" t="str">
        <f t="shared" si="36"/>
        <v/>
      </c>
      <c r="I71" s="171" t="str">
        <f t="shared" si="37"/>
        <v/>
      </c>
      <c r="J71" s="1051"/>
      <c r="K71" s="3"/>
      <c r="L71" s="3"/>
      <c r="M71" s="3"/>
      <c r="N71" s="3"/>
      <c r="O71" s="3"/>
      <c r="P71" s="3"/>
      <c r="Q71" s="3"/>
      <c r="R71" s="3"/>
      <c r="S71" s="3"/>
      <c r="T71" s="3"/>
      <c r="U71" s="3"/>
      <c r="V71" s="3"/>
      <c r="W71" s="3"/>
    </row>
    <row r="72" spans="1:23" ht="15.75" customHeight="1">
      <c r="A72" s="3"/>
      <c r="B72" s="181" t="s">
        <v>326</v>
      </c>
      <c r="C72" s="166">
        <f>+Print_Mois!$AF$467+Print_Mois!$AF$434+Print_Mois!$AF$438+Print_Mois!$AF$440+SUM(Print_Mois!$AF$441:$AF$449)+Print_Mois!$AF$439</f>
        <v>490107.43000000005</v>
      </c>
      <c r="D72" s="166">
        <f>+Print_Mois!$Z$467+Print_Mois!$Z$434+Print_Mois!$Z$438+Print_Mois!$Z$440+SUM(Print_Mois!$Z$441:$Z$449)+Print_Mois!$Z$439</f>
        <v>0</v>
      </c>
      <c r="E72" s="166">
        <f>+Print_Mois!$AL$467+Print_Mois!$AL$434+Print_Mois!$AL$438+Print_Mois!$AL$440+SUM(Print_Mois!$AL$441:$AL$449)+Print_Mois!$AL$439</f>
        <v>0</v>
      </c>
      <c r="F72" s="167">
        <f t="shared" si="35"/>
        <v>490107.43000000005</v>
      </c>
      <c r="G72" s="168">
        <f t="shared" si="35"/>
        <v>490107.43000000005</v>
      </c>
      <c r="H72" s="170" t="str">
        <f t="shared" si="36"/>
        <v/>
      </c>
      <c r="I72" s="171" t="str">
        <f t="shared" si="37"/>
        <v/>
      </c>
      <c r="J72" s="1051"/>
      <c r="K72" s="3"/>
      <c r="L72" s="3"/>
      <c r="M72" s="3"/>
      <c r="N72" s="3"/>
      <c r="O72" s="3"/>
      <c r="P72" s="3"/>
      <c r="Q72" s="3"/>
      <c r="R72" s="3"/>
      <c r="S72" s="3"/>
      <c r="T72" s="3"/>
      <c r="U72" s="3"/>
      <c r="V72" s="3"/>
      <c r="W72" s="3"/>
    </row>
    <row r="73" spans="1:23" ht="15.75" customHeight="1">
      <c r="A73" s="3"/>
      <c r="B73" s="181" t="s">
        <v>327</v>
      </c>
      <c r="C73" s="169">
        <f>+C72/Print_Mois!$AF$408</f>
        <v>0.55900955593015711</v>
      </c>
      <c r="D73" s="169" t="e">
        <f>+D72/Print_Mois!$Z$408</f>
        <v>#DIV/0!</v>
      </c>
      <c r="E73" s="169" t="e">
        <f>+E72/Print_Mois!$AL$408</f>
        <v>#DIV/0!</v>
      </c>
      <c r="F73" s="172" t="str">
        <f t="shared" si="35"/>
        <v/>
      </c>
      <c r="G73" s="173" t="str">
        <f t="shared" si="35"/>
        <v/>
      </c>
      <c r="H73" s="170" t="str">
        <f t="shared" si="36"/>
        <v/>
      </c>
      <c r="I73" s="171" t="str">
        <f t="shared" si="37"/>
        <v/>
      </c>
      <c r="J73" s="1051"/>
      <c r="K73" s="3"/>
      <c r="L73" s="3"/>
      <c r="M73" s="3"/>
      <c r="N73" s="3"/>
      <c r="O73" s="3"/>
      <c r="P73" s="3"/>
      <c r="Q73" s="3"/>
      <c r="R73" s="3"/>
      <c r="S73" s="3"/>
      <c r="T73" s="3"/>
      <c r="U73" s="3"/>
      <c r="V73" s="3"/>
      <c r="W73" s="3"/>
    </row>
    <row r="74" spans="1:23" ht="15.75" customHeight="1">
      <c r="A74" s="1"/>
      <c r="B74" s="211" t="s">
        <v>328</v>
      </c>
      <c r="C74" s="200">
        <f>+Print_Mois!$AF$484+Print_Mois!$AF$416</f>
        <v>376752.03999999975</v>
      </c>
      <c r="D74" s="200">
        <f>+Print_Mois!$Z$484+Print_Mois!$Z$416</f>
        <v>0</v>
      </c>
      <c r="E74" s="200">
        <f>+Print_Mois!$AL$484+Print_Mois!$AL$416</f>
        <v>0</v>
      </c>
      <c r="F74" s="201">
        <f t="shared" si="35"/>
        <v>376752.03999999975</v>
      </c>
      <c r="G74" s="202">
        <f t="shared" si="35"/>
        <v>376752.03999999975</v>
      </c>
      <c r="H74" s="203" t="str">
        <f t="shared" si="36"/>
        <v/>
      </c>
      <c r="I74" s="204" t="str">
        <f t="shared" si="37"/>
        <v/>
      </c>
      <c r="J74" s="1051"/>
      <c r="K74" s="1"/>
      <c r="L74" s="1"/>
      <c r="M74" s="1"/>
      <c r="N74" s="1"/>
      <c r="O74" s="1"/>
      <c r="P74" s="1"/>
      <c r="Q74" s="1"/>
      <c r="R74" s="1"/>
      <c r="S74" s="1"/>
      <c r="T74" s="1"/>
      <c r="U74" s="1"/>
      <c r="V74" s="1"/>
      <c r="W74" s="1"/>
    </row>
    <row r="75" spans="1:23" ht="15.75" customHeight="1">
      <c r="A75" s="3"/>
      <c r="B75" s="165" t="s">
        <v>329</v>
      </c>
      <c r="C75" s="227">
        <f>+C74/Print_Mois!$AF$407</f>
        <v>5.8433356636031664E-2</v>
      </c>
      <c r="D75" s="227" t="e">
        <f>+D74/Print_Mois!$Z$407</f>
        <v>#DIV/0!</v>
      </c>
      <c r="E75" s="227" t="e">
        <f>+E74/Print_Mois!$AL$407</f>
        <v>#DIV/0!</v>
      </c>
      <c r="F75" s="172" t="str">
        <f t="shared" si="35"/>
        <v/>
      </c>
      <c r="G75" s="173" t="str">
        <f t="shared" si="35"/>
        <v/>
      </c>
      <c r="H75" s="170" t="str">
        <f t="shared" si="36"/>
        <v/>
      </c>
      <c r="I75" s="171" t="str">
        <f t="shared" si="37"/>
        <v/>
      </c>
      <c r="J75" s="1051"/>
      <c r="K75" s="3"/>
      <c r="L75" s="3"/>
      <c r="M75" s="3"/>
      <c r="N75" s="3"/>
      <c r="O75" s="3"/>
      <c r="P75" s="3"/>
      <c r="Q75" s="3"/>
      <c r="R75" s="3"/>
      <c r="S75" s="3"/>
      <c r="T75" s="3"/>
      <c r="U75" s="3"/>
      <c r="V75" s="3"/>
      <c r="W75" s="3"/>
    </row>
    <row r="76" spans="1:23" ht="15.75" customHeight="1">
      <c r="A76" s="1"/>
      <c r="B76" s="211" t="s">
        <v>330</v>
      </c>
      <c r="C76" s="200">
        <f>N9+Print_Mois!$AF$499</f>
        <v>343226.79999999976</v>
      </c>
      <c r="D76" s="200">
        <f>+Print_Mois!$Z$499</f>
        <v>0</v>
      </c>
      <c r="E76" s="200">
        <f>+Print_Mois!$AL$499</f>
        <v>0</v>
      </c>
      <c r="F76" s="201">
        <f t="shared" si="35"/>
        <v>343226.79999999976</v>
      </c>
      <c r="G76" s="202">
        <f t="shared" si="35"/>
        <v>343226.79999999976</v>
      </c>
      <c r="H76" s="203" t="str">
        <f t="shared" si="36"/>
        <v/>
      </c>
      <c r="I76" s="204" t="str">
        <f t="shared" si="37"/>
        <v/>
      </c>
      <c r="J76" s="1051"/>
      <c r="K76" s="1"/>
      <c r="L76" s="1"/>
      <c r="M76" s="1"/>
      <c r="N76" s="1"/>
      <c r="O76" s="1"/>
      <c r="P76" s="1"/>
      <c r="Q76" s="1"/>
      <c r="R76" s="1"/>
      <c r="S76" s="1"/>
      <c r="T76" s="1"/>
      <c r="U76" s="1"/>
      <c r="V76" s="1"/>
      <c r="W76" s="1"/>
    </row>
    <row r="77" spans="1:23" ht="15.75" customHeight="1">
      <c r="A77" s="3"/>
      <c r="B77" s="183" t="s">
        <v>331</v>
      </c>
      <c r="C77" s="228">
        <f>+C76/Print_Mois!$AF$407</f>
        <v>5.3233670643014736E-2</v>
      </c>
      <c r="D77" s="228" t="e">
        <f>+D76/Print_Mois!$Z$407</f>
        <v>#DIV/0!</v>
      </c>
      <c r="E77" s="228" t="e">
        <f>+E76/Print_Mois!$AL$407</f>
        <v>#DIV/0!</v>
      </c>
      <c r="F77" s="229" t="str">
        <f t="shared" si="35"/>
        <v/>
      </c>
      <c r="G77" s="230" t="str">
        <f t="shared" si="35"/>
        <v/>
      </c>
      <c r="H77" s="187" t="str">
        <f t="shared" si="36"/>
        <v/>
      </c>
      <c r="I77" s="188" t="str">
        <f t="shared" si="37"/>
        <v/>
      </c>
      <c r="J77" s="1052"/>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803" t="s">
        <v>699</v>
      </c>
      <c r="C79" s="804"/>
      <c r="D79" s="805"/>
      <c r="E79" s="3"/>
      <c r="F79" s="3"/>
      <c r="G79" s="3"/>
      <c r="H79" s="3"/>
      <c r="I79" s="3"/>
      <c r="J79" s="3"/>
      <c r="K79" s="3"/>
      <c r="L79" s="3"/>
      <c r="M79" s="3"/>
      <c r="N79" s="3"/>
      <c r="O79" s="3"/>
      <c r="P79" s="3"/>
      <c r="Q79" s="3"/>
      <c r="R79" s="3"/>
      <c r="S79" s="3"/>
      <c r="T79" s="3"/>
      <c r="U79" s="3"/>
      <c r="V79" s="3"/>
      <c r="W79" s="3"/>
    </row>
    <row r="80" spans="1:23" ht="15.75" customHeight="1">
      <c r="A80" s="3"/>
      <c r="B80" s="806" t="s">
        <v>328</v>
      </c>
      <c r="C80" s="807">
        <v>59525</v>
      </c>
      <c r="D80" s="823">
        <v>1.0999999999999999E-2</v>
      </c>
      <c r="E80" s="3"/>
      <c r="F80" s="3"/>
      <c r="G80" s="3"/>
      <c r="H80" s="3"/>
      <c r="I80" s="3"/>
      <c r="J80" s="3"/>
      <c r="K80" s="3"/>
      <c r="L80" s="3"/>
      <c r="M80" s="3"/>
      <c r="N80" s="3"/>
      <c r="O80" s="3"/>
      <c r="P80" s="3"/>
      <c r="Q80" s="3"/>
      <c r="R80" s="3"/>
      <c r="S80" s="3"/>
      <c r="T80" s="3"/>
      <c r="U80" s="3"/>
      <c r="V80" s="3"/>
      <c r="W80" s="3"/>
    </row>
    <row r="81" spans="1:23" ht="15.75" customHeight="1">
      <c r="A81" s="3"/>
      <c r="B81" s="806" t="s">
        <v>332</v>
      </c>
      <c r="C81" s="809">
        <f>+C74-C80</f>
        <v>317227.03999999975</v>
      </c>
      <c r="D81" s="808"/>
      <c r="E81" s="3"/>
      <c r="F81" s="3"/>
      <c r="G81" s="3"/>
      <c r="H81" s="3"/>
      <c r="I81" s="3"/>
      <c r="J81" s="3"/>
      <c r="K81" s="3"/>
      <c r="L81" s="3"/>
      <c r="M81" s="3"/>
      <c r="N81" s="3"/>
      <c r="O81" s="3"/>
      <c r="P81" s="3"/>
      <c r="Q81" s="3"/>
      <c r="R81" s="3"/>
      <c r="S81" s="3"/>
      <c r="T81" s="3"/>
      <c r="U81" s="3"/>
      <c r="V81" s="3"/>
      <c r="W81" s="3"/>
    </row>
    <row r="82" spans="1:23" ht="15.75" customHeight="1">
      <c r="A82" s="3"/>
      <c r="B82" s="810"/>
      <c r="C82" s="811"/>
      <c r="D82" s="808"/>
      <c r="E82" s="3"/>
      <c r="F82" s="3"/>
      <c r="G82" s="3"/>
      <c r="H82" s="3"/>
      <c r="I82" s="3"/>
      <c r="J82" s="3"/>
      <c r="K82" s="3"/>
      <c r="L82" s="3"/>
      <c r="M82" s="3"/>
      <c r="N82" s="3"/>
      <c r="O82" s="3"/>
      <c r="P82" s="3"/>
      <c r="Q82" s="3"/>
      <c r="R82" s="3"/>
      <c r="S82" s="3"/>
      <c r="T82" s="3"/>
      <c r="U82" s="3"/>
      <c r="V82" s="3"/>
      <c r="W82" s="3"/>
    </row>
    <row r="83" spans="1:23" ht="15.75" customHeight="1">
      <c r="A83" s="3"/>
      <c r="B83" s="806" t="s">
        <v>330</v>
      </c>
      <c r="C83" s="807">
        <v>-23522</v>
      </c>
      <c r="D83" s="823">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812" t="s">
        <v>332</v>
      </c>
      <c r="C84" s="813">
        <f>+C76-C83</f>
        <v>366748.79999999976</v>
      </c>
      <c r="D84" s="87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779" t="str">
        <f>+Parametres!B1</f>
        <v>Hyundai</v>
      </c>
      <c r="C86" s="792" t="str">
        <f>Parametres!$B$3&amp;" "&amp;Parametres!$B$4</f>
        <v>Mai 2025</v>
      </c>
      <c r="D86" s="793" t="s">
        <v>1113</v>
      </c>
      <c r="E86" s="3"/>
      <c r="F86" s="3"/>
      <c r="G86" s="3"/>
      <c r="H86" s="3"/>
      <c r="I86" s="3"/>
      <c r="J86" s="3"/>
      <c r="K86" s="3"/>
      <c r="L86" s="3"/>
      <c r="M86" s="3"/>
      <c r="N86" s="3"/>
      <c r="O86" s="3"/>
      <c r="P86" s="3"/>
      <c r="Q86" s="3"/>
      <c r="R86" s="3"/>
      <c r="S86" s="3"/>
      <c r="T86" s="3"/>
      <c r="U86" s="3"/>
      <c r="V86" s="3"/>
      <c r="W86" s="3"/>
    </row>
    <row r="87" spans="1:23" ht="24" customHeight="1">
      <c r="A87" s="3"/>
      <c r="B87" s="780" t="str">
        <f>CONCATENATE("Réalisé ",Parametres!$B$3," ",Parametres!$B$4)</f>
        <v>Réalisé Mai 2025</v>
      </c>
      <c r="C87" s="790">
        <f>+C76</f>
        <v>343226.79999999976</v>
      </c>
      <c r="D87" s="781">
        <f>+Print_AAD!AF499</f>
        <v>1228215.0399999993</v>
      </c>
      <c r="E87" s="3"/>
      <c r="F87" s="189"/>
      <c r="G87" s="3"/>
      <c r="H87" s="3"/>
      <c r="I87" s="3"/>
      <c r="J87" s="3"/>
      <c r="K87" s="3"/>
      <c r="L87" s="3"/>
      <c r="M87" s="3"/>
      <c r="N87" s="3"/>
      <c r="O87" s="3"/>
      <c r="P87" s="3"/>
      <c r="Q87" s="3"/>
      <c r="R87" s="3"/>
      <c r="S87" s="3"/>
      <c r="T87" s="3"/>
      <c r="U87" s="3"/>
      <c r="V87" s="3"/>
      <c r="W87" s="3"/>
    </row>
    <row r="88" spans="1:23" ht="24" customHeight="1">
      <c r="A88" s="3"/>
      <c r="B88" s="780" t="str">
        <f>CONCATENATE("Budget ",Parametres!$B$3," ",Parametres!$B$4)</f>
        <v>Budget Mai 2025</v>
      </c>
      <c r="C88" s="791">
        <f>+D76</f>
        <v>0</v>
      </c>
      <c r="D88" s="782">
        <f>+Print_AAD!Z499</f>
        <v>0</v>
      </c>
      <c r="E88" s="3"/>
      <c r="F88" s="3"/>
      <c r="G88" s="3"/>
      <c r="H88" s="3"/>
      <c r="I88" s="3"/>
      <c r="J88" s="3"/>
      <c r="K88" s="3"/>
      <c r="L88" s="3"/>
      <c r="M88" s="3"/>
      <c r="N88" s="3"/>
      <c r="O88" s="3"/>
      <c r="P88" s="3"/>
      <c r="Q88" s="3"/>
      <c r="R88" s="3"/>
      <c r="S88" s="3"/>
      <c r="T88" s="3"/>
      <c r="U88" s="3"/>
      <c r="V88" s="3"/>
      <c r="W88" s="3"/>
    </row>
    <row r="89" spans="1:23" ht="24" customHeight="1" thickBot="1">
      <c r="A89" s="3"/>
      <c r="B89" s="783" t="str">
        <f>CONCATENATE("Réalisé ",Parametres!$B$3," ",Parametres!$B$4-1)</f>
        <v>Réalisé Mai 2024</v>
      </c>
      <c r="C89" s="794">
        <f>+E76</f>
        <v>0</v>
      </c>
      <c r="D89" s="784">
        <f>+Print_AAD!AL499</f>
        <v>0</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4"/>
  <sheetViews>
    <sheetView topLeftCell="C1" zoomScale="80" zoomScaleNormal="80" workbookViewId="0">
      <selection activeCell="J6" sqref="J6"/>
    </sheetView>
  </sheetViews>
  <sheetFormatPr baseColWidth="10" defaultColWidth="11.625" defaultRowHeight="15" customHeight="1"/>
  <cols>
    <col min="1" max="1" width="0" hidden="1" customWidth="1"/>
    <col min="2" max="2" width="21.875" hidden="1" customWidth="1"/>
    <col min="3" max="3" width="39.375" customWidth="1"/>
    <col min="4" max="5" width="11.625" hidden="1" customWidth="1"/>
    <col min="6" max="6" width="13.875" hidden="1" customWidth="1"/>
    <col min="7" max="9" width="11.625" hidden="1" customWidth="1"/>
    <col min="10" max="10" width="14.25" bestFit="1" customWidth="1"/>
    <col min="11" max="11" width="13.875" customWidth="1"/>
    <col min="12" max="12" width="15.25" customWidth="1"/>
    <col min="13" max="13" width="18.25" hidden="1" customWidth="1"/>
    <col min="14" max="14" width="13.375" hidden="1" customWidth="1"/>
    <col min="15" max="15" width="14" customWidth="1"/>
    <col min="16" max="16" width="13" customWidth="1"/>
    <col min="17" max="17" width="18.125" customWidth="1"/>
    <col min="18" max="18" width="17.375" customWidth="1"/>
    <col min="19" max="19" width="15.875" customWidth="1"/>
    <col min="22" max="22" width="42.375" bestFit="1" customWidth="1"/>
    <col min="23" max="29" width="11.625" hidden="1" customWidth="1"/>
    <col min="30" max="30" width="14.5" customWidth="1"/>
    <col min="31" max="31" width="14.875" customWidth="1"/>
    <col min="32" max="32" width="15" customWidth="1"/>
    <col min="33" max="35" width="0" hidden="1" customWidth="1"/>
    <col min="36" max="36" width="13.5" customWidth="1"/>
    <col min="37" max="37" width="13.375" customWidth="1"/>
    <col min="38" max="38" width="15.375" customWidth="1"/>
    <col min="39" max="39" width="13.5" customWidth="1"/>
    <col min="40" max="40" width="13.875" customWidth="1"/>
    <col min="41" max="41" width="14.125" customWidth="1"/>
  </cols>
  <sheetData>
    <row r="1" spans="1:40" ht="35.25">
      <c r="B1" s="36"/>
      <c r="C1" s="764" t="str">
        <f>Parametres!B1</f>
        <v>Hyundai</v>
      </c>
      <c r="D1" s="231"/>
      <c r="E1" s="232"/>
      <c r="F1" s="231"/>
      <c r="G1" s="231"/>
      <c r="H1" s="36"/>
      <c r="I1" s="231"/>
      <c r="J1" s="36"/>
      <c r="K1" s="9" t="s">
        <v>88</v>
      </c>
      <c r="L1" s="231"/>
      <c r="M1" s="231"/>
      <c r="N1" s="233"/>
      <c r="O1" s="764"/>
      <c r="P1" s="765"/>
      <c r="Q1" s="764"/>
      <c r="R1" s="765"/>
      <c r="S1" s="766" t="str">
        <f>CONCATENATE("Réalisé,"," ",Parametres!B3," ",Parametres!B4)</f>
        <v>Réalisé, Mai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V2" s="235" t="s">
        <v>338</v>
      </c>
      <c r="W2" s="236"/>
    </row>
    <row r="3" spans="1:40" ht="20.25">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238" t="s">
        <v>343</v>
      </c>
      <c r="W3" s="239">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238" t="s">
        <v>345</v>
      </c>
      <c r="W4" s="239">
        <v>0.1</v>
      </c>
      <c r="X4" s="41"/>
      <c r="Y4" s="41"/>
      <c r="Z4" s="41"/>
      <c r="AA4" s="41"/>
      <c r="AB4" s="41"/>
      <c r="AC4" s="41"/>
      <c r="AD4" s="41"/>
      <c r="AE4" s="41"/>
      <c r="AF4" s="41"/>
      <c r="AG4" s="41"/>
      <c r="AH4" s="41"/>
      <c r="AI4" s="41"/>
      <c r="AJ4" s="41"/>
      <c r="AK4" s="41"/>
      <c r="AL4" s="41"/>
      <c r="AM4" s="41"/>
      <c r="AN4" s="41"/>
    </row>
    <row r="5" spans="1:40" ht="20.25">
      <c r="A5" s="5" t="s">
        <v>346</v>
      </c>
      <c r="B5" s="41" t="s">
        <v>88</v>
      </c>
      <c r="C5" s="245" t="s">
        <v>92</v>
      </c>
      <c r="D5" s="246"/>
      <c r="E5" s="246"/>
      <c r="F5" s="247">
        <f>+INDEX('Budget original'!$A$2:$AO$501,MATCH($A5,'Budget original'!$A$2:$A$501,0),MATCH(F$2,'Budget original'!$A$2:$AO$2,0))</f>
        <v>0</v>
      </c>
      <c r="G5" s="246"/>
      <c r="H5" s="246"/>
      <c r="I5" s="248"/>
      <c r="J5" s="245"/>
      <c r="K5" s="249"/>
      <c r="L5" s="247">
        <f>-SUMIFS(BV_Data_An_Cour!$AM:$AM,BV_Data_An_Cour!$AS:$AS,"Oui",BV_Data_An_Cour!$AP:$AP,$B5)</f>
        <v>4204632.49</v>
      </c>
      <c r="M5" s="250"/>
      <c r="N5" s="251"/>
      <c r="O5" s="245"/>
      <c r="P5" s="249"/>
      <c r="Q5" s="247">
        <f>-SUMIFS(BV_Data_An_Prec!$AM:$AM,BV_Data_An_Prec!$AS:$AS,"Oui",BV_Data_An_Prec!$AP:$AP,$B5)</f>
        <v>0</v>
      </c>
      <c r="R5" s="250"/>
      <c r="S5" s="251"/>
      <c r="T5" s="41"/>
      <c r="U5" s="41"/>
      <c r="V5" s="238" t="s">
        <v>347</v>
      </c>
      <c r="W5" s="239">
        <v>0.22500000000000001</v>
      </c>
      <c r="X5" s="41"/>
      <c r="Y5" s="41"/>
      <c r="Z5" s="41"/>
      <c r="AA5" s="41"/>
      <c r="AB5" s="41"/>
      <c r="AC5" s="41"/>
      <c r="AD5" s="41"/>
      <c r="AE5" s="41"/>
      <c r="AF5" s="41"/>
      <c r="AG5" s="41"/>
      <c r="AH5" s="41"/>
      <c r="AI5" s="41"/>
      <c r="AJ5" s="41"/>
      <c r="AK5" s="41"/>
      <c r="AL5" s="41"/>
      <c r="AM5" s="41"/>
      <c r="AN5" s="41"/>
    </row>
    <row r="6" spans="1:40" ht="20.25">
      <c r="A6" s="5" t="s">
        <v>348</v>
      </c>
      <c r="B6" s="41" t="s">
        <v>88</v>
      </c>
      <c r="C6" s="252" t="s">
        <v>93</v>
      </c>
      <c r="D6" s="253">
        <f>+INDEX('Budget original'!$A$2:$AO$501,MATCH($A6,'Budget original'!$A$2:$A$501,0),MATCH(D$2,'Budget original'!$A$2:$AO$2,0))</f>
        <v>0</v>
      </c>
      <c r="E6" s="253">
        <f>IF(D6=0,0,F6/D6)</f>
        <v>0</v>
      </c>
      <c r="F6" s="253">
        <f>+INDEX('Budget original'!$A$2:$AO$501,MATCH($A6,'Budget original'!$A$2:$A$501,0),MATCH(F$2,'Budget original'!$A$2:$AO$2,0))</f>
        <v>0</v>
      </c>
      <c r="G6" s="254"/>
      <c r="H6" s="253"/>
      <c r="I6" s="253"/>
      <c r="J6" s="254">
        <f>SUMIFS(BV_Data_An_Cour!$AW:$AW,BV_Data_An_Cour!$AP:$AP,$B6,BV_Data_An_Cour!$AQ:$AQ,$C6,BV_Data_An_Cour!$AY:$AY,J$2)</f>
        <v>16</v>
      </c>
      <c r="K6" s="253">
        <f t="shared" ref="K6:K12" si="0">IF(J6=0,0,L6/J6)</f>
        <v>2063.5425000000014</v>
      </c>
      <c r="L6" s="255">
        <f>-SUMIFS(BV_Data_An_Cour!$AM:$AM,BV_Data_An_Cour!$AP:$AP,$B6,BV_Data_An_Cour!$AQ:$AQ,$C6,BV_Data_An_Cour!$AR:$AR,L$2)</f>
        <v>33016.680000000022</v>
      </c>
      <c r="M6" s="254">
        <f t="shared" ref="M6:M12" si="1">J6-D6</f>
        <v>16</v>
      </c>
      <c r="N6" s="255">
        <f t="shared" ref="N6:N12" si="2">L6-F6</f>
        <v>33016.680000000022</v>
      </c>
      <c r="O6" s="254">
        <f>SUMIFS(BV_Data_An_Prec!$AW:$AW,BV_Data_An_Prec!$AP:$AP,$B6,BV_Data_An_Prec!$AQ:$AQ,$C6,BV_Data_An_Prec!$AY:$AY,O$2)</f>
        <v>0</v>
      </c>
      <c r="P6" s="253">
        <f t="shared" ref="P6:P12" si="3">IF(O6=0,0,Q6/O6)</f>
        <v>0</v>
      </c>
      <c r="Q6" s="255">
        <f>-SUMIFS(BV_Data_An_Prec!$AM:$AM,BV_Data_An_Prec!$AP:$AP,$B6,BV_Data_An_Prec!$AQ:$AQ,$C6,BV_Data_An_Prec!$AR:$AR,Q$2)</f>
        <v>0</v>
      </c>
      <c r="R6" s="254">
        <f t="shared" ref="R6:R12" si="4">J6-O6</f>
        <v>16</v>
      </c>
      <c r="S6" s="255">
        <f t="shared" ref="S6:S12" si="5">L6-Q6</f>
        <v>33016.680000000022</v>
      </c>
      <c r="T6" s="41"/>
      <c r="U6" s="41"/>
      <c r="V6" s="238" t="s">
        <v>349</v>
      </c>
      <c r="W6" s="239">
        <v>2.5000000000000001E-2</v>
      </c>
      <c r="X6" s="41"/>
      <c r="Y6" s="41"/>
      <c r="Z6" s="41"/>
      <c r="AA6" s="41"/>
      <c r="AB6" s="41"/>
      <c r="AC6" s="41"/>
      <c r="AD6" s="41"/>
      <c r="AE6" s="41"/>
      <c r="AF6" s="41"/>
      <c r="AG6" s="41"/>
      <c r="AH6" s="41"/>
      <c r="AI6" s="41"/>
      <c r="AJ6" s="41"/>
      <c r="AK6" s="41"/>
      <c r="AL6" s="41"/>
      <c r="AM6" s="41"/>
      <c r="AN6" s="41"/>
    </row>
    <row r="7" spans="1:40" ht="20.25">
      <c r="A7" s="5" t="s">
        <v>350</v>
      </c>
      <c r="B7" s="41" t="s">
        <v>88</v>
      </c>
      <c r="C7" s="252" t="s">
        <v>94</v>
      </c>
      <c r="D7" s="253">
        <f>+INDEX('Budget original'!$A$2:$AO$501,MATCH($A7,'Budget original'!$A$2:$A$501,0),MATCH(D$2,'Budget original'!$A$2:$AO$2,0))</f>
        <v>0</v>
      </c>
      <c r="E7" s="253">
        <f t="shared" ref="E7:E12" si="6">IF(D7=0,0,F7/D7)</f>
        <v>0</v>
      </c>
      <c r="F7" s="253">
        <f>+INDEX('Budget original'!$A$2:$AO$501,MATCH($A7,'Budget original'!$A$2:$A$501,0),MATCH(F$2,'Budget original'!$A$2:$AO$2,0))</f>
        <v>0</v>
      </c>
      <c r="G7" s="254"/>
      <c r="H7" s="253"/>
      <c r="I7" s="253"/>
      <c r="J7" s="254">
        <f>SUMIFS(BV_Data_An_Cour!$AW:$AW,BV_Data_An_Cour!$AP:$AP,$B7,BV_Data_An_Cour!$AQ:$AQ,$C7,BV_Data_An_Cour!$AY:$AY,J$2)</f>
        <v>58</v>
      </c>
      <c r="K7" s="253">
        <f t="shared" si="0"/>
        <v>2293.427241379311</v>
      </c>
      <c r="L7" s="255">
        <f>-SUMIFS(BV_Data_An_Cour!$AM:$AM,BV_Data_An_Cour!$AP:$AP,$B7,BV_Data_An_Cour!$AQ:$AQ,$C7,BV_Data_An_Cour!$AR:$AR,L$2)</f>
        <v>133018.78000000003</v>
      </c>
      <c r="M7" s="254">
        <f t="shared" si="1"/>
        <v>58</v>
      </c>
      <c r="N7" s="255">
        <f t="shared" si="2"/>
        <v>133018.78000000003</v>
      </c>
      <c r="O7" s="254">
        <f>SUMIFS(BV_Data_An_Prec!$AW:$AW,BV_Data_An_Prec!$AP:$AP,$B7,BV_Data_An_Prec!$AQ:$AQ,$C7,BV_Data_An_Prec!$AY:$AY,O$2)</f>
        <v>0</v>
      </c>
      <c r="P7" s="253">
        <f t="shared" si="3"/>
        <v>0</v>
      </c>
      <c r="Q7" s="255">
        <f>-SUMIFS(BV_Data_An_Prec!$AM:$AM,BV_Data_An_Prec!$AP:$AP,$B7,BV_Data_An_Prec!$AQ:$AQ,$C7,BV_Data_An_Prec!$AR:$AR,Q$2)</f>
        <v>0</v>
      </c>
      <c r="R7" s="254">
        <f t="shared" si="4"/>
        <v>58</v>
      </c>
      <c r="S7" s="255">
        <f t="shared" si="5"/>
        <v>133018.78000000003</v>
      </c>
      <c r="T7" s="41"/>
      <c r="U7" s="41"/>
      <c r="V7" s="238" t="s">
        <v>351</v>
      </c>
      <c r="W7" s="239">
        <v>0.2</v>
      </c>
      <c r="X7" s="41"/>
      <c r="Y7" s="41"/>
      <c r="Z7" s="41"/>
      <c r="AA7" s="41"/>
      <c r="AB7" s="41"/>
      <c r="AC7" s="41"/>
      <c r="AD7" s="41"/>
      <c r="AE7" s="41"/>
      <c r="AF7" s="41"/>
      <c r="AG7" s="41"/>
      <c r="AH7" s="41"/>
      <c r="AI7" s="41"/>
      <c r="AJ7" s="41"/>
      <c r="AK7" s="41"/>
      <c r="AL7" s="41"/>
      <c r="AM7" s="41"/>
      <c r="AN7" s="41"/>
    </row>
    <row r="8" spans="1:40" ht="20.25">
      <c r="A8" s="5" t="s">
        <v>352</v>
      </c>
      <c r="B8" s="41" t="s">
        <v>88</v>
      </c>
      <c r="C8" s="252" t="s">
        <v>2712</v>
      </c>
      <c r="D8" s="253">
        <f>+INDEX('Budget original'!$A$2:$AO$501,MATCH($A8,'Budget original'!$A$2:$A$501,0),MATCH(D$2,'Budget original'!$A$2:$AO$2,0))</f>
        <v>0</v>
      </c>
      <c r="E8" s="253">
        <f t="shared" si="6"/>
        <v>0</v>
      </c>
      <c r="F8" s="253">
        <f>+INDEX('Budget original'!$A$2:$AO$501,MATCH($A8,'Budget original'!$A$2:$A$501,0),MATCH(F$2,'Budget original'!$A$2:$AO$2,0))</f>
        <v>0</v>
      </c>
      <c r="G8" s="254"/>
      <c r="H8" s="253"/>
      <c r="I8" s="253"/>
      <c r="J8" s="254">
        <f>SUMIFS(BV_Data_An_Cour!$AW:$AW,BV_Data_An_Cour!$AP:$AP,$B8,BV_Data_An_Cour!$AQ:$AQ,$C8,BV_Data_An_Cour!$AY:$AY,J$2)</f>
        <v>24</v>
      </c>
      <c r="K8" s="253">
        <f t="shared" si="0"/>
        <v>1897.4083333333208</v>
      </c>
      <c r="L8" s="255">
        <f>-SUMIFS(BV_Data_An_Cour!$AM:$AM,BV_Data_An_Cour!$AP:$AP,$B8,BV_Data_An_Cour!$AQ:$AQ,$C8,BV_Data_An_Cour!$AR:$AR,L$2)</f>
        <v>45537.799999999697</v>
      </c>
      <c r="M8" s="254">
        <f t="shared" si="1"/>
        <v>24</v>
      </c>
      <c r="N8" s="255">
        <f t="shared" si="2"/>
        <v>45537.799999999697</v>
      </c>
      <c r="O8" s="254">
        <f>SUMIFS(BV_Data_An_Prec!$AW:$AW,BV_Data_An_Prec!$AP:$AP,$B8,BV_Data_An_Prec!$AQ:$AQ,$C8,BV_Data_An_Prec!$AY:$AY,O$2)</f>
        <v>0</v>
      </c>
      <c r="P8" s="253">
        <f t="shared" si="3"/>
        <v>0</v>
      </c>
      <c r="Q8" s="255">
        <f>-SUMIFS(BV_Data_An_Prec!$AM:$AM,BV_Data_An_Prec!$AP:$AP,$B8,BV_Data_An_Prec!$AQ:$AQ,$C8,BV_Data_An_Prec!$AR:$AR,Q$2)</f>
        <v>0</v>
      </c>
      <c r="R8" s="254">
        <f t="shared" si="4"/>
        <v>24</v>
      </c>
      <c r="S8" s="255">
        <f t="shared" si="5"/>
        <v>45537.799999999697</v>
      </c>
      <c r="T8" s="41"/>
      <c r="U8" s="41"/>
      <c r="V8" s="256"/>
      <c r="W8" s="257">
        <f>SUM(W3:W7)</f>
        <v>1</v>
      </c>
      <c r="X8" s="41"/>
      <c r="Y8" s="41"/>
      <c r="Z8" s="41"/>
      <c r="AA8" s="41"/>
      <c r="AB8" s="41"/>
      <c r="AC8" s="41"/>
      <c r="AD8" s="41"/>
      <c r="AE8" s="41"/>
      <c r="AF8" s="41"/>
      <c r="AG8" s="41"/>
      <c r="AH8" s="41"/>
      <c r="AI8" s="41"/>
      <c r="AJ8" s="41"/>
      <c r="AK8" s="41"/>
      <c r="AL8" s="41"/>
      <c r="AM8" s="41"/>
      <c r="AN8" s="41"/>
    </row>
    <row r="9" spans="1:40" ht="21" thickTop="1">
      <c r="A9" s="5" t="s">
        <v>353</v>
      </c>
      <c r="B9" s="41" t="s">
        <v>88</v>
      </c>
      <c r="C9" s="252" t="s">
        <v>1116</v>
      </c>
      <c r="D9" s="253">
        <f>+INDEX('Budget original'!$A$2:$AO$501,MATCH($A9,'Budget original'!$A$2:$A$501,0),MATCH(D$2,'Budget original'!$A$2:$AO$2,0))</f>
        <v>0</v>
      </c>
      <c r="E9" s="253">
        <f t="shared" si="6"/>
        <v>0</v>
      </c>
      <c r="F9" s="253">
        <f>+INDEX('Budget original'!$A$2:$AO$501,MATCH($A9,'Budget original'!$A$2:$A$501,0),MATCH(F$2,'Budget original'!$A$2:$AO$2,0))</f>
        <v>0</v>
      </c>
      <c r="G9" s="254"/>
      <c r="H9" s="253"/>
      <c r="I9" s="253"/>
      <c r="J9" s="254">
        <f>SUMIFS(BV_Data_An_Cour!$AW:$AW,BV_Data_An_Cour!$AP:$AP,$B9,BV_Data_An_Cour!$AQ:$AQ,$C9,BV_Data_An_Cour!$AY:$AY,J$2)</f>
        <v>15</v>
      </c>
      <c r="K9" s="253">
        <f t="shared" si="0"/>
        <v>-73.881999999990995</v>
      </c>
      <c r="L9" s="255">
        <f>-SUMIFS(BV_Data_An_Cour!$AM:$AM,BV_Data_An_Cour!$AP:$AP,$B9,BV_Data_An_Cour!$AQ:$AQ,$C9,BV_Data_An_Cour!$AR:$AR,L$2)</f>
        <v>-1108.229999999865</v>
      </c>
      <c r="M9" s="254">
        <f t="shared" si="1"/>
        <v>15</v>
      </c>
      <c r="N9" s="255">
        <f t="shared" si="2"/>
        <v>-1108.229999999865</v>
      </c>
      <c r="O9" s="254">
        <f>SUMIFS(BV_Data_An_Prec!$AW:$AW,BV_Data_An_Prec!$AP:$AP,$B9,BV_Data_An_Prec!$AQ:$AQ,$C9,BV_Data_An_Prec!$AY:$AY,O$2)</f>
        <v>0</v>
      </c>
      <c r="P9" s="253">
        <f t="shared" si="3"/>
        <v>0</v>
      </c>
      <c r="Q9" s="255">
        <f>-SUMIFS(BV_Data_An_Prec!$AM:$AM,BV_Data_An_Prec!$AP:$AP,$B9,BV_Data_An_Prec!$AQ:$AQ,$C9,BV_Data_An_Prec!$AR:$AR,Q$2)</f>
        <v>0</v>
      </c>
      <c r="R9" s="254">
        <f t="shared" si="4"/>
        <v>15</v>
      </c>
      <c r="S9" s="255">
        <f t="shared" si="5"/>
        <v>-1108.229999999865</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354</v>
      </c>
      <c r="B10" s="41" t="s">
        <v>88</v>
      </c>
      <c r="C10" s="252" t="s">
        <v>55</v>
      </c>
      <c r="D10" s="253">
        <f>+INDEX('Budget original'!$A$2:$AO$501,MATCH($A10,'Budget original'!$A$2:$A$501,0),MATCH(D$2,'Budget original'!$A$2:$AO$2,0))</f>
        <v>0</v>
      </c>
      <c r="E10" s="253">
        <f t="shared" si="6"/>
        <v>0</v>
      </c>
      <c r="F10" s="253">
        <f>+INDEX('Budget original'!$A$2:$AO$501,MATCH($A10,'Budget original'!$A$2:$A$501,0),MATCH(F$2,'Budget original'!$A$2:$AO$2,0))</f>
        <v>0</v>
      </c>
      <c r="G10" s="254"/>
      <c r="H10" s="253"/>
      <c r="I10" s="253"/>
      <c r="J10" s="254">
        <f>-SUMIFS(BV_Data_An_Cour!$AM:$AM,BV_Data_An_Cour!$AP:$AP,$B10,BV_Data_An_Cour!$AQ:$AQ,$C10,BV_Data_An_Cour!$AR:$AR,J$2)</f>
        <v>0</v>
      </c>
      <c r="K10" s="253">
        <f t="shared" si="0"/>
        <v>0</v>
      </c>
      <c r="L10" s="255">
        <f>-SUMIFS(BV_Data_An_Cour!$AM:$AM,BV_Data_An_Cour!$AP:$AP,$B10,BV_Data_An_Cour!$AQ:$AQ,$C10,BV_Data_An_Cour!$AR:$AR,L$2)</f>
        <v>0</v>
      </c>
      <c r="M10" s="254">
        <f t="shared" si="1"/>
        <v>0</v>
      </c>
      <c r="N10" s="255">
        <f t="shared" si="2"/>
        <v>0</v>
      </c>
      <c r="O10" s="254">
        <f>-SUMIFS(BV_Data_An_Prec!$AM:$AM,BV_Data_An_Prec!$AP:$AP,$B10,BV_Data_An_Prec!$AQ:$AQ,$C10,BV_Data_An_Prec!$AR:$AR,O$2)</f>
        <v>0</v>
      </c>
      <c r="P10" s="253">
        <f t="shared" si="3"/>
        <v>0</v>
      </c>
      <c r="Q10" s="255">
        <f>-SUMIFS(BV_Data_An_Prec!$AM:$AM,BV_Data_An_Prec!$AP:$AP,$B10,BV_Data_An_Prec!$AQ:$AQ,$C10,BV_Data_An_Prec!$AR:$AR,Q$2)</f>
        <v>0</v>
      </c>
      <c r="R10" s="254">
        <f t="shared" si="4"/>
        <v>0</v>
      </c>
      <c r="S10" s="255">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354</v>
      </c>
      <c r="B11" s="41" t="s">
        <v>88</v>
      </c>
      <c r="C11" s="252" t="s">
        <v>55</v>
      </c>
      <c r="D11" s="253">
        <f>+INDEX('Budget original'!$A$2:$AO$501,MATCH($A11,'Budget original'!$A$2:$A$501,0),MATCH(D$2,'Budget original'!$A$2:$AO$2,0))</f>
        <v>0</v>
      </c>
      <c r="E11" s="253">
        <f t="shared" si="6"/>
        <v>0</v>
      </c>
      <c r="F11" s="253">
        <f>+INDEX('Budget original'!$A$2:$AO$501,MATCH($A11,'Budget original'!$A$2:$A$501,0),MATCH(F$2,'Budget original'!$A$2:$AO$2,0))</f>
        <v>0</v>
      </c>
      <c r="G11" s="254"/>
      <c r="H11" s="253"/>
      <c r="I11" s="253"/>
      <c r="J11" s="254">
        <f>-SUMIFS(BV_Data_An_Cour!$AM:$AM,BV_Data_An_Cour!$AP:$AP,$B11,BV_Data_An_Cour!$AQ:$AQ,$C11,BV_Data_An_Cour!$AR:$AR,J$2)</f>
        <v>0</v>
      </c>
      <c r="K11" s="253">
        <f t="shared" si="0"/>
        <v>0</v>
      </c>
      <c r="L11" s="255">
        <f>-SUMIFS(BV_Data_An_Cour!$AM:$AM,BV_Data_An_Cour!$AP:$AP,$B11,BV_Data_An_Cour!$AQ:$AQ,$C11,BV_Data_An_Cour!$AR:$AR,L$2)</f>
        <v>0</v>
      </c>
      <c r="M11" s="254">
        <f t="shared" si="1"/>
        <v>0</v>
      </c>
      <c r="N11" s="255">
        <f t="shared" si="2"/>
        <v>0</v>
      </c>
      <c r="O11" s="254">
        <f>-SUMIFS(BV_Data_An_Prec!$AM:$AM,BV_Data_An_Prec!$AP:$AP,$B11,BV_Data_An_Prec!$AQ:$AQ,$C11,BV_Data_An_Prec!$AR:$AR,O$2)</f>
        <v>0</v>
      </c>
      <c r="P11" s="253">
        <f t="shared" si="3"/>
        <v>0</v>
      </c>
      <c r="Q11" s="255">
        <f>-SUMIFS(BV_Data_An_Prec!$AM:$AM,BV_Data_An_Prec!$AP:$AP,$B11,BV_Data_An_Prec!$AQ:$AQ,$C11,BV_Data_An_Prec!$AR:$AR,Q$2)</f>
        <v>0</v>
      </c>
      <c r="R11" s="254">
        <f t="shared" si="4"/>
        <v>0</v>
      </c>
      <c r="S11" s="255">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354</v>
      </c>
      <c r="B12" s="41" t="s">
        <v>88</v>
      </c>
      <c r="C12" s="252" t="s">
        <v>55</v>
      </c>
      <c r="D12" s="253">
        <f>+INDEX('Budget original'!$A$2:$AO$501,MATCH($A12,'Budget original'!$A$2:$A$501,0),MATCH(D$2,'Budget original'!$A$2:$AO$2,0))</f>
        <v>0</v>
      </c>
      <c r="E12" s="253">
        <f t="shared" si="6"/>
        <v>0</v>
      </c>
      <c r="F12" s="253">
        <f>+INDEX('Budget original'!$A$2:$AO$501,MATCH($A12,'Budget original'!$A$2:$A$501,0),MATCH(F$2,'Budget original'!$A$2:$AO$2,0))</f>
        <v>0</v>
      </c>
      <c r="G12" s="254"/>
      <c r="H12" s="253"/>
      <c r="I12" s="253"/>
      <c r="J12" s="254">
        <f>-SUMIFS(BV_Data_An_Cour!$AM:$AM,BV_Data_An_Cour!$AP:$AP,$B12,BV_Data_An_Cour!$AQ:$AQ,$C12,BV_Data_An_Cour!$AR:$AR,J$2)</f>
        <v>0</v>
      </c>
      <c r="K12" s="253">
        <f t="shared" si="0"/>
        <v>0</v>
      </c>
      <c r="L12" s="255">
        <f>-SUMIFS(BV_Data_An_Cour!$AM:$AM,BV_Data_An_Cour!$AP:$AP,$B12,BV_Data_An_Cour!$AQ:$AQ,$C12,BV_Data_An_Cour!$AR:$AR,L$2)</f>
        <v>0</v>
      </c>
      <c r="M12" s="254">
        <f t="shared" si="1"/>
        <v>0</v>
      </c>
      <c r="N12" s="255">
        <f t="shared" si="2"/>
        <v>0</v>
      </c>
      <c r="O12" s="254">
        <f>-SUMIFS(BV_Data_An_Prec!$AM:$AM,BV_Data_An_Prec!$AP:$AP,$B12,BV_Data_An_Prec!$AQ:$AQ,$C12,BV_Data_An_Prec!$AR:$AR,O$2)</f>
        <v>0</v>
      </c>
      <c r="P12" s="253">
        <f t="shared" si="3"/>
        <v>0</v>
      </c>
      <c r="Q12" s="255">
        <f>-SUMIFS(BV_Data_An_Prec!$AM:$AM,BV_Data_An_Prec!$AP:$AP,$B12,BV_Data_An_Prec!$AQ:$AQ,$C12,BV_Data_An_Prec!$AR:$AR,Q$2)</f>
        <v>0</v>
      </c>
      <c r="R12" s="254">
        <f t="shared" si="4"/>
        <v>0</v>
      </c>
      <c r="S12" s="255">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355</v>
      </c>
      <c r="B13" s="41" t="s">
        <v>88</v>
      </c>
      <c r="C13" s="258" t="s">
        <v>97</v>
      </c>
      <c r="D13" s="259">
        <f>+SUM(D6:D12)</f>
        <v>0</v>
      </c>
      <c r="E13" s="259">
        <f>IF(D13&lt;=0,0,F13/D13)</f>
        <v>0</v>
      </c>
      <c r="F13" s="260">
        <f>+SUM(F6:F12)</f>
        <v>0</v>
      </c>
      <c r="G13" s="261"/>
      <c r="H13" s="259"/>
      <c r="I13" s="260"/>
      <c r="J13" s="261">
        <f>+SUM(J6:J8)</f>
        <v>98</v>
      </c>
      <c r="K13" s="259">
        <f>IF(J13&lt;=0,0,L13/J13)</f>
        <v>2147.6023469387742</v>
      </c>
      <c r="L13" s="260">
        <f t="shared" ref="L13" si="7">+SUM(L6:L12)</f>
        <v>210465.02999999988</v>
      </c>
      <c r="M13" s="261">
        <f>+SUM(M6:M12)</f>
        <v>113</v>
      </c>
      <c r="N13" s="260">
        <f t="shared" ref="N13" si="8">+SUM(N6:N12)</f>
        <v>210465.02999999988</v>
      </c>
      <c r="O13" s="261">
        <f>+SUM(O6:O8)</f>
        <v>0</v>
      </c>
      <c r="P13" s="259">
        <f>IF(O13&lt;=0,0,Q13/O13)</f>
        <v>0</v>
      </c>
      <c r="Q13" s="260">
        <f t="shared" ref="Q13" si="9">+SUM(Q6:Q12)</f>
        <v>0</v>
      </c>
      <c r="R13" s="261">
        <f t="shared" ref="R13:S13" si="10">+SUM(R6:R12)</f>
        <v>113</v>
      </c>
      <c r="S13" s="260">
        <f t="shared" si="10"/>
        <v>210465.02999999988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88</v>
      </c>
      <c r="B14" s="41" t="s">
        <v>88</v>
      </c>
      <c r="C14" s="252"/>
      <c r="D14" s="41"/>
      <c r="E14" s="253"/>
      <c r="F14" s="262"/>
      <c r="G14" s="252"/>
      <c r="H14" s="253"/>
      <c r="I14" s="262"/>
      <c r="J14" s="252"/>
      <c r="K14" s="253"/>
      <c r="L14" s="262"/>
      <c r="M14" s="795">
        <f>IF(D13=0,0,M13/D13)</f>
        <v>0</v>
      </c>
      <c r="N14" s="796">
        <f>IF(F13=0,0,N13/F13)</f>
        <v>0</v>
      </c>
      <c r="O14" s="252"/>
      <c r="P14" s="253"/>
      <c r="Q14" s="262"/>
      <c r="R14" s="795" t="e">
        <f>R13/O13</f>
        <v>#DIV/0!</v>
      </c>
      <c r="S14" s="796">
        <f>IF(Q13=0,0,(S13/Q13))</f>
        <v>0</v>
      </c>
      <c r="T14" s="41"/>
      <c r="U14" s="41"/>
      <c r="V14" s="41"/>
      <c r="W14" s="253"/>
      <c r="X14" s="253"/>
      <c r="Y14" s="41"/>
      <c r="Z14" s="41"/>
      <c r="AA14" s="41"/>
      <c r="AB14" s="41"/>
      <c r="AC14" s="41"/>
      <c r="AD14" s="41">
        <v>20</v>
      </c>
      <c r="AE14" s="41">
        <v>1000</v>
      </c>
      <c r="AF14" s="41">
        <f>AD14*AE14</f>
        <v>20000</v>
      </c>
      <c r="AG14" s="41"/>
      <c r="AH14" s="41"/>
      <c r="AI14" s="41"/>
      <c r="AJ14" s="41"/>
      <c r="AK14" s="41"/>
      <c r="AL14" s="41"/>
      <c r="AM14" s="41"/>
      <c r="AN14" s="41"/>
    </row>
    <row r="15" spans="1:40" ht="20.25">
      <c r="A15" s="5" t="s">
        <v>356</v>
      </c>
      <c r="B15" s="41" t="s">
        <v>88</v>
      </c>
      <c r="C15" s="265" t="s">
        <v>98</v>
      </c>
      <c r="D15" s="249">
        <f>+INDEX('Budget original'!$A$2:$AO$501,MATCH($A15,'Budget original'!$A$2:$A$501,0),MATCH(D$2,'Budget original'!$A$2:$AO$2,0))</f>
        <v>0</v>
      </c>
      <c r="E15" s="249">
        <f>IF(D15=0,0,F15/D15)</f>
        <v>0</v>
      </c>
      <c r="F15" s="247">
        <f>+INDEX('Budget original'!$A$2:$AO$501,MATCH($A15,'Budget original'!$A$2:$A$501,0),MATCH(F$2,'Budget original'!$A$2:$AO$2,0))</f>
        <v>0</v>
      </c>
      <c r="G15" s="266"/>
      <c r="H15" s="249"/>
      <c r="I15" s="247"/>
      <c r="J15" s="267">
        <f>SUMIFS(BV_Data_An_Cour!$AW:$AW,BV_Data_An_Cour!$AP:$AP,$B15,BV_Data_An_Cour!$AQ:$AQ,$C15,BV_Data_An_Cour!$AY:$AY,J$2)</f>
        <v>0</v>
      </c>
      <c r="K15" s="268">
        <f>IF(J15=0,0,L15/J15)</f>
        <v>0</v>
      </c>
      <c r="L15" s="268">
        <f>-SUMIFS(BV_Data_An_Cour!$AM:$AM,BV_Data_An_Cour!$AP:$AP,$B15,BV_Data_An_Cour!$AQ:$AQ,$C15,BV_Data_An_Cour!$AR:$AR,L$2)</f>
        <v>0</v>
      </c>
      <c r="M15" s="266">
        <f>J15-D15</f>
        <v>0</v>
      </c>
      <c r="N15" s="247">
        <f>L15-F15</f>
        <v>0</v>
      </c>
      <c r="O15" s="267">
        <f>SUMIFS(BV_Data_An_Prec!$AW:$AW,BV_Data_An_Prec!$AP:$AP,$B15,BV_Data_An_Prec!$AQ:$AQ,$C15,BV_Data_An_Prec!$AY:$AY,O$2)</f>
        <v>0</v>
      </c>
      <c r="P15" s="268">
        <f>IF(O15=0,0,Q15/O15)</f>
        <v>0</v>
      </c>
      <c r="Q15" s="268">
        <f>-SUMIFS(BV_Data_An_Prec!$AM:$AM,BV_Data_An_Prec!$AP:$AP,$B15,BV_Data_An_Prec!$AQ:$AQ,$C15,BV_Data_An_Prec!$AR:$AR,Q$2)</f>
        <v>0</v>
      </c>
      <c r="R15" s="266">
        <f>J15-O15</f>
        <v>0</v>
      </c>
      <c r="S15" s="247">
        <f>L15-Q15</f>
        <v>0</v>
      </c>
      <c r="T15" s="41"/>
      <c r="U15" s="871"/>
      <c r="V15" s="253"/>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88</v>
      </c>
      <c r="B16" s="41" t="s">
        <v>88</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357</v>
      </c>
      <c r="B17" s="41" t="s">
        <v>88</v>
      </c>
      <c r="C17" s="269" t="s">
        <v>99</v>
      </c>
      <c r="D17" s="253">
        <f>+INDEX('Budget original'!$A$2:$AO$501,MATCH($A17,'Budget original'!$A$2:$A$501,0),MATCH(D$2,'Budget original'!$A$2:$AO$2,0))</f>
        <v>0</v>
      </c>
      <c r="E17" s="253">
        <f>IF(D17=0,0,F17/D17)</f>
        <v>0</v>
      </c>
      <c r="F17" s="253">
        <f>+INDEX('Budget original'!$A$2:$AO$501,MATCH($A17,'Budget original'!$A$2:$A$501,0),MATCH(F$2,'Budget original'!$A$2:$AO$2,0))</f>
        <v>0</v>
      </c>
      <c r="G17" s="254"/>
      <c r="H17" s="253"/>
      <c r="I17" s="253"/>
      <c r="J17" s="266">
        <f>SUMIFS(BV_Data_An_Cour!$AW:$AW,BV_Data_An_Cour!$AP:$AP,$B17,BV_Data_An_Cour!$AQ:$AQ,$C17,BV_Data_An_Cour!$AY:$AY,J$2)</f>
        <v>1</v>
      </c>
      <c r="K17" s="253">
        <f>IF(J17=0,0,L17/J17)</f>
        <v>1588</v>
      </c>
      <c r="L17" s="255">
        <f>-SUMIFS(BV_Data_An_Cour!$AM:$AM,BV_Data_An_Cour!$AP:$AP,$B17,BV_Data_An_Cour!$AQ:$AQ,$C17,BV_Data_An_Cour!$AR:$AR,L$2)</f>
        <v>1588</v>
      </c>
      <c r="M17" s="266">
        <f>J17-D17</f>
        <v>1</v>
      </c>
      <c r="N17" s="255">
        <f>L17-F17</f>
        <v>1588</v>
      </c>
      <c r="O17" s="266">
        <f>SUMIFS(BV_Data_An_Prec!$AW:$AW,BV_Data_An_Prec!$AP:$AP,$B17,BV_Data_An_Prec!$AQ:$AQ,$C17,BV_Data_An_Prec!$AY:$AY,O$2)</f>
        <v>0</v>
      </c>
      <c r="P17" s="253">
        <f>IF(O17=0,0,Q17/O17)</f>
        <v>0</v>
      </c>
      <c r="Q17" s="255">
        <f>-SUMIFS(BV_Data_An_Prec!$AM:$AM,BV_Data_An_Prec!$AP:$AP,$B17,BV_Data_An_Prec!$AQ:$AQ,$C17,BV_Data_An_Prec!$AR:$AR,Q$2)</f>
        <v>0</v>
      </c>
      <c r="R17" s="254">
        <f>J17-O17</f>
        <v>1</v>
      </c>
      <c r="S17" s="255">
        <f>L17-Q17</f>
        <v>1588</v>
      </c>
      <c r="T17" s="41"/>
      <c r="U17" s="38"/>
      <c r="V17" s="815"/>
      <c r="W17" s="41"/>
      <c r="X17" s="41"/>
      <c r="Y17" s="41"/>
      <c r="Z17" s="41"/>
      <c r="AA17" s="253"/>
      <c r="AB17" s="41"/>
      <c r="AC17" s="41"/>
      <c r="AD17" s="41"/>
      <c r="AE17" s="41"/>
      <c r="AF17" s="41"/>
      <c r="AG17" s="41"/>
      <c r="AH17" s="41"/>
      <c r="AI17" s="41"/>
      <c r="AJ17" s="41"/>
      <c r="AK17" s="41"/>
      <c r="AL17" s="41"/>
      <c r="AM17" s="41"/>
      <c r="AN17" s="41"/>
    </row>
    <row r="18" spans="1:40" ht="20.25">
      <c r="A18" s="5" t="s">
        <v>88</v>
      </c>
      <c r="B18" s="41" t="s">
        <v>88</v>
      </c>
      <c r="C18" s="258"/>
      <c r="D18" s="270"/>
      <c r="E18" s="270"/>
      <c r="F18" s="271"/>
      <c r="G18" s="272"/>
      <c r="H18" s="270"/>
      <c r="I18" s="271"/>
      <c r="J18" s="254"/>
      <c r="K18" s="270"/>
      <c r="L18" s="271"/>
      <c r="M18" s="254"/>
      <c r="N18" s="271"/>
      <c r="O18" s="254"/>
      <c r="P18" s="270"/>
      <c r="Q18" s="271"/>
      <c r="R18" s="272"/>
      <c r="S18" s="271"/>
      <c r="T18" s="41"/>
      <c r="U18" s="41"/>
      <c r="W18" s="41"/>
      <c r="X18" s="41"/>
      <c r="Y18" s="41"/>
      <c r="Z18" s="41"/>
      <c r="AA18" s="41"/>
      <c r="AB18" s="41"/>
      <c r="AC18" s="41"/>
      <c r="AD18" s="41"/>
      <c r="AE18" s="41"/>
      <c r="AF18" s="41"/>
      <c r="AG18" s="41"/>
      <c r="AH18" s="41"/>
      <c r="AI18" s="41"/>
      <c r="AJ18" s="41"/>
      <c r="AK18" s="41"/>
      <c r="AL18" s="41"/>
      <c r="AM18" s="41"/>
      <c r="AN18" s="41"/>
    </row>
    <row r="19" spans="1:40" ht="20.25">
      <c r="A19" s="5" t="s">
        <v>358</v>
      </c>
      <c r="B19" s="41" t="s">
        <v>88</v>
      </c>
      <c r="C19" s="265"/>
      <c r="D19" s="253"/>
      <c r="E19" s="253"/>
      <c r="F19" s="253"/>
      <c r="G19" s="254"/>
      <c r="H19" s="253"/>
      <c r="I19" s="253"/>
      <c r="J19" s="266"/>
      <c r="K19" s="253"/>
      <c r="L19" s="255"/>
      <c r="M19" s="254"/>
      <c r="N19" s="255"/>
      <c r="O19" s="266"/>
      <c r="P19" s="253"/>
      <c r="Q19" s="255"/>
      <c r="R19" s="254"/>
      <c r="S19" s="255"/>
      <c r="T19" s="41"/>
      <c r="W19" s="253"/>
      <c r="X19" s="273"/>
      <c r="Y19" s="41"/>
      <c r="Z19" s="41"/>
      <c r="AA19" s="41"/>
      <c r="AB19" s="41"/>
      <c r="AC19" s="41"/>
      <c r="AD19" s="41"/>
      <c r="AE19" s="41"/>
      <c r="AF19" s="41"/>
      <c r="AG19" s="41"/>
      <c r="AH19" s="41"/>
      <c r="AI19" s="41"/>
      <c r="AJ19" s="41"/>
      <c r="AK19" s="41"/>
      <c r="AL19" s="41"/>
      <c r="AM19" s="41"/>
      <c r="AN19" s="41"/>
    </row>
    <row r="20" spans="1:40" ht="20.25">
      <c r="A20" s="5" t="s">
        <v>88</v>
      </c>
      <c r="B20" s="41" t="s">
        <v>88</v>
      </c>
      <c r="C20" s="258"/>
      <c r="D20" s="270"/>
      <c r="E20" s="270"/>
      <c r="F20" s="271"/>
      <c r="G20" s="272"/>
      <c r="H20" s="270"/>
      <c r="I20" s="271"/>
      <c r="J20" s="254"/>
      <c r="K20" s="270"/>
      <c r="L20" s="271"/>
      <c r="M20" s="272"/>
      <c r="N20" s="271"/>
      <c r="O20" s="254"/>
      <c r="P20" s="270"/>
      <c r="Q20" s="271"/>
      <c r="R20" s="272"/>
      <c r="S20" s="271"/>
      <c r="T20" s="41"/>
      <c r="U20" s="41"/>
      <c r="W20" s="253"/>
      <c r="X20" s="273"/>
      <c r="Y20" s="41"/>
      <c r="Z20" s="41"/>
      <c r="AA20" s="41"/>
      <c r="AB20" s="41"/>
      <c r="AC20" s="41"/>
      <c r="AD20" s="41"/>
      <c r="AE20" s="41"/>
      <c r="AF20" s="41"/>
      <c r="AG20" s="41"/>
      <c r="AH20" s="41"/>
      <c r="AI20" s="41"/>
      <c r="AJ20" s="41"/>
      <c r="AK20" s="41"/>
      <c r="AL20" s="41"/>
      <c r="AM20" s="41"/>
      <c r="AN20" s="41"/>
    </row>
    <row r="21" spans="1:40" ht="15.75" customHeight="1">
      <c r="A21" s="5" t="s">
        <v>359</v>
      </c>
      <c r="B21" s="41" t="s">
        <v>88</v>
      </c>
      <c r="C21" s="252" t="s">
        <v>101</v>
      </c>
      <c r="D21" s="253">
        <f>+INDEX('Budget original'!$A$2:$AO$501,MATCH($A21,'Budget original'!$A$2:$A$501,0),MATCH(D$2,'Budget original'!$A$2:$AO$2,0))</f>
        <v>0</v>
      </c>
      <c r="E21" s="253">
        <f>IF(D21=0,0,F21/D21)</f>
        <v>0</v>
      </c>
      <c r="F21" s="253">
        <f>+INDEX('Budget original'!$A$2:$AO$501,MATCH($A21,'Budget original'!$A$2:$A$501,0),MATCH(F$2,'Budget original'!$A$2:$AO$2,0))</f>
        <v>0</v>
      </c>
      <c r="G21" s="254"/>
      <c r="H21" s="253"/>
      <c r="I21" s="253"/>
      <c r="J21" s="254"/>
      <c r="K21" s="253">
        <f>IF(J13=0,0,L21/(J13+J15))</f>
        <v>13.058367346938775</v>
      </c>
      <c r="L21" s="255">
        <f>-SUMIFS(BV_Data_An_Cour!$AM:$AM,BV_Data_An_Cour!$AP:$AP,$B21,BV_Data_An_Cour!$AQ:$AQ,$C21,BV_Data_An_Cour!$AR:$AR,L$2)</f>
        <v>1279.72</v>
      </c>
      <c r="M21" s="254"/>
      <c r="N21" s="255">
        <f>L21-F21</f>
        <v>1279.72</v>
      </c>
      <c r="O21" s="254"/>
      <c r="P21" s="253">
        <f>IF(O13=0,0,Q21/(O13+O15))</f>
        <v>0</v>
      </c>
      <c r="Q21" s="255">
        <f>-SUMIFS(BV_Data_An_Prec!$AM:$AM,BV_Data_An_Prec!$AP:$AP,$B21,BV_Data_An_Prec!$AQ:$AQ,$C21,BV_Data_An_Prec!$AR:$AR,Q$2)</f>
        <v>0</v>
      </c>
      <c r="R21" s="254">
        <f t="shared" ref="R21:R23" si="11">O21-K21</f>
        <v>-13.058367346938775</v>
      </c>
      <c r="S21" s="255">
        <f t="shared" ref="S21:S24" si="12">L21-Q21</f>
        <v>1279.72</v>
      </c>
      <c r="T21" s="41"/>
      <c r="U21" s="41"/>
      <c r="W21" s="41"/>
      <c r="X21" s="273"/>
      <c r="Y21" s="41"/>
      <c r="Z21" s="41"/>
      <c r="AA21" s="41"/>
      <c r="AB21" s="41"/>
      <c r="AC21" s="41"/>
      <c r="AD21" s="41"/>
      <c r="AE21" s="41"/>
      <c r="AF21" s="41"/>
      <c r="AG21" s="41"/>
      <c r="AH21" s="41"/>
      <c r="AI21" s="41"/>
      <c r="AJ21" s="41"/>
      <c r="AK21" s="41"/>
      <c r="AL21" s="41"/>
      <c r="AM21" s="41"/>
      <c r="AN21" s="41"/>
    </row>
    <row r="22" spans="1:40" ht="18" customHeight="1">
      <c r="A22" s="5" t="s">
        <v>360</v>
      </c>
      <c r="B22" s="41" t="s">
        <v>88</v>
      </c>
      <c r="C22" s="252" t="s">
        <v>102</v>
      </c>
      <c r="D22" s="253">
        <f>+INDEX('Budget original'!$A$2:$AO$501,MATCH($A22,'Budget original'!$A$2:$A$501,0),MATCH(D$2,'Budget original'!$A$2:$AO$2,0))</f>
        <v>0</v>
      </c>
      <c r="E22" s="253">
        <f>IF(D22=0,0,F22/D22)</f>
        <v>0</v>
      </c>
      <c r="F22" s="253">
        <f>+INDEX('Budget original'!$A$2:$AO$501,MATCH($A22,'Budget original'!$A$2:$A$501,0),MATCH(F$2,'Budget original'!$A$2:$AO$2,0))</f>
        <v>0</v>
      </c>
      <c r="G22" s="254"/>
      <c r="H22" s="253"/>
      <c r="I22" s="253"/>
      <c r="J22" s="254"/>
      <c r="K22" s="253">
        <f>IF(J13=0,0,L22/(J13+J15))</f>
        <v>1063.0940816326531</v>
      </c>
      <c r="L22" s="255">
        <f>-SUMIFS(BV_Data_An_Cour!$AM:$AM,BV_Data_An_Cour!$AP:$AP,$B22,BV_Data_An_Cour!$AQ:$AQ,$C22,BV_Data_An_Cour!$AR:$AR,L$2)</f>
        <v>104183.22</v>
      </c>
      <c r="M22" s="254"/>
      <c r="N22" s="255">
        <f>L22-F22</f>
        <v>104183.22</v>
      </c>
      <c r="O22" s="254"/>
      <c r="P22" s="253">
        <f>IF(O13=0,0,Q22/(O13+O15))</f>
        <v>0</v>
      </c>
      <c r="Q22" s="255">
        <f>-SUMIFS(BV_Data_An_Prec!$AM:$AM,BV_Data_An_Prec!$AP:$AP,$B22,BV_Data_An_Prec!$AQ:$AQ,$C22,BV_Data_An_Prec!$AR:$AR,Q$2)</f>
        <v>0</v>
      </c>
      <c r="R22" s="254">
        <f t="shared" si="11"/>
        <v>-1063.0940816326531</v>
      </c>
      <c r="S22" s="255">
        <f t="shared" si="12"/>
        <v>104183.22</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361</v>
      </c>
      <c r="B23" s="41" t="s">
        <v>88</v>
      </c>
      <c r="C23" s="252" t="s">
        <v>103</v>
      </c>
      <c r="D23" s="253">
        <f>+INDEX('Budget original'!$A$2:$AO$501,MATCH($A23,'Budget original'!$A$2:$A$501,0),MATCH(D$2,'Budget original'!$A$2:$AO$2,0))</f>
        <v>0</v>
      </c>
      <c r="E23" s="253">
        <f>IF(D23=0,0,F23/D23)</f>
        <v>0</v>
      </c>
      <c r="F23" s="253">
        <f>+INDEX('Budget original'!$A$2:$AO$501,MATCH($A23,'Budget original'!$A$2:$A$501,0),MATCH(F$2,'Budget original'!$A$2:$AO$2,0))</f>
        <v>0</v>
      </c>
      <c r="G23" s="254"/>
      <c r="H23" s="253"/>
      <c r="I23" s="253"/>
      <c r="J23" s="254"/>
      <c r="K23" s="253">
        <f>IF(J13=0,0,L23/(J13+J15))</f>
        <v>0</v>
      </c>
      <c r="L23" s="255">
        <f>-SUMIFS(BV_Data_An_Cour!$AM:$AM,BV_Data_An_Cour!$AP:$AP,$B23,BV_Data_An_Cour!$AQ:$AQ,$C23,BV_Data_An_Cour!$AR:$AR,L$2)</f>
        <v>0</v>
      </c>
      <c r="M23" s="266"/>
      <c r="N23" s="255">
        <f>L23-F23</f>
        <v>0</v>
      </c>
      <c r="O23" s="254"/>
      <c r="P23" s="253">
        <f>IF(O13=0,0,Q23/(O13+O15))</f>
        <v>0</v>
      </c>
      <c r="Q23" s="255">
        <f>-SUMIFS(BV_Data_An_Prec!$AM:$AM,BV_Data_An_Prec!$AP:$AP,$B23,BV_Data_An_Prec!$AQ:$AQ,$C23,BV_Data_An_Prec!$AR:$AR,Q$2)</f>
        <v>0</v>
      </c>
      <c r="R23" s="254">
        <f t="shared" si="11"/>
        <v>0</v>
      </c>
      <c r="S23" s="255">
        <f t="shared" si="12"/>
        <v>0</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362</v>
      </c>
      <c r="B24" s="41" t="s">
        <v>88</v>
      </c>
      <c r="C24" s="258" t="s">
        <v>104</v>
      </c>
      <c r="D24" s="259">
        <f>+D15+D13</f>
        <v>0</v>
      </c>
      <c r="E24" s="259">
        <f>IF(D24&lt;=0,0,F24/D24)</f>
        <v>0</v>
      </c>
      <c r="F24" s="260">
        <f>F21+F22+F23</f>
        <v>0</v>
      </c>
      <c r="G24" s="261"/>
      <c r="H24" s="259"/>
      <c r="I24" s="260"/>
      <c r="J24" s="261">
        <f>+J15+J13</f>
        <v>98</v>
      </c>
      <c r="K24" s="259">
        <f>IF(J24&lt;=0,0,L24/J24)</f>
        <v>1076.1524489795918</v>
      </c>
      <c r="L24" s="260">
        <f>L21+L22+L23</f>
        <v>105462.94</v>
      </c>
      <c r="M24" s="274">
        <f>J24-D24</f>
        <v>98</v>
      </c>
      <c r="N24" s="260">
        <f>L24-F24</f>
        <v>105462.94</v>
      </c>
      <c r="O24" s="261">
        <f>+O15+O13</f>
        <v>0</v>
      </c>
      <c r="P24" s="259">
        <f>IF(O24&lt;=0,0,Q24/O24)</f>
        <v>0</v>
      </c>
      <c r="Q24" s="260">
        <f>Q21+Q22+Q23</f>
        <v>0</v>
      </c>
      <c r="R24" s="272"/>
      <c r="S24" s="260">
        <f t="shared" si="12"/>
        <v>105462.94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88</v>
      </c>
      <c r="B25" s="41" t="s">
        <v>88</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88</v>
      </c>
      <c r="B26" s="41" t="s">
        <v>88</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363</v>
      </c>
      <c r="B27" s="41" t="s">
        <v>88</v>
      </c>
      <c r="C27" s="277" t="s">
        <v>105</v>
      </c>
      <c r="D27" s="278">
        <f>+D13+D15+D17</f>
        <v>0</v>
      </c>
      <c r="E27" s="279">
        <f>IF(D27&lt;=0,0,F27/D27)</f>
        <v>0</v>
      </c>
      <c r="F27" s="280">
        <f>F13+F17+F24+F19+F15</f>
        <v>0</v>
      </c>
      <c r="G27" s="281"/>
      <c r="H27" s="279"/>
      <c r="I27" s="280"/>
      <c r="J27" s="281">
        <f>+J13+J15+J17</f>
        <v>99</v>
      </c>
      <c r="K27" s="279">
        <f>IF(J27&lt;=0,0,L27/J27)</f>
        <v>3207.2320202020187</v>
      </c>
      <c r="L27" s="280">
        <f>L13+L17+L24+L19+L15</f>
        <v>317515.96999999986</v>
      </c>
      <c r="M27" s="281">
        <f>J27-D27</f>
        <v>99</v>
      </c>
      <c r="N27" s="280">
        <f>L27-F27</f>
        <v>317515.96999999986</v>
      </c>
      <c r="O27" s="281">
        <f>+O13+O15+O17</f>
        <v>0</v>
      </c>
      <c r="P27" s="279">
        <f>IF(O27&lt;=0,0,Q27/O27)</f>
        <v>0</v>
      </c>
      <c r="Q27" s="280">
        <f>Q13+Q17+Q24+Q19+Q15</f>
        <v>0</v>
      </c>
      <c r="R27" s="281">
        <f>J27-O27</f>
        <v>99</v>
      </c>
      <c r="S27" s="280">
        <f>L27-Q27</f>
        <v>317515.96999999986</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88</v>
      </c>
      <c r="B28" s="41" t="s">
        <v>88</v>
      </c>
      <c r="C28" s="282"/>
      <c r="D28" s="283"/>
      <c r="E28" s="283"/>
      <c r="F28" s="284"/>
      <c r="G28" s="282"/>
      <c r="H28" s="283"/>
      <c r="I28" s="284"/>
      <c r="J28" s="282"/>
      <c r="K28" s="885"/>
      <c r="L28" s="767"/>
      <c r="M28" s="285"/>
      <c r="N28" s="286"/>
      <c r="O28" s="282"/>
      <c r="P28" s="885"/>
      <c r="Q28" s="767"/>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88</v>
      </c>
      <c r="B29" s="41" t="s">
        <v>88</v>
      </c>
      <c r="C29" s="269"/>
      <c r="D29" s="11"/>
      <c r="E29" s="11"/>
      <c r="F29" s="287"/>
      <c r="G29" s="269"/>
      <c r="H29" s="11"/>
      <c r="I29" s="287"/>
      <c r="J29" s="269"/>
      <c r="K29" s="11"/>
      <c r="L29" s="287"/>
      <c r="M29" s="263"/>
      <c r="N29" s="264"/>
      <c r="O29" s="269"/>
      <c r="P29" s="11"/>
      <c r="Q29" s="287"/>
      <c r="R29" s="263"/>
      <c r="S29" s="264"/>
      <c r="T29" s="41"/>
      <c r="U29" s="290"/>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364</v>
      </c>
      <c r="B30" s="41" t="s">
        <v>88</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365</v>
      </c>
      <c r="B31" s="41" t="s">
        <v>88</v>
      </c>
      <c r="C31" s="252" t="s">
        <v>107</v>
      </c>
      <c r="D31" s="289" t="e">
        <f>F31/(F13+F15)</f>
        <v>#DIV/0!</v>
      </c>
      <c r="E31" s="290" t="e">
        <f t="shared" ref="E31:E40" si="13">F31/D$24</f>
        <v>#DIV/0!</v>
      </c>
      <c r="F31" s="253">
        <f>+INDEX('Budget original'!$A$2:$AO$501,MATCH($A31,'Budget original'!$A$2:$A$501,0),MATCH(F$2,'Budget original'!$A$2:$AO$2,0))</f>
        <v>0</v>
      </c>
      <c r="G31" s="291"/>
      <c r="H31" s="290"/>
      <c r="I31" s="253"/>
      <c r="J31" s="291">
        <f>L31/(L15+L13+L17)</f>
        <v>0.39935930177465523</v>
      </c>
      <c r="K31" s="290">
        <f t="shared" ref="K31:K40" si="14">IF(L31=0,0,L31/J$24)</f>
        <v>864.13622448979572</v>
      </c>
      <c r="L31" s="253">
        <f>SUMIFS(BV_Data_An_Cour!$AM:$AM,BV_Data_An_Cour!$AP:$AP,$B31,BV_Data_An_Cour!$AQ:$AQ,$C31,BV_Data_An_Cour!$AR:$AR,L$2)</f>
        <v>84685.349999999977</v>
      </c>
      <c r="M31" s="252"/>
      <c r="N31" s="275">
        <f t="shared" ref="N31:N53" si="15">L31-F31</f>
        <v>84685.349999999977</v>
      </c>
      <c r="O31" s="291" t="e">
        <f>Q31/(Q15+Q13+Q17)</f>
        <v>#DIV/0!</v>
      </c>
      <c r="P31" s="290">
        <f t="shared" ref="P31:P40" si="16">IF(Q31=0,0,Q31/O$24)</f>
        <v>0</v>
      </c>
      <c r="Q31" s="253">
        <f>SUMIFS(BV_Data_An_Prec!$AM:$AM,BV_Data_An_Prec!$AP:$AP,$B31,BV_Data_An_Prec!$AQ:$AQ,$C31,BV_Data_An_Prec!$AR:$AR,Q$2)</f>
        <v>0</v>
      </c>
      <c r="R31" s="252"/>
      <c r="S31" s="275">
        <f t="shared" ref="S31:S53" si="17">L31-Q31</f>
        <v>84685.349999999977</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366</v>
      </c>
      <c r="B32" s="41" t="s">
        <v>88</v>
      </c>
      <c r="C32" s="245" t="s">
        <v>108</v>
      </c>
      <c r="D32" s="292" t="e">
        <f>F32/F24</f>
        <v>#DIV/0!</v>
      </c>
      <c r="E32" s="293" t="e">
        <f t="shared" si="13"/>
        <v>#DIV/0!</v>
      </c>
      <c r="F32" s="247">
        <f>+INDEX('Budget original'!$A$2:$AO$501,MATCH($A32,'Budget original'!$A$2:$A$501,0),MATCH(F$2,'Budget original'!$A$2:$AO$2,0))</f>
        <v>0</v>
      </c>
      <c r="G32" s="294"/>
      <c r="H32" s="293"/>
      <c r="I32" s="247"/>
      <c r="J32" s="294">
        <f>L32/L24</f>
        <v>0.35565744706149865</v>
      </c>
      <c r="K32" s="293">
        <f t="shared" si="14"/>
        <v>382.74163265306129</v>
      </c>
      <c r="L32" s="247">
        <f>SUMIFS(BV_Data_An_Cour!$AM:$AM,BV_Data_An_Cour!$AP:$AP,$B32,BV_Data_An_Cour!$AQ:$AQ,$C32,BV_Data_An_Cour!$AR:$AR,L$2)</f>
        <v>37508.680000000008</v>
      </c>
      <c r="M32" s="245"/>
      <c r="N32" s="295">
        <f t="shared" si="15"/>
        <v>37508.680000000008</v>
      </c>
      <c r="O32" s="294" t="e">
        <f>Q32/Q24</f>
        <v>#DIV/0!</v>
      </c>
      <c r="P32" s="293">
        <f t="shared" si="16"/>
        <v>0</v>
      </c>
      <c r="Q32" s="247">
        <f>SUMIFS(BV_Data_An_Prec!$AM:$AM,BV_Data_An_Prec!$AP:$AP,$B32,BV_Data_An_Prec!$AQ:$AQ,$C32,BV_Data_An_Prec!$AR:$AR,Q$2)</f>
        <v>0</v>
      </c>
      <c r="R32" s="245"/>
      <c r="S32" s="295">
        <f t="shared" si="17"/>
        <v>37508.680000000008</v>
      </c>
      <c r="T32" s="41"/>
      <c r="Z32" s="41"/>
      <c r="AA32" s="41"/>
      <c r="AB32" s="41"/>
      <c r="AC32" s="41"/>
      <c r="AD32" s="41"/>
      <c r="AE32" s="41"/>
      <c r="AF32" s="41"/>
      <c r="AG32" s="41"/>
      <c r="AH32" s="41"/>
      <c r="AI32" s="41"/>
      <c r="AJ32" s="41"/>
      <c r="AK32" s="41"/>
      <c r="AL32" s="41"/>
      <c r="AM32" s="41"/>
      <c r="AN32" s="41"/>
    </row>
    <row r="33" spans="1:40" ht="15.75" customHeight="1">
      <c r="A33" s="5" t="s">
        <v>367</v>
      </c>
      <c r="B33" s="41" t="s">
        <v>88</v>
      </c>
      <c r="C33" s="252" t="s">
        <v>109</v>
      </c>
      <c r="D33" s="296"/>
      <c r="E33" s="290" t="e">
        <f t="shared" si="13"/>
        <v>#DIV/0!</v>
      </c>
      <c r="F33" s="253">
        <f>+INDEX('Budget original'!$A$2:$AO$501,MATCH($A33,'Budget original'!$A$2:$A$501,0),MATCH(F$2,'Budget original'!$A$2:$AO$2,0))</f>
        <v>0</v>
      </c>
      <c r="G33" s="297"/>
      <c r="H33" s="290"/>
      <c r="I33" s="253"/>
      <c r="J33" s="252"/>
      <c r="K33" s="290">
        <f t="shared" si="14"/>
        <v>32.335408163265306</v>
      </c>
      <c r="L33" s="253">
        <f>SUMIFS(BV_Data_An_Cour!$AM:$AM,BV_Data_An_Cour!$AP:$AP,$B33,BV_Data_An_Cour!$AQ:$AQ,$C33,BV_Data_An_Cour!$AR:$AR,L$2)</f>
        <v>3168.87</v>
      </c>
      <c r="M33" s="252"/>
      <c r="N33" s="275">
        <f t="shared" si="15"/>
        <v>3168.87</v>
      </c>
      <c r="O33" s="252"/>
      <c r="P33" s="290">
        <f t="shared" si="16"/>
        <v>0</v>
      </c>
      <c r="Q33" s="253">
        <f>SUMIFS(BV_Data_An_Prec!$AM:$AM,BV_Data_An_Prec!$AP:$AP,$B33,BV_Data_An_Prec!$AQ:$AQ,$C33,BV_Data_An_Prec!$AR:$AR,Q$2)</f>
        <v>0</v>
      </c>
      <c r="R33" s="252"/>
      <c r="S33" s="275">
        <f t="shared" si="17"/>
        <v>3168.87</v>
      </c>
      <c r="T33" s="41"/>
      <c r="U33" s="888"/>
      <c r="Z33" s="41"/>
      <c r="AA33" s="41"/>
      <c r="AB33" s="41"/>
      <c r="AC33" s="41"/>
      <c r="AD33" s="41"/>
      <c r="AE33" s="41"/>
      <c r="AF33" s="41"/>
      <c r="AG33" s="41"/>
      <c r="AH33" s="41"/>
      <c r="AI33" s="41"/>
      <c r="AJ33" s="41"/>
      <c r="AK33" s="41"/>
      <c r="AL33" s="41"/>
      <c r="AM33" s="41"/>
      <c r="AN33" s="41"/>
    </row>
    <row r="34" spans="1:40" ht="15.75" customHeight="1">
      <c r="A34" s="5" t="s">
        <v>368</v>
      </c>
      <c r="B34" s="41" t="s">
        <v>88</v>
      </c>
      <c r="C34" s="252" t="s">
        <v>110</v>
      </c>
      <c r="D34" s="296"/>
      <c r="E34" s="290" t="e">
        <f t="shared" si="13"/>
        <v>#DIV/0!</v>
      </c>
      <c r="F34" s="253">
        <f>+INDEX('Budget original'!$A$2:$AO$501,MATCH($A34,'Budget original'!$A$2:$A$501,0),MATCH(F$2,'Budget original'!$A$2:$AO$2,0))</f>
        <v>0</v>
      </c>
      <c r="G34" s="297"/>
      <c r="H34" s="290"/>
      <c r="I34" s="253"/>
      <c r="J34" s="252"/>
      <c r="K34" s="290">
        <f t="shared" si="14"/>
        <v>0</v>
      </c>
      <c r="L34" s="253">
        <f>SUMIFS(BV_Data_An_Cour!$AM:$AM,BV_Data_An_Cour!$AP:$AP,$B34,BV_Data_An_Cour!$AQ:$AQ,$C34,BV_Data_An_Cour!$AR:$AR,L$2)</f>
        <v>0</v>
      </c>
      <c r="M34" s="252"/>
      <c r="N34" s="275">
        <f t="shared" si="15"/>
        <v>0</v>
      </c>
      <c r="O34" s="252"/>
      <c r="P34" s="290">
        <f t="shared" si="16"/>
        <v>0</v>
      </c>
      <c r="Q34" s="253">
        <f>SUMIFS(BV_Data_An_Prec!$AM:$AM,BV_Data_An_Prec!$AP:$AP,$B34,BV_Data_An_Prec!$AQ:$AQ,$C34,BV_Data_An_Prec!$AR:$AR,Q$2)</f>
        <v>0</v>
      </c>
      <c r="R34" s="252"/>
      <c r="S34" s="275">
        <f t="shared" si="17"/>
        <v>0</v>
      </c>
      <c r="T34" s="41"/>
      <c r="Z34" s="41"/>
      <c r="AA34" s="41"/>
      <c r="AB34" s="41"/>
      <c r="AC34" s="41"/>
      <c r="AD34" s="41"/>
      <c r="AE34" s="41"/>
      <c r="AF34" s="41"/>
      <c r="AG34" s="41"/>
      <c r="AH34" s="41"/>
      <c r="AI34" s="41"/>
      <c r="AJ34" s="41"/>
      <c r="AK34" s="41"/>
      <c r="AL34" s="41"/>
      <c r="AM34" s="41"/>
      <c r="AN34" s="41"/>
    </row>
    <row r="35" spans="1:40" ht="15.75" customHeight="1">
      <c r="A35" s="5" t="s">
        <v>369</v>
      </c>
      <c r="B35" s="41" t="s">
        <v>88</v>
      </c>
      <c r="C35" s="245" t="s">
        <v>111</v>
      </c>
      <c r="D35" s="298"/>
      <c r="E35" s="293" t="e">
        <f t="shared" si="13"/>
        <v>#DIV/0!</v>
      </c>
      <c r="F35" s="247">
        <f>+INDEX('Budget original'!$A$2:$AO$501,MATCH($A35,'Budget original'!$A$2:$A$501,0),MATCH(F$2,'Budget original'!$A$2:$AO$2,0))</f>
        <v>0</v>
      </c>
      <c r="G35" s="299"/>
      <c r="H35" s="293"/>
      <c r="I35" s="247"/>
      <c r="J35" s="245"/>
      <c r="K35" s="293">
        <f t="shared" si="14"/>
        <v>7.466836734693878</v>
      </c>
      <c r="L35" s="247">
        <f>SUMIFS(BV_Data_An_Cour!$AM:$AM,BV_Data_An_Cour!$AP:$AP,$B35,BV_Data_An_Cour!$AQ:$AQ,$C35,BV_Data_An_Cour!$AR:$AR,L$2)</f>
        <v>731.75</v>
      </c>
      <c r="M35" s="245"/>
      <c r="N35" s="295">
        <f t="shared" si="15"/>
        <v>731.75</v>
      </c>
      <c r="O35" s="245"/>
      <c r="P35" s="293">
        <f t="shared" si="16"/>
        <v>0</v>
      </c>
      <c r="Q35" s="247">
        <f>SUMIFS(BV_Data_An_Prec!$AM:$AM,BV_Data_An_Prec!$AP:$AP,$B35,BV_Data_An_Prec!$AQ:$AQ,$C35,BV_Data_An_Prec!$AR:$AR,Q$2)</f>
        <v>0</v>
      </c>
      <c r="R35" s="245"/>
      <c r="S35" s="295">
        <f t="shared" si="17"/>
        <v>731.75</v>
      </c>
      <c r="T35" s="41"/>
      <c r="Z35" s="41"/>
      <c r="AA35" s="41"/>
      <c r="AB35" s="41"/>
      <c r="AC35" s="41"/>
      <c r="AD35" s="41"/>
      <c r="AE35" s="41"/>
      <c r="AF35" s="41"/>
      <c r="AG35" s="41"/>
      <c r="AH35" s="41"/>
      <c r="AI35" s="41"/>
      <c r="AJ35" s="41"/>
      <c r="AK35" s="41"/>
      <c r="AL35" s="41"/>
      <c r="AM35" s="41"/>
      <c r="AN35" s="41"/>
    </row>
    <row r="36" spans="1:40" ht="15.75" customHeight="1">
      <c r="A36" s="5" t="s">
        <v>370</v>
      </c>
      <c r="B36" s="41" t="s">
        <v>88</v>
      </c>
      <c r="C36" s="252" t="s">
        <v>112</v>
      </c>
      <c r="D36" s="296"/>
      <c r="E36" s="290" t="e">
        <f t="shared" si="13"/>
        <v>#DIV/0!</v>
      </c>
      <c r="F36" s="253">
        <f>+INDEX('Budget original'!$A$2:$AO$501,MATCH($A36,'Budget original'!$A$2:$A$501,0),MATCH(F$2,'Budget original'!$A$2:$AO$2,0))</f>
        <v>0</v>
      </c>
      <c r="G36" s="297"/>
      <c r="H36" s="290"/>
      <c r="I36" s="253"/>
      <c r="J36" s="252"/>
      <c r="K36" s="290">
        <f t="shared" si="14"/>
        <v>338.08000000000004</v>
      </c>
      <c r="L36" s="271">
        <f>SUMIFS(BV_Data_An_Cour!$AM:$AM,BV_Data_An_Cour!$AP:$AP,$B36,BV_Data_An_Cour!$AQ:$AQ,$C36,BV_Data_An_Cour!$AR:$AR,L$2)</f>
        <v>33131.840000000004</v>
      </c>
      <c r="M36" s="252"/>
      <c r="N36" s="275">
        <f t="shared" si="15"/>
        <v>33131.840000000004</v>
      </c>
      <c r="O36" s="252"/>
      <c r="P36" s="290">
        <f t="shared" si="16"/>
        <v>0</v>
      </c>
      <c r="Q36" s="271">
        <f>SUMIFS(BV_Data_An_Prec!$AM:$AM,BV_Data_An_Prec!$AP:$AP,$B36,BV_Data_An_Prec!$AQ:$AQ,$C36,BV_Data_An_Prec!$AR:$AR,Q$2)</f>
        <v>0</v>
      </c>
      <c r="R36" s="252"/>
      <c r="S36" s="275">
        <f t="shared" si="17"/>
        <v>33131.840000000004</v>
      </c>
      <c r="T36" s="41"/>
      <c r="U36" s="1028"/>
      <c r="Z36" s="41"/>
      <c r="AA36" s="41"/>
      <c r="AB36" s="41"/>
      <c r="AC36" s="41"/>
      <c r="AD36" s="41"/>
      <c r="AE36" s="41"/>
      <c r="AF36" s="41"/>
      <c r="AG36" s="41"/>
      <c r="AH36" s="41"/>
      <c r="AI36" s="41"/>
      <c r="AJ36" s="41"/>
      <c r="AK36" s="41"/>
      <c r="AL36" s="41"/>
      <c r="AM36" s="41"/>
      <c r="AN36" s="41"/>
    </row>
    <row r="37" spans="1:40" ht="15.75" customHeight="1">
      <c r="A37" s="5" t="s">
        <v>371</v>
      </c>
      <c r="B37" s="41" t="s">
        <v>88</v>
      </c>
      <c r="C37" s="252" t="s">
        <v>113</v>
      </c>
      <c r="D37" s="296"/>
      <c r="E37" s="290" t="e">
        <f t="shared" si="13"/>
        <v>#DIV/0!</v>
      </c>
      <c r="F37" s="253">
        <f>+INDEX('Budget original'!$A$2:$AO$501,MATCH($A37,'Budget original'!$A$2:$A$501,0),MATCH(F$2,'Budget original'!$A$2:$AO$2,0))</f>
        <v>0</v>
      </c>
      <c r="G37" s="297"/>
      <c r="H37" s="290"/>
      <c r="I37" s="253"/>
      <c r="J37" s="252"/>
      <c r="K37" s="290">
        <f t="shared" si="14"/>
        <v>294.25836734693883</v>
      </c>
      <c r="L37" s="255">
        <f>SUMIFS(BV_Data_An_Cour!$AM:$AM,BV_Data_An_Cour!$AP:$AP,$B37,BV_Data_An_Cour!$AQ:$AQ,$C37,BV_Data_An_Cour!$AR:$AR,L$2)</f>
        <v>28837.320000000007</v>
      </c>
      <c r="M37" s="252"/>
      <c r="N37" s="777">
        <f t="shared" si="15"/>
        <v>28837.320000000007</v>
      </c>
      <c r="O37" s="252"/>
      <c r="P37" s="290">
        <f t="shared" si="16"/>
        <v>0</v>
      </c>
      <c r="Q37" s="255">
        <f>SUMIFS(BV_Data_An_Prec!$AM:$AM,BV_Data_An_Prec!$AP:$AP,$B37,BV_Data_An_Prec!$AQ:$AQ,$C37,BV_Data_An_Prec!$AR:$AR,Q$2)</f>
        <v>0</v>
      </c>
      <c r="R37" s="252"/>
      <c r="S37" s="275">
        <f t="shared" si="17"/>
        <v>28837.320000000007</v>
      </c>
      <c r="T37" s="41"/>
      <c r="Z37" s="41"/>
      <c r="AA37" s="41"/>
      <c r="AB37" s="41"/>
      <c r="AC37" s="41"/>
      <c r="AD37" s="41"/>
      <c r="AE37" s="41"/>
      <c r="AF37" s="41"/>
      <c r="AG37" s="41"/>
      <c r="AH37" s="41"/>
      <c r="AI37" s="41"/>
      <c r="AJ37" s="41"/>
      <c r="AK37" s="41"/>
      <c r="AL37" s="41"/>
      <c r="AM37" s="41"/>
      <c r="AN37" s="41"/>
    </row>
    <row r="38" spans="1:40" ht="15.75" hidden="1" customHeight="1">
      <c r="A38" s="5" t="s">
        <v>354</v>
      </c>
      <c r="B38" s="41" t="s">
        <v>88</v>
      </c>
      <c r="C38" s="252" t="s">
        <v>55</v>
      </c>
      <c r="D38" s="296"/>
      <c r="E38" s="290" t="e">
        <f t="shared" si="13"/>
        <v>#DIV/0!</v>
      </c>
      <c r="F38" s="253">
        <f>+INDEX('Budget original'!$A$2:$AO$501,MATCH($A38,'Budget original'!$A$2:$A$501,0),MATCH(F$2,'Budget original'!$A$2:$AO$2,0))</f>
        <v>0</v>
      </c>
      <c r="G38" s="297"/>
      <c r="H38" s="290"/>
      <c r="I38" s="253"/>
      <c r="J38" s="252"/>
      <c r="K38" s="290">
        <f t="shared" si="14"/>
        <v>0</v>
      </c>
      <c r="L38" s="301">
        <f>SUMIFS(BV_Data_An_Cour!$AM:$AM,BV_Data_An_Cour!$AP:$AP,$B38,BV_Data_An_Cour!$AQ:$AQ,$C38,BV_Data_An_Cour!$AR:$AR,L$2)</f>
        <v>0</v>
      </c>
      <c r="M38" s="41"/>
      <c r="N38" s="275">
        <f t="shared" si="15"/>
        <v>0</v>
      </c>
      <c r="O38" s="252"/>
      <c r="P38" s="290">
        <f t="shared" si="16"/>
        <v>0</v>
      </c>
      <c r="Q38" s="301">
        <f>SUMIFS(BV_Data_An_Prec!$AM:$AM,BV_Data_An_Prec!$AP:$AP,$B38,BV_Data_An_Prec!$AQ:$AQ,$C38,BV_Data_An_Prec!$AR:$AR,Q$2)</f>
        <v>0</v>
      </c>
      <c r="R38" s="252"/>
      <c r="S38" s="275">
        <f t="shared" si="17"/>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354</v>
      </c>
      <c r="B39" s="41" t="s">
        <v>88</v>
      </c>
      <c r="C39" s="252" t="s">
        <v>55</v>
      </c>
      <c r="D39" s="296"/>
      <c r="E39" s="290" t="e">
        <f t="shared" si="13"/>
        <v>#DIV/0!</v>
      </c>
      <c r="F39" s="253">
        <f>+INDEX('Budget original'!$A$2:$AO$501,MATCH($A39,'Budget original'!$A$2:$A$501,0),MATCH(F$2,'Budget original'!$A$2:$AO$2,0))</f>
        <v>0</v>
      </c>
      <c r="G39" s="297"/>
      <c r="H39" s="290"/>
      <c r="I39" s="253"/>
      <c r="J39" s="252"/>
      <c r="K39" s="290">
        <f t="shared" si="14"/>
        <v>0</v>
      </c>
      <c r="L39" s="301">
        <f>SUMIFS(BV_Data_An_Cour!$AM:$AM,BV_Data_An_Cour!$AP:$AP,$B39,BV_Data_An_Cour!$AQ:$AQ,$C39,BV_Data_An_Cour!$AR:$AR,L$2)</f>
        <v>0</v>
      </c>
      <c r="M39" s="41"/>
      <c r="N39" s="275">
        <f t="shared" si="15"/>
        <v>0</v>
      </c>
      <c r="O39" s="252"/>
      <c r="P39" s="290">
        <f t="shared" si="16"/>
        <v>0</v>
      </c>
      <c r="Q39" s="301">
        <f>SUMIFS(BV_Data_An_Prec!$AM:$AM,BV_Data_An_Prec!$AP:$AP,$B39,BV_Data_An_Prec!$AQ:$AQ,$C39,BV_Data_An_Prec!$AR:$AR,Q$2)</f>
        <v>0</v>
      </c>
      <c r="R39" s="252"/>
      <c r="S39" s="275">
        <f t="shared" si="17"/>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354</v>
      </c>
      <c r="B40" s="41" t="s">
        <v>88</v>
      </c>
      <c r="C40" s="252" t="s">
        <v>55</v>
      </c>
      <c r="D40" s="296"/>
      <c r="E40" s="290" t="e">
        <f t="shared" si="13"/>
        <v>#DIV/0!</v>
      </c>
      <c r="F40" s="253">
        <f>+INDEX('Budget original'!$A$2:$AO$501,MATCH($A40,'Budget original'!$A$2:$A$501,0),MATCH(F$2,'Budget original'!$A$2:$AO$2,0))</f>
        <v>0</v>
      </c>
      <c r="G40" s="297"/>
      <c r="H40" s="290"/>
      <c r="I40" s="253"/>
      <c r="J40" s="252"/>
      <c r="K40" s="290">
        <f t="shared" si="14"/>
        <v>0</v>
      </c>
      <c r="L40" s="302">
        <f>SUMIFS(BV_Data_An_Cour!$AM:$AM,BV_Data_An_Cour!$AP:$AP,$B40,BV_Data_An_Cour!$AQ:$AQ,$C40,BV_Data_An_Cour!$AR:$AR,L$2)</f>
        <v>0</v>
      </c>
      <c r="M40" s="41"/>
      <c r="N40" s="275">
        <f t="shared" si="15"/>
        <v>0</v>
      </c>
      <c r="O40" s="252"/>
      <c r="P40" s="290">
        <f t="shared" si="16"/>
        <v>0</v>
      </c>
      <c r="Q40" s="302">
        <f>SUMIFS(BV_Data_An_Prec!$AM:$AM,BV_Data_An_Prec!$AP:$AP,$B40,BV_Data_An_Prec!$AQ:$AQ,$C40,BV_Data_An_Prec!$AR:$AR,Q$2)</f>
        <v>0</v>
      </c>
      <c r="R40" s="252"/>
      <c r="S40" s="275">
        <f t="shared" si="17"/>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372</v>
      </c>
      <c r="B41" s="41" t="s">
        <v>88</v>
      </c>
      <c r="C41" s="303" t="s">
        <v>114</v>
      </c>
      <c r="D41" s="304" t="s">
        <v>115</v>
      </c>
      <c r="E41" s="305" t="e">
        <f>F41/F$27</f>
        <v>#DIV/0!</v>
      </c>
      <c r="F41" s="306">
        <f>SUM(F31:F40)</f>
        <v>0</v>
      </c>
      <c r="G41" s="307"/>
      <c r="H41" s="305"/>
      <c r="I41" s="306"/>
      <c r="J41" s="307" t="s">
        <v>115</v>
      </c>
      <c r="K41" s="305">
        <f>L41/L$27</f>
        <v>0.59229716854871928</v>
      </c>
      <c r="L41" s="306">
        <f>SUM(L31:L40)</f>
        <v>188063.81</v>
      </c>
      <c r="M41" s="308"/>
      <c r="N41" s="306">
        <f t="shared" si="15"/>
        <v>188063.81</v>
      </c>
      <c r="O41" s="307" t="s">
        <v>115</v>
      </c>
      <c r="P41" s="305" t="e">
        <f>Q41/Q$27</f>
        <v>#DIV/0!</v>
      </c>
      <c r="Q41" s="306">
        <f>SUM(Q31:Q40)</f>
        <v>0</v>
      </c>
      <c r="R41" s="309"/>
      <c r="S41" s="306">
        <f t="shared" si="17"/>
        <v>188063.81</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373</v>
      </c>
      <c r="B42" s="41" t="s">
        <v>88</v>
      </c>
      <c r="C42" s="310" t="s">
        <v>116</v>
      </c>
      <c r="D42" s="41"/>
      <c r="E42" s="41"/>
      <c r="F42" s="253">
        <f>+INDEX('Budget original'!$A$2:$AO$501,MATCH($A42,'Budget original'!$A$2:$A$501,0),MATCH(F$2,'Budget original'!$A$2:$AO$2,0))</f>
        <v>0</v>
      </c>
      <c r="G42" s="252"/>
      <c r="H42" s="41"/>
      <c r="I42" s="253"/>
      <c r="J42" s="252"/>
      <c r="K42" s="41"/>
      <c r="L42" s="253">
        <f>SUMIFS(BV_Data_An_Cour!$AM:$AM,BV_Data_An_Cour!$AP:$AP,$B42,BV_Data_An_Cour!$AQ:$AQ,$C42,BV_Data_An_Cour!$AR:$AR,L$2)</f>
        <v>32912.819999999992</v>
      </c>
      <c r="M42" s="252"/>
      <c r="N42" s="275">
        <f t="shared" si="15"/>
        <v>32912.819999999992</v>
      </c>
      <c r="O42" s="252"/>
      <c r="P42" s="41"/>
      <c r="Q42" s="253">
        <f>SUMIFS(BV_Data_An_Prec!$AM:$AM,BV_Data_An_Prec!$AP:$AP,$B42,BV_Data_An_Prec!$AQ:$AQ,$C42,BV_Data_An_Prec!$AR:$AR,Q$2)</f>
        <v>0</v>
      </c>
      <c r="R42" s="252"/>
      <c r="S42" s="275">
        <f t="shared" si="17"/>
        <v>32912.819999999992</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374</v>
      </c>
      <c r="B43" s="41" t="s">
        <v>88</v>
      </c>
      <c r="C43" s="311" t="s">
        <v>117</v>
      </c>
      <c r="D43" s="296"/>
      <c r="E43" s="41"/>
      <c r="F43" s="247">
        <f>+INDEX('Budget original'!$A$2:$AO$501,MATCH($A43,'Budget original'!$A$2:$A$501,0),MATCH(F$2,'Budget original'!$A$2:$AO$2,0))</f>
        <v>0</v>
      </c>
      <c r="G43" s="297"/>
      <c r="H43" s="41"/>
      <c r="I43" s="247"/>
      <c r="J43" s="252"/>
      <c r="K43" s="41"/>
      <c r="L43" s="247">
        <f>SUMIFS(BV_Data_An_Cour!$AM:$AM,BV_Data_An_Cour!$AP:$AP,$B43,BV_Data_An_Cour!$AQ:$AQ,$C43,BV_Data_An_Cour!$AR:$AR,L$2)</f>
        <v>0</v>
      </c>
      <c r="M43" s="252"/>
      <c r="N43" s="275">
        <f t="shared" si="15"/>
        <v>0</v>
      </c>
      <c r="O43" s="252"/>
      <c r="P43" s="41"/>
      <c r="Q43" s="247">
        <f>SUMIFS(BV_Data_An_Prec!$AM:$AM,BV_Data_An_Prec!$AP:$AP,$B43,BV_Data_An_Prec!$AQ:$AQ,$C43,BV_Data_An_Prec!$AR:$AR,Q$2)</f>
        <v>0</v>
      </c>
      <c r="R43" s="252"/>
      <c r="S43" s="275">
        <f t="shared" si="17"/>
        <v>0</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375</v>
      </c>
      <c r="B44" s="41" t="s">
        <v>88</v>
      </c>
      <c r="C44" s="310" t="s">
        <v>118</v>
      </c>
      <c r="D44" s="312"/>
      <c r="E44" s="313"/>
      <c r="F44" s="253">
        <f>+INDEX('Budget original'!$A$2:$AO$501,MATCH($A44,'Budget original'!$A$2:$A$501,0),MATCH(F$2,'Budget original'!$A$2:$AO$2,0))</f>
        <v>0</v>
      </c>
      <c r="G44" s="314"/>
      <c r="H44" s="313"/>
      <c r="I44" s="253"/>
      <c r="J44" s="240"/>
      <c r="K44" s="313"/>
      <c r="L44" s="253">
        <f>SUMIFS(BV_Data_An_Cour!$AM:$AM,BV_Data_An_Cour!$AP:$AP,$B44,BV_Data_An_Cour!$AQ:$AQ,$C44,BV_Data_An_Cour!$AR:$AR,L$2)</f>
        <v>3493.8099999999977</v>
      </c>
      <c r="M44" s="240"/>
      <c r="N44" s="315">
        <f t="shared" si="15"/>
        <v>3493.8099999999977</v>
      </c>
      <c r="O44" s="240"/>
      <c r="P44" s="313"/>
      <c r="Q44" s="253">
        <f>SUMIFS(BV_Data_An_Prec!$AM:$AM,BV_Data_An_Prec!$AP:$AP,$B44,BV_Data_An_Prec!$AQ:$AQ,$C44,BV_Data_An_Prec!$AR:$AR,Q$2)</f>
        <v>0</v>
      </c>
      <c r="R44" s="240"/>
      <c r="S44" s="315">
        <f t="shared" si="17"/>
        <v>3493.8099999999977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376</v>
      </c>
      <c r="B45" s="41" t="s">
        <v>88</v>
      </c>
      <c r="C45" s="310" t="s">
        <v>119</v>
      </c>
      <c r="D45" s="296"/>
      <c r="E45" s="41"/>
      <c r="F45" s="253">
        <f>+INDEX('Budget original'!$A$2:$AO$501,MATCH($A45,'Budget original'!$A$2:$A$501,0),MATCH(F$2,'Budget original'!$A$2:$AO$2,0))</f>
        <v>0</v>
      </c>
      <c r="G45" s="297"/>
      <c r="H45" s="41"/>
      <c r="I45" s="253"/>
      <c r="J45" s="252"/>
      <c r="K45" s="41"/>
      <c r="L45" s="253">
        <f>SUMIFS(BV_Data_An_Cour!$AM:$AM,BV_Data_An_Cour!$AP:$AP,$B45,BV_Data_An_Cour!$AQ:$AQ,$C45,BV_Data_An_Cour!$AR:$AR,L$2)</f>
        <v>0</v>
      </c>
      <c r="M45" s="252"/>
      <c r="N45" s="275">
        <f t="shared" si="15"/>
        <v>0</v>
      </c>
      <c r="O45" s="252"/>
      <c r="P45" s="41"/>
      <c r="Q45" s="253">
        <f>SUMIFS(BV_Data_An_Prec!$AM:$AM,BV_Data_An_Prec!$AP:$AP,$B45,BV_Data_An_Prec!$AQ:$AQ,$C45,BV_Data_An_Prec!$AR:$AR,Q$2)</f>
        <v>0</v>
      </c>
      <c r="R45" s="252"/>
      <c r="S45" s="275">
        <f t="shared" si="17"/>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354</v>
      </c>
      <c r="B46" s="41" t="s">
        <v>88</v>
      </c>
      <c r="C46" s="310" t="s">
        <v>55</v>
      </c>
      <c r="D46" s="296"/>
      <c r="E46" s="41"/>
      <c r="F46" s="253">
        <f>+INDEX('Budget original'!$A$2:$AO$501,MATCH($A46,'Budget original'!$A$2:$A$501,0),MATCH(F$2,'Budget original'!$A$2:$AO$2,0))</f>
        <v>0</v>
      </c>
      <c r="G46" s="297"/>
      <c r="H46" s="41"/>
      <c r="I46" s="253"/>
      <c r="J46" s="252"/>
      <c r="K46" s="41"/>
      <c r="L46" s="253">
        <f>SUMIFS(BV_Data_An_Cour!$AM:$AM,BV_Data_An_Cour!$AP:$AP,$B46,BV_Data_An_Cour!$AQ:$AQ,$C46,BV_Data_An_Cour!$AR:$AR,L$2)</f>
        <v>0</v>
      </c>
      <c r="M46" s="252"/>
      <c r="N46" s="275">
        <f t="shared" si="15"/>
        <v>0</v>
      </c>
      <c r="O46" s="252"/>
      <c r="P46" s="41"/>
      <c r="Q46" s="253">
        <f>SUMIFS(BV_Data_An_Prec!$AM:$AM,BV_Data_An_Prec!$AP:$AP,$B46,BV_Data_An_Prec!$AQ:$AQ,$C46,BV_Data_An_Prec!$AR:$AR,Q$2)</f>
        <v>0</v>
      </c>
      <c r="R46" s="252"/>
      <c r="S46" s="275">
        <f t="shared" si="17"/>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354</v>
      </c>
      <c r="B47" s="41" t="s">
        <v>88</v>
      </c>
      <c r="C47" s="310" t="s">
        <v>55</v>
      </c>
      <c r="D47" s="296"/>
      <c r="E47" s="41"/>
      <c r="F47" s="253">
        <f>+INDEX('Budget original'!$A$2:$AO$501,MATCH($A47,'Budget original'!$A$2:$A$501,0),MATCH(F$2,'Budget original'!$A$2:$AO$2,0))</f>
        <v>0</v>
      </c>
      <c r="G47" s="297"/>
      <c r="H47" s="41"/>
      <c r="I47" s="253"/>
      <c r="J47" s="252"/>
      <c r="K47" s="41"/>
      <c r="L47" s="253">
        <f>SUMIFS(BV_Data_An_Cour!$AM:$AM,BV_Data_An_Cour!$AP:$AP,$B47,BV_Data_An_Cour!$AQ:$AQ,$C47,BV_Data_An_Cour!$AR:$AR,L$2)</f>
        <v>0</v>
      </c>
      <c r="M47" s="252"/>
      <c r="N47" s="275">
        <f t="shared" si="15"/>
        <v>0</v>
      </c>
      <c r="O47" s="252"/>
      <c r="P47" s="41"/>
      <c r="Q47" s="253">
        <f>SUMIFS(BV_Data_An_Prec!$AM:$AM,BV_Data_An_Prec!$AP:$AP,$B47,BV_Data_An_Prec!$AQ:$AQ,$C47,BV_Data_An_Prec!$AR:$AR,Q$2)</f>
        <v>0</v>
      </c>
      <c r="R47" s="252"/>
      <c r="S47" s="275">
        <f t="shared" si="17"/>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354</v>
      </c>
      <c r="B48" s="41" t="s">
        <v>88</v>
      </c>
      <c r="C48" s="310" t="s">
        <v>55</v>
      </c>
      <c r="D48" s="296"/>
      <c r="E48" s="41"/>
      <c r="F48" s="253">
        <f>+INDEX('Budget original'!$A$2:$AO$501,MATCH($A48,'Budget original'!$A$2:$A$501,0),MATCH(F$2,'Budget original'!$A$2:$AO$2,0))</f>
        <v>0</v>
      </c>
      <c r="G48" s="297"/>
      <c r="H48" s="41"/>
      <c r="I48" s="253"/>
      <c r="J48" s="252"/>
      <c r="K48" s="41"/>
      <c r="L48" s="253">
        <f>SUMIFS(BV_Data_An_Cour!$AM:$AM,BV_Data_An_Cour!$AP:$AP,$B48,BV_Data_An_Cour!$AQ:$AQ,$C48,BV_Data_An_Cour!$AR:$AR,L$2)</f>
        <v>0</v>
      </c>
      <c r="M48" s="252"/>
      <c r="N48" s="275">
        <f t="shared" si="15"/>
        <v>0</v>
      </c>
      <c r="O48" s="252"/>
      <c r="P48" s="41"/>
      <c r="Q48" s="253">
        <f>SUMIFS(BV_Data_An_Prec!$AM:$AM,BV_Data_An_Prec!$AP:$AP,$B48,BV_Data_An_Prec!$AQ:$AQ,$C48,BV_Data_An_Prec!$AR:$AR,Q$2)</f>
        <v>0</v>
      </c>
      <c r="R48" s="252"/>
      <c r="S48" s="275">
        <f t="shared" si="17"/>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377</v>
      </c>
      <c r="B49" s="41" t="s">
        <v>88</v>
      </c>
      <c r="C49" s="311" t="s">
        <v>120</v>
      </c>
      <c r="D49" s="296"/>
      <c r="E49" s="41"/>
      <c r="F49" s="247">
        <f>+INDEX('Budget original'!$A$2:$AO$501,MATCH($A49,'Budget original'!$A$2:$A$501,0),MATCH(F$2,'Budget original'!$A$2:$AO$2,0))</f>
        <v>0</v>
      </c>
      <c r="G49" s="297"/>
      <c r="H49" s="41"/>
      <c r="I49" s="247"/>
      <c r="J49" s="252"/>
      <c r="K49" s="41"/>
      <c r="L49" s="247">
        <f>SUMIFS(BV_Data_An_Cour!$AM:$AM,BV_Data_An_Cour!$AP:$AP,$B49,BV_Data_An_Cour!$AQ:$AQ,$C49,BV_Data_An_Cour!$AR:$AR,L$2)</f>
        <v>8858.8400000000038</v>
      </c>
      <c r="M49" s="252"/>
      <c r="N49" s="275">
        <f t="shared" si="15"/>
        <v>8858.8400000000038</v>
      </c>
      <c r="O49" s="252"/>
      <c r="P49" s="41"/>
      <c r="Q49" s="247">
        <f>SUMIFS(BV_Data_An_Prec!$AM:$AM,BV_Data_An_Prec!$AP:$AP,$B49,BV_Data_An_Prec!$AQ:$AQ,$C49,BV_Data_An_Prec!$AR:$AR,Q$2)</f>
        <v>0</v>
      </c>
      <c r="R49" s="252"/>
      <c r="S49" s="275">
        <f t="shared" si="17"/>
        <v>8858.8400000000038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378</v>
      </c>
      <c r="B50" s="41" t="s">
        <v>88</v>
      </c>
      <c r="C50" s="310" t="s">
        <v>121</v>
      </c>
      <c r="D50" s="312"/>
      <c r="E50" s="313"/>
      <c r="F50" s="253">
        <f>+INDEX('Budget original'!$A$2:$AO$501,MATCH($A50,'Budget original'!$A$2:$A$501,0),MATCH(F$2,'Budget original'!$A$2:$AO$2,0))</f>
        <v>0</v>
      </c>
      <c r="G50" s="314"/>
      <c r="H50" s="313"/>
      <c r="I50" s="253"/>
      <c r="J50" s="240"/>
      <c r="K50" s="313"/>
      <c r="L50" s="253">
        <f>SUMIFS(BV_Data_An_Cour!$AM:$AM,BV_Data_An_Cour!$AP:$AP,$B50,BV_Data_An_Cour!$AQ:$AQ,$C50,BV_Data_An_Cour!$AR:$AR,L$2)</f>
        <v>21375.940000000002</v>
      </c>
      <c r="M50" s="240"/>
      <c r="N50" s="315">
        <f t="shared" si="15"/>
        <v>21375.940000000002</v>
      </c>
      <c r="O50" s="240"/>
      <c r="P50" s="313"/>
      <c r="Q50" s="253">
        <f>SUMIFS(BV_Data_An_Prec!$AM:$AM,BV_Data_An_Prec!$AP:$AP,$B50,BV_Data_An_Prec!$AQ:$AQ,$C50,BV_Data_An_Prec!$AR:$AR,Q$2)</f>
        <v>0</v>
      </c>
      <c r="R50" s="240"/>
      <c r="S50" s="315">
        <f t="shared" si="17"/>
        <v>21375.940000000002</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379</v>
      </c>
      <c r="B51" s="41" t="s">
        <v>88</v>
      </c>
      <c r="C51" s="310" t="s">
        <v>122</v>
      </c>
      <c r="D51" s="296"/>
      <c r="E51" s="41"/>
      <c r="F51" s="253">
        <f>+INDEX('Budget original'!$A$2:$AO$501,MATCH($A51,'Budget original'!$A$2:$A$501,0),MATCH(F$2,'Budget original'!$A$2:$AO$2,0))</f>
        <v>0</v>
      </c>
      <c r="G51" s="297"/>
      <c r="H51" s="41"/>
      <c r="I51" s="253"/>
      <c r="J51" s="252"/>
      <c r="K51" s="41"/>
      <c r="L51" s="253">
        <f>SUMIFS(BV_Data_An_Cour!$AM:$AM,BV_Data_An_Cour!$AP:$AP,$B51,BV_Data_An_Cour!$AQ:$AQ,$C51,BV_Data_An_Cour!$AR:$AR,L$2)</f>
        <v>1593.1599999999999</v>
      </c>
      <c r="M51" s="252"/>
      <c r="N51" s="275">
        <f t="shared" si="15"/>
        <v>1593.1599999999999</v>
      </c>
      <c r="O51" s="252"/>
      <c r="P51" s="41"/>
      <c r="Q51" s="253">
        <f>SUMIFS(BV_Data_An_Prec!$AM:$AM,BV_Data_An_Prec!$AP:$AP,$B51,BV_Data_An_Prec!$AQ:$AQ,$C51,BV_Data_An_Prec!$AR:$AR,Q$2)</f>
        <v>0</v>
      </c>
      <c r="R51" s="252"/>
      <c r="S51" s="275">
        <f t="shared" si="17"/>
        <v>1593.1599999999999</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380</v>
      </c>
      <c r="B52" s="41" t="s">
        <v>88</v>
      </c>
      <c r="C52" s="310" t="s">
        <v>123</v>
      </c>
      <c r="D52" s="296"/>
      <c r="E52" s="41"/>
      <c r="F52" s="253">
        <f>+INDEX('Budget original'!$A$2:$AO$501,MATCH($A52,'Budget original'!$A$2:$A$501,0),MATCH(F$2,'Budget original'!$A$2:$AO$2,0))</f>
        <v>0</v>
      </c>
      <c r="G52" s="297"/>
      <c r="H52" s="41"/>
      <c r="I52" s="253"/>
      <c r="J52" s="252"/>
      <c r="K52" s="41"/>
      <c r="L52" s="253">
        <f>SUMIFS(BV_Data_An_Cour!$AM:$AM,BV_Data_An_Cour!$AP:$AP,$B52,BV_Data_An_Cour!$AQ:$AQ,$C52,BV_Data_An_Cour!$AR:$AR,L$2)</f>
        <v>0</v>
      </c>
      <c r="M52" s="252"/>
      <c r="N52" s="275">
        <f t="shared" si="15"/>
        <v>0</v>
      </c>
      <c r="O52" s="252"/>
      <c r="P52" s="41"/>
      <c r="Q52" s="253">
        <f>SUMIFS(BV_Data_An_Prec!$AM:$AM,BV_Data_An_Prec!$AP:$AP,$B52,BV_Data_An_Prec!$AQ:$AQ,$C52,BV_Data_An_Prec!$AR:$AR,Q$2)</f>
        <v>0</v>
      </c>
      <c r="R52" s="252"/>
      <c r="S52" s="275">
        <f t="shared" si="17"/>
        <v>0</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354</v>
      </c>
      <c r="B53" s="41" t="s">
        <v>88</v>
      </c>
      <c r="C53" s="252" t="s">
        <v>55</v>
      </c>
      <c r="D53" s="298" t="e">
        <f>VLOOKUP(C53,$B$2:$B$46,1,FALSE)</f>
        <v>#N/A</v>
      </c>
      <c r="E53" s="316"/>
      <c r="F53" s="253">
        <f>+INDEX('Budget original'!$A$2:$AO$501,MATCH($A53,'Budget original'!$A$2:$A$501,0),MATCH(F$2,'Budget original'!$A$2:$AO$2,0))</f>
        <v>0</v>
      </c>
      <c r="G53" s="299"/>
      <c r="H53" s="316"/>
      <c r="I53" s="253"/>
      <c r="J53" s="245"/>
      <c r="K53" s="316"/>
      <c r="L53" s="255">
        <f>SUMIFS(BV_Data_An_Cour!$AM:$AM,BV_Data_An_Cour!$AP:$AP,$B53,BV_Data_An_Cour!$AQ:$AQ,$C53,BV_Data_An_Cour!$AR:$AR,L$2)</f>
        <v>0</v>
      </c>
      <c r="M53" s="245"/>
      <c r="N53" s="295">
        <f t="shared" si="15"/>
        <v>0</v>
      </c>
      <c r="O53" s="245"/>
      <c r="P53" s="316"/>
      <c r="Q53" s="255">
        <f>SUMIFS(BV_Data_An_Prec!$AM:$AM,BV_Data_An_Prec!$AP:$AP,$B53,BV_Data_An_Prec!$AQ:$AQ,$C53,BV_Data_An_Prec!$AR:$AR,Q$2)</f>
        <v>0</v>
      </c>
      <c r="R53" s="245"/>
      <c r="S53" s="295">
        <f t="shared" si="17"/>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381</v>
      </c>
      <c r="B54" s="41" t="s">
        <v>88</v>
      </c>
      <c r="C54" s="303" t="s">
        <v>124</v>
      </c>
      <c r="D54" s="304" t="s">
        <v>115</v>
      </c>
      <c r="E54" s="305" t="e">
        <f>F54/F$27</f>
        <v>#DIV/0!</v>
      </c>
      <c r="F54" s="306">
        <f>+SUM(F42:F53)</f>
        <v>0</v>
      </c>
      <c r="G54" s="307"/>
      <c r="H54" s="305"/>
      <c r="I54" s="306"/>
      <c r="J54" s="307" t="s">
        <v>115</v>
      </c>
      <c r="K54" s="305">
        <f>L54/L$27</f>
        <v>0.21490122213380333</v>
      </c>
      <c r="L54" s="306">
        <f>+SUM(L42:L53)</f>
        <v>68234.570000000007</v>
      </c>
      <c r="M54" s="309"/>
      <c r="N54" s="306">
        <f>+SUM(N42:N53)</f>
        <v>68234.570000000007</v>
      </c>
      <c r="O54" s="307" t="s">
        <v>115</v>
      </c>
      <c r="P54" s="305" t="e">
        <f>Q54/Q$27</f>
        <v>#DIV/0!</v>
      </c>
      <c r="Q54" s="306">
        <f>+SUM(Q42:Q53)</f>
        <v>0</v>
      </c>
      <c r="R54" s="309"/>
      <c r="S54" s="306">
        <f>+SUM(S42:S53)</f>
        <v>68234.570000000007</v>
      </c>
      <c r="T54" s="290"/>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382</v>
      </c>
      <c r="B55" s="41" t="s">
        <v>88</v>
      </c>
      <c r="C55" s="252" t="s">
        <v>125</v>
      </c>
      <c r="D55" s="296"/>
      <c r="E55" s="41"/>
      <c r="F55" s="253">
        <f>+INDEX('Budget original'!$A$2:$AO$501,MATCH($A55,'Budget original'!$A$2:$A$501,0),MATCH(F$2,'Budget original'!$A$2:$AO$2,0))</f>
        <v>0</v>
      </c>
      <c r="G55" s="297"/>
      <c r="H55" s="41"/>
      <c r="I55" s="253"/>
      <c r="J55" s="252"/>
      <c r="K55" s="41"/>
      <c r="L55" s="255">
        <f>SUMIFS(BV_Data_An_Cour!$AM:$AM,BV_Data_An_Cour!$AP:$AP,$B55,BV_Data_An_Cour!$AQ:$AQ,$C55,BV_Data_An_Cour!$AR:$AR,L$2)</f>
        <v>0</v>
      </c>
      <c r="M55" s="252"/>
      <c r="N55" s="275">
        <f t="shared" ref="N55:N71" si="18">L55-F55</f>
        <v>0</v>
      </c>
      <c r="O55" s="252"/>
      <c r="P55" s="41"/>
      <c r="Q55" s="255">
        <f>SUMIFS(BV_Data_An_Prec!$AM:$AM,BV_Data_An_Prec!$AP:$AP,$B55,BV_Data_An_Prec!$AQ:$AQ,$C55,BV_Data_An_Prec!$AR:$AR,Q$2)</f>
        <v>0</v>
      </c>
      <c r="R55" s="252"/>
      <c r="S55" s="275">
        <f t="shared" ref="S55:S71" si="19">L55-Q55</f>
        <v>0</v>
      </c>
      <c r="T55" s="290"/>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383</v>
      </c>
      <c r="B56" s="41" t="s">
        <v>88</v>
      </c>
      <c r="C56" s="252" t="s">
        <v>126</v>
      </c>
      <c r="D56" s="296"/>
      <c r="E56" s="41"/>
      <c r="F56" s="253">
        <f>+INDEX('Budget original'!$A$2:$AO$501,MATCH($A56,'Budget original'!$A$2:$A$501,0),MATCH(F$2,'Budget original'!$A$2:$AO$2,0))</f>
        <v>0</v>
      </c>
      <c r="G56" s="297"/>
      <c r="H56" s="41"/>
      <c r="I56" s="253"/>
      <c r="J56" s="252"/>
      <c r="K56" s="41"/>
      <c r="L56" s="255">
        <f>SUMIFS(BV_Data_An_Cour!$AM:$AM,BV_Data_An_Cour!$AP:$AP,$B56,BV_Data_An_Cour!$AQ:$AQ,$C56,BV_Data_An_Cour!$AR:$AR,L$2)</f>
        <v>0</v>
      </c>
      <c r="M56" s="252"/>
      <c r="N56" s="275">
        <f t="shared" si="18"/>
        <v>0</v>
      </c>
      <c r="O56" s="252"/>
      <c r="P56" s="41"/>
      <c r="Q56" s="255">
        <f>SUMIFS(BV_Data_An_Prec!$AM:$AM,BV_Data_An_Prec!$AP:$AP,$B56,BV_Data_An_Prec!$AQ:$AQ,$C56,BV_Data_An_Prec!$AR:$AR,Q$2)</f>
        <v>0</v>
      </c>
      <c r="R56" s="252"/>
      <c r="S56" s="275">
        <f t="shared" si="19"/>
        <v>0</v>
      </c>
      <c r="T56" s="290"/>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384</v>
      </c>
      <c r="B57" s="41" t="s">
        <v>88</v>
      </c>
      <c r="C57" s="245" t="s">
        <v>127</v>
      </c>
      <c r="D57" s="298"/>
      <c r="E57" s="316"/>
      <c r="F57" s="247">
        <f>+INDEX('Budget original'!$A$2:$AO$501,MATCH($A57,'Budget original'!$A$2:$A$501,0),MATCH(F$2,'Budget original'!$A$2:$AO$2,0))</f>
        <v>0</v>
      </c>
      <c r="G57" s="299"/>
      <c r="H57" s="316"/>
      <c r="I57" s="247"/>
      <c r="J57" s="245"/>
      <c r="K57" s="316"/>
      <c r="L57" s="247">
        <f>SUMIFS(BV_Data_An_Cour!$AM:$AM,BV_Data_An_Cour!$AP:$AP,$B57,BV_Data_An_Cour!$AQ:$AQ,$C57,BV_Data_An_Cour!$AR:$AR,L$2)</f>
        <v>0</v>
      </c>
      <c r="M57" s="245"/>
      <c r="N57" s="295">
        <f t="shared" si="18"/>
        <v>0</v>
      </c>
      <c r="O57" s="245"/>
      <c r="P57" s="316"/>
      <c r="Q57" s="247">
        <f>SUMIFS(BV_Data_An_Prec!$AM:$AM,BV_Data_An_Prec!$AP:$AP,$B57,BV_Data_An_Prec!$AQ:$AQ,$C57,BV_Data_An_Prec!$AR:$AR,Q$2)</f>
        <v>0</v>
      </c>
      <c r="R57" s="245"/>
      <c r="S57" s="295">
        <f t="shared" si="19"/>
        <v>0</v>
      </c>
      <c r="T57" s="317"/>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385</v>
      </c>
      <c r="B58" s="41" t="s">
        <v>88</v>
      </c>
      <c r="C58" s="252" t="s">
        <v>128</v>
      </c>
      <c r="D58" s="296"/>
      <c r="E58" s="41"/>
      <c r="F58" s="253">
        <f>+INDEX('Budget original'!$A$2:$AO$501,MATCH($A58,'Budget original'!$A$2:$A$501,0),MATCH(F$2,'Budget original'!$A$2:$AO$2,0))</f>
        <v>0</v>
      </c>
      <c r="G58" s="297"/>
      <c r="H58" s="41"/>
      <c r="I58" s="253"/>
      <c r="J58" s="252"/>
      <c r="K58" s="41"/>
      <c r="L58" s="255">
        <f>SUMIFS(BV_Data_An_Cour!$AM:$AM,BV_Data_An_Cour!$AP:$AP,$B58,BV_Data_An_Cour!$AQ:$AQ,$C58,BV_Data_An_Cour!$AR:$AR,L$2)</f>
        <v>1442.8000000000002</v>
      </c>
      <c r="M58" s="252"/>
      <c r="N58" s="275">
        <f t="shared" si="18"/>
        <v>1442.8000000000002</v>
      </c>
      <c r="O58" s="252"/>
      <c r="P58" s="41"/>
      <c r="Q58" s="255">
        <f>SUMIFS(BV_Data_An_Prec!$AM:$AM,BV_Data_An_Prec!$AP:$AP,$B58,BV_Data_An_Prec!$AQ:$AQ,$C58,BV_Data_An_Prec!$AR:$AR,Q$2)</f>
        <v>0</v>
      </c>
      <c r="R58" s="252"/>
      <c r="S58" s="275">
        <f t="shared" si="19"/>
        <v>1442.8000000000002</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386</v>
      </c>
      <c r="B59" s="41" t="s">
        <v>88</v>
      </c>
      <c r="C59" s="252" t="s">
        <v>129</v>
      </c>
      <c r="D59" s="296"/>
      <c r="E59" s="41"/>
      <c r="F59" s="253">
        <f>+INDEX('Budget original'!$A$2:$AO$501,MATCH($A59,'Budget original'!$A$2:$A$501,0),MATCH(F$2,'Budget original'!$A$2:$AO$2,0))</f>
        <v>0</v>
      </c>
      <c r="G59" s="297"/>
      <c r="H59" s="41"/>
      <c r="I59" s="253"/>
      <c r="J59" s="252"/>
      <c r="K59" s="41"/>
      <c r="L59" s="255">
        <f>SUMIFS(BV_Data_An_Cour!$AM:$AM,BV_Data_An_Cour!$AP:$AP,$B59,BV_Data_An_Cour!$AQ:$AQ,$C59,BV_Data_An_Cour!$AR:$AR,L$2)</f>
        <v>299.11000000000013</v>
      </c>
      <c r="M59" s="252"/>
      <c r="N59" s="275">
        <f t="shared" si="18"/>
        <v>299.11000000000013</v>
      </c>
      <c r="O59" s="252"/>
      <c r="P59" s="41"/>
      <c r="Q59" s="255">
        <f>SUMIFS(BV_Data_An_Prec!$AM:$AM,BV_Data_An_Prec!$AP:$AP,$B59,BV_Data_An_Prec!$AQ:$AQ,$C59,BV_Data_An_Prec!$AR:$AR,Q$2)</f>
        <v>0</v>
      </c>
      <c r="R59" s="252"/>
      <c r="S59" s="275">
        <f t="shared" si="19"/>
        <v>299.11000000000013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387</v>
      </c>
      <c r="B60" s="41" t="s">
        <v>88</v>
      </c>
      <c r="C60" s="245" t="s">
        <v>130</v>
      </c>
      <c r="D60" s="298"/>
      <c r="E60" s="316"/>
      <c r="F60" s="247">
        <f>+INDEX('Budget original'!$A$2:$AO$501,MATCH($A60,'Budget original'!$A$2:$A$501,0),MATCH(F$2,'Budget original'!$A$2:$AO$2,0))</f>
        <v>0</v>
      </c>
      <c r="G60" s="299"/>
      <c r="H60" s="316"/>
      <c r="I60" s="247"/>
      <c r="J60" s="245"/>
      <c r="K60" s="316"/>
      <c r="L60" s="247">
        <f>SUMIFS(BV_Data_An_Cour!$AM:$AM,BV_Data_An_Cour!$AP:$AP,$B60,BV_Data_An_Cour!$AQ:$AQ,$C60,BV_Data_An_Cour!$AR:$AR,L$2)</f>
        <v>1404.8</v>
      </c>
      <c r="M60" s="245"/>
      <c r="N60" s="295">
        <f t="shared" si="18"/>
        <v>1404.8</v>
      </c>
      <c r="O60" s="245"/>
      <c r="P60" s="316"/>
      <c r="Q60" s="247">
        <f>SUMIFS(BV_Data_An_Prec!$AM:$AM,BV_Data_An_Prec!$AP:$AP,$B60,BV_Data_An_Prec!$AQ:$AQ,$C60,BV_Data_An_Prec!$AR:$AR,Q$2)</f>
        <v>0</v>
      </c>
      <c r="R60" s="245"/>
      <c r="S60" s="295">
        <f t="shared" si="19"/>
        <v>1404.8</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388</v>
      </c>
      <c r="B61" s="41" t="s">
        <v>88</v>
      </c>
      <c r="C61" s="252" t="s">
        <v>131</v>
      </c>
      <c r="D61" s="296"/>
      <c r="E61" s="41"/>
      <c r="F61" s="253">
        <f>+INDEX('Budget original'!$A$2:$AO$501,MATCH($A61,'Budget original'!$A$2:$A$501,0),MATCH(F$2,'Budget original'!$A$2:$AO$2,0))</f>
        <v>0</v>
      </c>
      <c r="G61" s="297"/>
      <c r="H61" s="41"/>
      <c r="I61" s="253"/>
      <c r="J61" s="252"/>
      <c r="K61" s="41"/>
      <c r="L61" s="255">
        <f>SUMIFS(BV_Data_An_Cour!$AM:$AM,BV_Data_An_Cour!$AP:$AP,$B61,BV_Data_An_Cour!$AQ:$AQ,$C61,BV_Data_An_Cour!$AR:$AR,L$2)</f>
        <v>0</v>
      </c>
      <c r="M61" s="252"/>
      <c r="N61" s="275">
        <f t="shared" si="18"/>
        <v>0</v>
      </c>
      <c r="O61" s="252"/>
      <c r="P61" s="41"/>
      <c r="Q61" s="255">
        <f>SUMIFS(BV_Data_An_Prec!$AM:$AM,BV_Data_An_Prec!$AP:$AP,$B61,BV_Data_An_Prec!$AQ:$AQ,$C61,BV_Data_An_Prec!$AR:$AR,Q$2)</f>
        <v>0</v>
      </c>
      <c r="R61" s="252"/>
      <c r="S61" s="275">
        <f t="shared" si="19"/>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389</v>
      </c>
      <c r="B62" s="41" t="s">
        <v>88</v>
      </c>
      <c r="C62" s="252" t="s">
        <v>132</v>
      </c>
      <c r="D62" s="296"/>
      <c r="E62" s="41"/>
      <c r="F62" s="253">
        <f>+INDEX('Budget original'!$A$2:$AO$501,MATCH($A62,'Budget original'!$A$2:$A$501,0),MATCH(F$2,'Budget original'!$A$2:$AO$2,0))</f>
        <v>0</v>
      </c>
      <c r="G62" s="297"/>
      <c r="H62" s="41"/>
      <c r="I62" s="253"/>
      <c r="J62" s="252"/>
      <c r="K62" s="41"/>
      <c r="L62" s="255">
        <f>SUMIFS(BV_Data_An_Cour!$AM:$AM,BV_Data_An_Cour!$AP:$AP,$B62,BV_Data_An_Cour!$AQ:$AQ,$C62,BV_Data_An_Cour!$AR:$AR,L$2)</f>
        <v>0</v>
      </c>
      <c r="M62" s="252"/>
      <c r="N62" s="275">
        <f t="shared" si="18"/>
        <v>0</v>
      </c>
      <c r="O62" s="252"/>
      <c r="P62" s="41"/>
      <c r="Q62" s="255">
        <f>SUMIFS(BV_Data_An_Prec!$AM:$AM,BV_Data_An_Prec!$AP:$AP,$B62,BV_Data_An_Prec!$AQ:$AQ,$C62,BV_Data_An_Prec!$AR:$AR,Q$2)</f>
        <v>0</v>
      </c>
      <c r="R62" s="252"/>
      <c r="S62" s="275">
        <f t="shared" si="19"/>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390</v>
      </c>
      <c r="B63" s="41" t="s">
        <v>88</v>
      </c>
      <c r="C63" s="252" t="s">
        <v>133</v>
      </c>
      <c r="D63" s="296"/>
      <c r="E63" s="41"/>
      <c r="F63" s="253">
        <f>+INDEX('Budget original'!$A$2:$AO$501,MATCH($A63,'Budget original'!$A$2:$A$501,0),MATCH(F$2,'Budget original'!$A$2:$AO$2,0))</f>
        <v>0</v>
      </c>
      <c r="G63" s="297"/>
      <c r="H63" s="41"/>
      <c r="I63" s="253"/>
      <c r="J63" s="252"/>
      <c r="K63" s="41"/>
      <c r="L63" s="255">
        <f>SUMIFS(BV_Data_An_Cour!$AM:$AM,BV_Data_An_Cour!$AP:$AP,$B63,BV_Data_An_Cour!$AQ:$AQ,$C63,BV_Data_An_Cour!$AR:$AR,L$2)</f>
        <v>574.57000000000016</v>
      </c>
      <c r="M63" s="252"/>
      <c r="N63" s="275">
        <f t="shared" si="18"/>
        <v>574.57000000000016</v>
      </c>
      <c r="O63" s="252"/>
      <c r="P63" s="41"/>
      <c r="Q63" s="255">
        <f>SUMIFS(BV_Data_An_Prec!$AM:$AM,BV_Data_An_Prec!$AP:$AP,$B63,BV_Data_An_Prec!$AQ:$AQ,$C63,BV_Data_An_Prec!$AR:$AR,Q$2)</f>
        <v>0</v>
      </c>
      <c r="R63" s="252"/>
      <c r="S63" s="275">
        <f t="shared" si="19"/>
        <v>574.57000000000016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391</v>
      </c>
      <c r="B64" s="41" t="s">
        <v>88</v>
      </c>
      <c r="C64" s="252" t="s">
        <v>134</v>
      </c>
      <c r="D64" s="296"/>
      <c r="E64" s="41"/>
      <c r="F64" s="253">
        <f>+INDEX('Budget original'!$A$2:$AO$501,MATCH($A64,'Budget original'!$A$2:$A$501,0),MATCH(F$2,'Budget original'!$A$2:$AO$2,0))</f>
        <v>0</v>
      </c>
      <c r="G64" s="297"/>
      <c r="H64" s="41"/>
      <c r="I64" s="253"/>
      <c r="J64" s="252"/>
      <c r="K64" s="41"/>
      <c r="L64" s="255">
        <f>SUMIFS(BV_Data_An_Cour!$AM:$AM,BV_Data_An_Cour!$AP:$AP,$B64,BV_Data_An_Cour!$AQ:$AQ,$C64,BV_Data_An_Cour!$AR:$AR,L$2)</f>
        <v>52.350000000000023</v>
      </c>
      <c r="M64" s="252"/>
      <c r="N64" s="275">
        <f t="shared" si="18"/>
        <v>52.350000000000023</v>
      </c>
      <c r="O64" s="252"/>
      <c r="P64" s="41"/>
      <c r="Q64" s="255">
        <f>SUMIFS(BV_Data_An_Prec!$AM:$AM,BV_Data_An_Prec!$AP:$AP,$B64,BV_Data_An_Prec!$AQ:$AQ,$C64,BV_Data_An_Prec!$AR:$AR,Q$2)</f>
        <v>0</v>
      </c>
      <c r="R64" s="252"/>
      <c r="S64" s="275">
        <f t="shared" si="19"/>
        <v>52.350000000000023</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392</v>
      </c>
      <c r="B65" s="41" t="s">
        <v>88</v>
      </c>
      <c r="C65" s="252" t="s">
        <v>135</v>
      </c>
      <c r="D65" s="296"/>
      <c r="E65" s="41"/>
      <c r="F65" s="253">
        <f>+INDEX('Budget original'!$A$2:$AO$501,MATCH($A65,'Budget original'!$A$2:$A$501,0),MATCH(F$2,'Budget original'!$A$2:$AO$2,0))</f>
        <v>0</v>
      </c>
      <c r="G65" s="297"/>
      <c r="H65" s="41"/>
      <c r="I65" s="253"/>
      <c r="J65" s="252"/>
      <c r="K65" s="41"/>
      <c r="L65" s="255">
        <f>SUMIFS(BV_Data_An_Cour!$AM:$AM,BV_Data_An_Cour!$AP:$AP,$B65,BV_Data_An_Cour!$AQ:$AQ,$C65,BV_Data_An_Cour!$AR:$AR,L$2)</f>
        <v>0</v>
      </c>
      <c r="M65" s="252"/>
      <c r="N65" s="275">
        <f t="shared" si="18"/>
        <v>0</v>
      </c>
      <c r="O65" s="252"/>
      <c r="P65" s="41"/>
      <c r="Q65" s="255">
        <f>SUMIFS(BV_Data_An_Prec!$AM:$AM,BV_Data_An_Prec!$AP:$AP,$B65,BV_Data_An_Prec!$AQ:$AQ,$C65,BV_Data_An_Prec!$AR:$AR,Q$2)</f>
        <v>0</v>
      </c>
      <c r="R65" s="252"/>
      <c r="S65" s="275">
        <f t="shared" si="19"/>
        <v>0</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393</v>
      </c>
      <c r="B66" s="41" t="s">
        <v>88</v>
      </c>
      <c r="C66" s="252" t="s">
        <v>136</v>
      </c>
      <c r="D66" s="296"/>
      <c r="E66" s="41"/>
      <c r="F66" s="253">
        <f>+INDEX('Budget original'!$A$2:$AO$501,MATCH($A66,'Budget original'!$A$2:$A$501,0),MATCH(F$2,'Budget original'!$A$2:$AO$2,0))</f>
        <v>0</v>
      </c>
      <c r="G66" s="297"/>
      <c r="H66" s="41"/>
      <c r="I66" s="253"/>
      <c r="J66" s="252"/>
      <c r="K66" s="41"/>
      <c r="L66" s="255">
        <f>SUMIFS(BV_Data_An_Cour!$AM:$AM,BV_Data_An_Cour!$AP:$AP,$B66,BV_Data_An_Cour!$AQ:$AQ,$C66,BV_Data_An_Cour!$AR:$AR,L$2)</f>
        <v>0</v>
      </c>
      <c r="M66" s="252"/>
      <c r="N66" s="275">
        <f t="shared" si="18"/>
        <v>0</v>
      </c>
      <c r="O66" s="252"/>
      <c r="P66" s="41"/>
      <c r="Q66" s="255">
        <f>SUMIFS(BV_Data_An_Prec!$AM:$AM,BV_Data_An_Prec!$AP:$AP,$B66,BV_Data_An_Prec!$AQ:$AQ,$C66,BV_Data_An_Prec!$AR:$AR,Q$2)</f>
        <v>0</v>
      </c>
      <c r="R66" s="252"/>
      <c r="S66" s="275">
        <f t="shared" si="19"/>
        <v>0</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394</v>
      </c>
      <c r="B67" s="41" t="s">
        <v>88</v>
      </c>
      <c r="C67" s="252" t="s">
        <v>137</v>
      </c>
      <c r="D67" s="296"/>
      <c r="E67" s="41"/>
      <c r="F67" s="253">
        <f>+INDEX('Budget original'!$A$2:$AO$501,MATCH($A67,'Budget original'!$A$2:$A$501,0),MATCH(F$2,'Budget original'!$A$2:$AO$2,0))</f>
        <v>0</v>
      </c>
      <c r="G67" s="297"/>
      <c r="H67" s="41"/>
      <c r="I67" s="253"/>
      <c r="J67" s="252"/>
      <c r="K67" s="41"/>
      <c r="L67" s="255">
        <f>SUMIFS(BV_Data_An_Cour!$AM:$AM,BV_Data_An_Cour!$AP:$AP,$B67,BV_Data_An_Cour!$AQ:$AQ,$C67,BV_Data_An_Cour!$AR:$AR,L$2)</f>
        <v>775</v>
      </c>
      <c r="M67" s="252"/>
      <c r="N67" s="275">
        <f t="shared" si="18"/>
        <v>775</v>
      </c>
      <c r="O67" s="252"/>
      <c r="P67" s="41"/>
      <c r="Q67" s="255">
        <f>SUMIFS(BV_Data_An_Prec!$AM:$AM,BV_Data_An_Prec!$AP:$AP,$B67,BV_Data_An_Prec!$AQ:$AQ,$C67,BV_Data_An_Prec!$AR:$AR,Q$2)</f>
        <v>0</v>
      </c>
      <c r="R67" s="252"/>
      <c r="S67" s="275">
        <f t="shared" si="19"/>
        <v>775</v>
      </c>
      <c r="T67" s="41"/>
      <c r="U67" s="1027"/>
      <c r="X67" s="41"/>
      <c r="Y67" s="41"/>
      <c r="Z67" s="41"/>
      <c r="AA67" s="41"/>
      <c r="AB67" s="41"/>
      <c r="AC67" s="41"/>
      <c r="AD67" s="41"/>
      <c r="AE67" s="41"/>
      <c r="AF67" s="41"/>
      <c r="AG67" s="41"/>
      <c r="AH67" s="41"/>
      <c r="AI67" s="41"/>
      <c r="AJ67" s="41"/>
      <c r="AK67" s="41"/>
      <c r="AL67" s="41"/>
      <c r="AM67" s="41"/>
      <c r="AN67" s="41"/>
    </row>
    <row r="68" spans="1:40" ht="15.75" customHeight="1">
      <c r="A68" s="5" t="s">
        <v>395</v>
      </c>
      <c r="B68" s="41" t="s">
        <v>88</v>
      </c>
      <c r="C68" s="252" t="s">
        <v>138</v>
      </c>
      <c r="D68" s="296"/>
      <c r="E68" s="41"/>
      <c r="F68" s="253">
        <f>+INDEX('Budget original'!$A$2:$AO$501,MATCH($A68,'Budget original'!$A$2:$A$501,0),MATCH(F$2,'Budget original'!$A$2:$AO$2,0))</f>
        <v>0</v>
      </c>
      <c r="G68" s="297"/>
      <c r="H68" s="41"/>
      <c r="I68" s="253"/>
      <c r="J68" s="252"/>
      <c r="K68" s="41"/>
      <c r="L68" s="255">
        <f>SUMIFS(BV_Data_An_Cour!$AM:$AM,BV_Data_An_Cour!$AP:$AP,$B68,BV_Data_An_Cour!$AQ:$AQ,$C68,BV_Data_An_Cour!$AR:$AR,L$2)</f>
        <v>0</v>
      </c>
      <c r="M68" s="252"/>
      <c r="N68" s="777">
        <f t="shared" si="18"/>
        <v>0</v>
      </c>
      <c r="O68" s="252"/>
      <c r="P68" s="41"/>
      <c r="Q68" s="255">
        <f>SUMIFS(BV_Data_An_Prec!$AM:$AM,BV_Data_An_Prec!$AP:$AP,$B68,BV_Data_An_Prec!$AQ:$AQ,$C68,BV_Data_An_Prec!$AR:$AR,Q$2)</f>
        <v>0</v>
      </c>
      <c r="R68" s="252"/>
      <c r="S68" s="275">
        <f t="shared" si="19"/>
        <v>0</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354</v>
      </c>
      <c r="B69" s="41" t="s">
        <v>88</v>
      </c>
      <c r="C69" s="252" t="s">
        <v>55</v>
      </c>
      <c r="D69" s="296"/>
      <c r="E69" s="41"/>
      <c r="F69" s="253">
        <f>+INDEX('Budget original'!$A$2:$AO$501,MATCH($A69,'Budget original'!$A$2:$A$501,0),MATCH(F$2,'Budget original'!$A$2:$AO$2,0))</f>
        <v>0</v>
      </c>
      <c r="G69" s="297"/>
      <c r="H69" s="41"/>
      <c r="I69" s="253"/>
      <c r="J69" s="252"/>
      <c r="K69" s="41"/>
      <c r="L69" s="255"/>
      <c r="M69" s="252"/>
      <c r="N69" s="275">
        <f t="shared" si="18"/>
        <v>0</v>
      </c>
      <c r="O69" s="252"/>
      <c r="P69" s="41"/>
      <c r="Q69" s="255"/>
      <c r="R69" s="252"/>
      <c r="S69" s="275">
        <f t="shared" si="19"/>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354</v>
      </c>
      <c r="B70" s="41" t="s">
        <v>88</v>
      </c>
      <c r="C70" s="252" t="s">
        <v>55</v>
      </c>
      <c r="D70" s="296"/>
      <c r="E70" s="41"/>
      <c r="F70" s="253">
        <f>+INDEX('Budget original'!$A$2:$AO$501,MATCH($A70,'Budget original'!$A$2:$A$501,0),MATCH(F$2,'Budget original'!$A$2:$AO$2,0))</f>
        <v>0</v>
      </c>
      <c r="G70" s="297"/>
      <c r="H70" s="41"/>
      <c r="I70" s="253"/>
      <c r="J70" s="252"/>
      <c r="K70" s="41"/>
      <c r="L70" s="255">
        <f>SUMIFS(BV_Data_An_Cour!$AM:$AM,BV_Data_An_Cour!$AP:$AP,$B70,BV_Data_An_Cour!$AQ:$AQ,$C70,BV_Data_An_Cour!$AR:$AR,L$2)</f>
        <v>0</v>
      </c>
      <c r="M70" s="252"/>
      <c r="N70" s="275">
        <f t="shared" si="18"/>
        <v>0</v>
      </c>
      <c r="O70" s="252"/>
      <c r="P70" s="41"/>
      <c r="Q70" s="255">
        <f>SUMIFS(BV_Data_An_Prec!$AM:$AM,BV_Data_An_Prec!$AP:$AP,$B70,BV_Data_An_Prec!$AQ:$AQ,$C70,BV_Data_An_Prec!$AR:$AR,Q$2)</f>
        <v>0</v>
      </c>
      <c r="R70" s="252"/>
      <c r="S70" s="275">
        <f t="shared" si="19"/>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354</v>
      </c>
      <c r="B71" s="41" t="s">
        <v>88</v>
      </c>
      <c r="C71" s="252" t="s">
        <v>55</v>
      </c>
      <c r="D71" s="296"/>
      <c r="E71" s="41"/>
      <c r="F71" s="253">
        <f>+INDEX('Budget original'!$A$2:$AO$501,MATCH($A71,'Budget original'!$A$2:$A$501,0),MATCH(F$2,'Budget original'!$A$2:$AO$2,0))</f>
        <v>0</v>
      </c>
      <c r="G71" s="297"/>
      <c r="H71" s="41"/>
      <c r="I71" s="253"/>
      <c r="J71" s="252"/>
      <c r="K71" s="41"/>
      <c r="L71" s="255">
        <f>SUMIFS(BV_Data_An_Cour!$AM:$AM,BV_Data_An_Cour!$AP:$AP,$B71,BV_Data_An_Cour!$AQ:$AQ,$C71,BV_Data_An_Cour!$AR:$AR,L$2)*0.32</f>
        <v>0</v>
      </c>
      <c r="M71" s="252"/>
      <c r="N71" s="275">
        <f t="shared" si="18"/>
        <v>0</v>
      </c>
      <c r="O71" s="252"/>
      <c r="P71" s="41"/>
      <c r="Q71" s="255">
        <f>SUMIFS(BV_Data_An_Prec!$AM:$AM,BV_Data_An_Prec!$AP:$AP,$B71,BV_Data_An_Prec!$AQ:$AQ,$C71,BV_Data_An_Prec!$AR:$AR,Q$2)*0.32</f>
        <v>0</v>
      </c>
      <c r="R71" s="252"/>
      <c r="S71" s="275">
        <f t="shared" si="19"/>
        <v>0</v>
      </c>
      <c r="T71" s="41"/>
      <c r="X71" s="41"/>
      <c r="Y71" s="41"/>
      <c r="Z71" s="41"/>
      <c r="AA71" s="41"/>
      <c r="AB71" s="41"/>
      <c r="AC71" s="41"/>
      <c r="AD71" s="41"/>
      <c r="AE71" s="41"/>
      <c r="AF71" s="41"/>
      <c r="AG71" s="41"/>
      <c r="AH71" s="41"/>
      <c r="AI71" s="41"/>
      <c r="AJ71" s="41"/>
      <c r="AK71" s="41"/>
      <c r="AL71" s="41"/>
      <c r="AM71" s="41"/>
      <c r="AN71" s="41"/>
    </row>
    <row r="72" spans="1:40" ht="15.75" customHeight="1">
      <c r="A72" s="5" t="s">
        <v>396</v>
      </c>
      <c r="B72" s="41" t="s">
        <v>88</v>
      </c>
      <c r="C72" s="303" t="s">
        <v>139</v>
      </c>
      <c r="D72" s="304" t="s">
        <v>115</v>
      </c>
      <c r="E72" s="305" t="e">
        <f>F72/F$27</f>
        <v>#DIV/0!</v>
      </c>
      <c r="F72" s="306">
        <f>+SUM(F55:F71)</f>
        <v>0</v>
      </c>
      <c r="G72" s="307"/>
      <c r="H72" s="305"/>
      <c r="I72" s="306"/>
      <c r="J72" s="307" t="s">
        <v>115</v>
      </c>
      <c r="K72" s="305">
        <f>L72/L$27</f>
        <v>1.4325673130708991E-2</v>
      </c>
      <c r="L72" s="306">
        <f>+SUM(L55:L71)</f>
        <v>4548.63</v>
      </c>
      <c r="M72" s="309"/>
      <c r="N72" s="306">
        <f>+SUM(N55:N71)</f>
        <v>4548.63</v>
      </c>
      <c r="O72" s="307" t="s">
        <v>115</v>
      </c>
      <c r="P72" s="305" t="e">
        <f>Q72/Q$27</f>
        <v>#DIV/0!</v>
      </c>
      <c r="Q72" s="306">
        <f>+SUM(Q55:Q71)</f>
        <v>0</v>
      </c>
      <c r="R72" s="309"/>
      <c r="S72" s="306">
        <f>+SUM(S55:S71)</f>
        <v>4548.63</v>
      </c>
      <c r="T72" s="41"/>
      <c r="X72" s="41"/>
      <c r="Y72" s="41"/>
      <c r="Z72" s="41"/>
      <c r="AA72" s="41"/>
      <c r="AB72" s="41"/>
      <c r="AC72" s="41"/>
      <c r="AD72" s="41"/>
      <c r="AE72" s="41"/>
      <c r="AF72" s="41"/>
      <c r="AG72" s="41"/>
      <c r="AH72" s="41"/>
      <c r="AI72" s="41"/>
      <c r="AJ72" s="41"/>
      <c r="AK72" s="41"/>
      <c r="AL72" s="41"/>
      <c r="AM72" s="41"/>
      <c r="AN72" s="41"/>
    </row>
    <row r="73" spans="1:40" ht="15.75" customHeight="1">
      <c r="A73" s="5" t="s">
        <v>88</v>
      </c>
      <c r="B73" s="41" t="s">
        <v>88</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397</v>
      </c>
      <c r="B74" s="41" t="s">
        <v>88</v>
      </c>
      <c r="C74" s="303" t="s">
        <v>140</v>
      </c>
      <c r="D74" s="304" t="s">
        <v>115</v>
      </c>
      <c r="E74" s="305" t="e">
        <f>F74/F$27</f>
        <v>#DIV/0!</v>
      </c>
      <c r="F74" s="306">
        <f>F41+F54+F72</f>
        <v>0</v>
      </c>
      <c r="G74" s="307"/>
      <c r="H74" s="305"/>
      <c r="I74" s="306"/>
      <c r="J74" s="307" t="s">
        <v>115</v>
      </c>
      <c r="K74" s="305">
        <f>L74/L$27</f>
        <v>0.82152406381323162</v>
      </c>
      <c r="L74" s="306">
        <f>L41+L54+L72</f>
        <v>260847.01</v>
      </c>
      <c r="M74" s="309"/>
      <c r="N74" s="318">
        <f t="shared" ref="N74:N82" si="20">L74-F74</f>
        <v>260847.01</v>
      </c>
      <c r="O74" s="307" t="s">
        <v>115</v>
      </c>
      <c r="P74" s="305" t="e">
        <f>Q74/Q$27</f>
        <v>#DIV/0!</v>
      </c>
      <c r="Q74" s="306">
        <f>Q41+Q54+Q72</f>
        <v>0</v>
      </c>
      <c r="R74" s="309"/>
      <c r="S74" s="318">
        <f>L74-Q74</f>
        <v>260847.01</v>
      </c>
      <c r="T74" s="41"/>
      <c r="U74" s="290"/>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398</v>
      </c>
      <c r="B75" s="41" t="s">
        <v>88</v>
      </c>
      <c r="C75" s="252" t="s">
        <v>141</v>
      </c>
      <c r="D75" s="296"/>
      <c r="E75" s="41"/>
      <c r="F75" s="253">
        <f>+INDEX('Budget original'!$A$2:$AO$501,MATCH($A75,'Budget original'!$A$2:$A$501,0),MATCH(F$2,'Budget original'!$A$2:$AO$2,0))</f>
        <v>0</v>
      </c>
      <c r="G75" s="297"/>
      <c r="H75" s="41"/>
      <c r="I75" s="253"/>
      <c r="J75" s="252"/>
      <c r="K75" s="41"/>
      <c r="L75" s="255">
        <f>-SUMIFS(BV_Data_An_Cour!$AM:$AM,BV_Data_An_Cour!$AP:$AP,$B75,BV_Data_An_Cour!$AQ:$AQ,$C75,BV_Data_An_Cour!$AR:$AR,L$2)-L157</f>
        <v>0</v>
      </c>
      <c r="M75" s="252"/>
      <c r="N75" s="275">
        <f t="shared" si="20"/>
        <v>0</v>
      </c>
      <c r="O75" s="252"/>
      <c r="P75" s="41"/>
      <c r="Q75" s="255">
        <f>-SUMIFS(BV_Data_An_Prec!$AM:$AM,BV_Data_An_Prec!$AP:$AP,$B75,BV_Data_An_Prec!$AQ:$AQ,$C75,BV_Data_An_Prec!$AR:$AR,Q$2)-Q157</f>
        <v>0</v>
      </c>
      <c r="R75" s="252"/>
      <c r="S75" s="275">
        <f t="shared" ref="S75:S82" si="21">L75-Q75</f>
        <v>0</v>
      </c>
      <c r="T75" s="41"/>
      <c r="U75" s="138"/>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399</v>
      </c>
      <c r="B76" s="41" t="s">
        <v>88</v>
      </c>
      <c r="C76" s="252" t="s">
        <v>142</v>
      </c>
      <c r="D76" s="296"/>
      <c r="E76" s="41"/>
      <c r="F76" s="253">
        <f>+INDEX('Budget original'!$A$2:$AO$501,MATCH($A76,'Budget original'!$A$2:$A$501,0),MATCH(F$2,'Budget original'!$A$2:$AO$2,0))</f>
        <v>0</v>
      </c>
      <c r="G76" s="297"/>
      <c r="H76" s="41"/>
      <c r="I76" s="253"/>
      <c r="J76" s="252"/>
      <c r="K76" s="41"/>
      <c r="L76" s="255">
        <f>-SUMIFS(BV_Data_An_Cour!$AM:$AM,BV_Data_An_Cour!$AP:$AP,$B76,BV_Data_An_Cour!$AQ:$AQ,$C76,BV_Data_An_Cour!$AR:$AR,L$2)</f>
        <v>0</v>
      </c>
      <c r="M76" s="252"/>
      <c r="N76" s="275">
        <f t="shared" si="20"/>
        <v>0</v>
      </c>
      <c r="O76" s="252"/>
      <c r="P76" s="41"/>
      <c r="Q76" s="255">
        <f>-SUMIFS(BV_Data_An_Prec!$AM:$AM,BV_Data_An_Prec!$AP:$AP,$B76,BV_Data_An_Prec!$AQ:$AQ,$C76,BV_Data_An_Prec!$AR:$AR,Q$2)</f>
        <v>0</v>
      </c>
      <c r="R76" s="252"/>
      <c r="S76" s="275">
        <f t="shared" si="21"/>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400</v>
      </c>
      <c r="B77" s="41" t="s">
        <v>88</v>
      </c>
      <c r="C77" s="252" t="s">
        <v>143</v>
      </c>
      <c r="D77" s="296"/>
      <c r="E77" s="41"/>
      <c r="F77" s="253">
        <f>+INDEX('Budget original'!$A$2:$AO$501,MATCH($A77,'Budget original'!$A$2:$A$501,0),MATCH(F$2,'Budget original'!$A$2:$AO$2,0))</f>
        <v>0</v>
      </c>
      <c r="G77" s="297"/>
      <c r="H77" s="41"/>
      <c r="I77" s="253"/>
      <c r="J77" s="252"/>
      <c r="K77" s="41"/>
      <c r="L77" s="255">
        <f>-SUMIFS(BV_Data_An_Cour!$AM:$AM,BV_Data_An_Cour!$AP:$AP,$B77,BV_Data_An_Cour!$AQ:$AQ,$C77,BV_Data_An_Cour!$AR:$AR,L$2)</f>
        <v>0</v>
      </c>
      <c r="M77" s="252"/>
      <c r="N77" s="275">
        <f t="shared" si="20"/>
        <v>0</v>
      </c>
      <c r="O77" s="252"/>
      <c r="P77" s="41"/>
      <c r="Q77" s="255">
        <f>-SUMIFS(BV_Data_An_Prec!$AM:$AM,BV_Data_An_Prec!$AP:$AP,$B77,BV_Data_An_Prec!$AQ:$AQ,$C77,BV_Data_An_Prec!$AR:$AR,Q$2)</f>
        <v>0</v>
      </c>
      <c r="R77" s="252"/>
      <c r="S77" s="275">
        <f t="shared" si="21"/>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401</v>
      </c>
      <c r="B78" s="41" t="s">
        <v>88</v>
      </c>
      <c r="C78" s="252" t="s">
        <v>144</v>
      </c>
      <c r="D78" s="296"/>
      <c r="E78" s="831" t="e">
        <f>+F78/D27</f>
        <v>#DIV/0!</v>
      </c>
      <c r="F78" s="253">
        <f>+INDEX('Budget original'!$A$2:$AO$501,MATCH($A78,'Budget original'!$A$2:$A$501,0),MATCH(F$2,'Budget original'!$A$2:$AO$2,0))</f>
        <v>0</v>
      </c>
      <c r="G78" s="297"/>
      <c r="H78" s="41"/>
      <c r="I78" s="253"/>
      <c r="J78" s="860"/>
      <c r="K78" s="831">
        <f>+L78/J27</f>
        <v>1148.9292929292928</v>
      </c>
      <c r="L78" s="255">
        <f>-SUMIFS(BV_Data_An_Cour!$AM:$AM,BV_Data_An_Cour!$AP:$AP,$B78,BV_Data_An_Cour!$AQ:$AQ,$C78,BV_Data_An_Cour!$AR:$AR,L$2)</f>
        <v>113744</v>
      </c>
      <c r="M78" s="252"/>
      <c r="N78" s="275">
        <f t="shared" si="20"/>
        <v>113744</v>
      </c>
      <c r="O78" s="860"/>
      <c r="P78" s="831" t="e">
        <f>+Q78/O27</f>
        <v>#DIV/0!</v>
      </c>
      <c r="Q78" s="255">
        <f>-SUMIFS(BV_Data_An_Prec!$AM:$AM,BV_Data_An_Prec!$AP:$AP,$B78,BV_Data_An_Prec!$AQ:$AQ,$C78,BV_Data_An_Prec!$AR:$AR,Q$2)</f>
        <v>0</v>
      </c>
      <c r="R78" s="252"/>
      <c r="S78" s="275">
        <f t="shared" si="21"/>
        <v>113744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354</v>
      </c>
      <c r="B79" s="41" t="s">
        <v>88</v>
      </c>
      <c r="C79" s="252" t="s">
        <v>55</v>
      </c>
      <c r="D79" s="296"/>
      <c r="E79" s="41"/>
      <c r="F79" s="253">
        <f>+INDEX('Budget original'!$A$2:$AO$501,MATCH($A79,'Budget original'!$A$2:$A$501,0),MATCH(F$2,'Budget original'!$A$2:$AO$2,0))</f>
        <v>0</v>
      </c>
      <c r="G79" s="297"/>
      <c r="H79" s="41"/>
      <c r="I79" s="253"/>
      <c r="J79" s="252"/>
      <c r="K79" s="41"/>
      <c r="L79" s="255">
        <f>-SUMIFS(BV_Data_An_Cour!$AM:$AM,BV_Data_An_Cour!$AP:$AP,$B79,BV_Data_An_Cour!$AQ:$AQ,$C79,BV_Data_An_Cour!$AR:$AR,L$2)</f>
        <v>0</v>
      </c>
      <c r="M79" s="252"/>
      <c r="N79" s="275">
        <f t="shared" si="20"/>
        <v>0</v>
      </c>
      <c r="O79" s="252"/>
      <c r="P79" s="41"/>
      <c r="Q79" s="255">
        <f>-SUMIFS(BV_Data_An_Prec!$AM:$AM,BV_Data_An_Prec!$AP:$AP,$B79,BV_Data_An_Prec!$AQ:$AQ,$C79,BV_Data_An_Prec!$AR:$AR,Q$2)</f>
        <v>0</v>
      </c>
      <c r="R79" s="252"/>
      <c r="S79" s="275">
        <f t="shared" si="21"/>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354</v>
      </c>
      <c r="B80" s="41" t="s">
        <v>88</v>
      </c>
      <c r="C80" s="252" t="s">
        <v>55</v>
      </c>
      <c r="D80" s="296"/>
      <c r="E80" s="41"/>
      <c r="F80" s="253">
        <f>+INDEX('Budget original'!$A$2:$AO$501,MATCH($A80,'Budget original'!$A$2:$A$501,0),MATCH(F$2,'Budget original'!$A$2:$AO$2,0))</f>
        <v>0</v>
      </c>
      <c r="G80" s="297"/>
      <c r="H80" s="41"/>
      <c r="I80" s="253"/>
      <c r="J80" s="252"/>
      <c r="K80" s="41"/>
      <c r="L80" s="255">
        <f>-SUMIFS(BV_Data_An_Cour!$AM:$AM,BV_Data_An_Cour!$AP:$AP,$B80,BV_Data_An_Cour!$AQ:$AQ,$C80,BV_Data_An_Cour!$AR:$AR,L$2)</f>
        <v>0</v>
      </c>
      <c r="M80" s="252"/>
      <c r="N80" s="275">
        <f t="shared" si="20"/>
        <v>0</v>
      </c>
      <c r="O80" s="252"/>
      <c r="P80" s="41"/>
      <c r="Q80" s="255">
        <f>-SUMIFS(BV_Data_An_Prec!$AM:$AM,BV_Data_An_Prec!$AP:$AP,$B80,BV_Data_An_Prec!$AQ:$AQ,$C80,BV_Data_An_Prec!$AR:$AR,Q$2)</f>
        <v>0</v>
      </c>
      <c r="R80" s="252"/>
      <c r="S80" s="275">
        <f t="shared" si="21"/>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354</v>
      </c>
      <c r="B81" s="41" t="s">
        <v>88</v>
      </c>
      <c r="C81" s="252" t="s">
        <v>55</v>
      </c>
      <c r="D81" s="296"/>
      <c r="E81" s="41"/>
      <c r="F81" s="253">
        <f>+INDEX('Budget original'!$A$2:$AO$501,MATCH($A81,'Budget original'!$A$2:$A$501,0),MATCH(F$2,'Budget original'!$A$2:$AO$2,0))</f>
        <v>0</v>
      </c>
      <c r="G81" s="297"/>
      <c r="H81" s="41"/>
      <c r="I81" s="253"/>
      <c r="J81" s="252"/>
      <c r="K81" s="41"/>
      <c r="L81" s="255">
        <f>-SUMIFS(BV_Data_An_Cour!$AM:$AM,BV_Data_An_Cour!$AP:$AP,$B81,BV_Data_An_Cour!$AQ:$AQ,$C81,BV_Data_An_Cour!$AR:$AR,L$2)</f>
        <v>0</v>
      </c>
      <c r="M81" s="252"/>
      <c r="N81" s="275">
        <f t="shared" si="20"/>
        <v>0</v>
      </c>
      <c r="O81" s="252"/>
      <c r="P81" s="41"/>
      <c r="Q81" s="255">
        <f>-SUMIFS(BV_Data_An_Prec!$AM:$AM,BV_Data_An_Prec!$AP:$AP,$B81,BV_Data_An_Prec!$AQ:$AQ,$C81,BV_Data_An_Prec!$AR:$AR,Q$2)</f>
        <v>0</v>
      </c>
      <c r="R81" s="252"/>
      <c r="S81" s="275">
        <f t="shared" si="21"/>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402</v>
      </c>
      <c r="B82" s="319" t="s">
        <v>88</v>
      </c>
      <c r="C82" s="252" t="s">
        <v>145</v>
      </c>
      <c r="D82" s="872" t="e">
        <f>E82/499</f>
        <v>#DIV/0!</v>
      </c>
      <c r="E82" s="321" t="e">
        <f>+F82/D24</f>
        <v>#DIV/0!</v>
      </c>
      <c r="F82" s="253">
        <f>+INDEX('Budget original'!$A$2:$AO$501,MATCH($A82,'Budget original'!$A$2:$A$501,0),MATCH(F$2,'Budget original'!$A$2:$AO$2,0))</f>
        <v>0</v>
      </c>
      <c r="G82" s="297"/>
      <c r="H82" s="41"/>
      <c r="I82" s="253"/>
      <c r="J82" s="874">
        <f>K82/474</f>
        <v>0</v>
      </c>
      <c r="K82" s="321">
        <f>+L82/J24</f>
        <v>0</v>
      </c>
      <c r="L82" s="255">
        <f>-SUMIFS(BV_Data_An_Cour!$AM:$AM,BV_Data_An_Cour!$AP:$AP,$B82,BV_Data_An_Cour!$AQ:$AQ,$C82,BV_Data_An_Cour!$AR:$AR,L$2)</f>
        <v>0</v>
      </c>
      <c r="M82" s="252"/>
      <c r="N82" s="275">
        <f t="shared" si="20"/>
        <v>0</v>
      </c>
      <c r="O82" s="874" t="e">
        <f>P82/474</f>
        <v>#DIV/0!</v>
      </c>
      <c r="P82" s="321" t="e">
        <f>+Q82/O24</f>
        <v>#DIV/0!</v>
      </c>
      <c r="Q82" s="255">
        <f>-SUMIFS(BV_Data_An_Prec!$AM:$AM,BV_Data_An_Prec!$AP:$AP,$B82,BV_Data_An_Prec!$AQ:$AQ,$C82,BV_Data_An_Prec!$AR:$AR,Q$2)</f>
        <v>0</v>
      </c>
      <c r="R82" s="252"/>
      <c r="S82" s="275">
        <f t="shared" si="21"/>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403</v>
      </c>
      <c r="B83" s="41" t="s">
        <v>88</v>
      </c>
      <c r="C83" s="303" t="s">
        <v>146</v>
      </c>
      <c r="D83" s="304"/>
      <c r="E83" s="305"/>
      <c r="F83" s="306">
        <f>+SUM(F75:F82)</f>
        <v>0</v>
      </c>
      <c r="G83" s="307"/>
      <c r="H83" s="305"/>
      <c r="I83" s="306"/>
      <c r="J83" s="307"/>
      <c r="K83" s="305"/>
      <c r="L83" s="306">
        <f>+SUM(L75:L82)</f>
        <v>113744</v>
      </c>
      <c r="M83" s="309"/>
      <c r="N83" s="306">
        <f>+SUM(N75:N82)</f>
        <v>113744</v>
      </c>
      <c r="O83" s="307"/>
      <c r="P83" s="305"/>
      <c r="Q83" s="306">
        <f>+SUM(Q75:Q82)</f>
        <v>0</v>
      </c>
      <c r="R83" s="309"/>
      <c r="S83" s="306">
        <f>+SUM(S75:S82)</f>
        <v>113744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88</v>
      </c>
      <c r="B84" s="41" t="s">
        <v>88</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404</v>
      </c>
      <c r="B85" s="41" t="s">
        <v>88</v>
      </c>
      <c r="C85" s="330" t="s">
        <v>147</v>
      </c>
      <c r="D85" s="331"/>
      <c r="E85" s="332"/>
      <c r="F85" s="333">
        <f>F27-F74+F83</f>
        <v>0</v>
      </c>
      <c r="G85" s="334"/>
      <c r="H85" s="332"/>
      <c r="I85" s="333"/>
      <c r="J85" s="334"/>
      <c r="K85" s="331"/>
      <c r="L85" s="333">
        <f>L27-L74+L83</f>
        <v>170412.95999999985</v>
      </c>
      <c r="M85" s="334"/>
      <c r="N85" s="333">
        <f>N27-N41-N54-N72+N83</f>
        <v>170412.95999999985</v>
      </c>
      <c r="O85" s="334"/>
      <c r="P85" s="331"/>
      <c r="Q85" s="333">
        <f>Q27-Q74+Q83</f>
        <v>0</v>
      </c>
      <c r="R85" s="334"/>
      <c r="S85" s="333">
        <f>S27-S41-S54-S72+S83</f>
        <v>170412.95999999985</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5"/>
      <c r="K86" s="59"/>
      <c r="L86" s="876"/>
      <c r="M86" s="59"/>
      <c r="N86" s="59"/>
      <c r="O86" s="59"/>
      <c r="P86" s="59"/>
      <c r="Q86" s="336"/>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6"/>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7" t="str">
        <f>C1</f>
        <v>Hyundai</v>
      </c>
      <c r="D89" s="231"/>
      <c r="E89" s="231"/>
      <c r="F89" s="231"/>
      <c r="G89" s="231"/>
      <c r="H89" s="36"/>
      <c r="I89" s="36"/>
      <c r="J89" s="36"/>
      <c r="K89" s="9" t="s">
        <v>148</v>
      </c>
      <c r="L89" s="231"/>
      <c r="M89" s="231"/>
      <c r="N89" s="36"/>
      <c r="O89" s="36"/>
      <c r="P89" s="231"/>
      <c r="Q89" s="36"/>
      <c r="R89" s="231"/>
      <c r="S89" s="10" t="str">
        <f>$S$1</f>
        <v>Réalisé,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405</v>
      </c>
      <c r="B93" s="41" t="s">
        <v>148</v>
      </c>
      <c r="C93" s="245" t="s">
        <v>92</v>
      </c>
      <c r="D93" s="249"/>
      <c r="E93" s="249"/>
      <c r="F93" s="247">
        <f>+INDEX('Budget original'!$A$2:$AO$501,MATCH($A93,'Budget original'!$A$2:$A$501,0),MATCH(F$2,'Budget original'!$A$2:$AO$2,0))</f>
        <v>0</v>
      </c>
      <c r="G93" s="266"/>
      <c r="H93" s="249"/>
      <c r="I93" s="247"/>
      <c r="J93" s="245"/>
      <c r="K93" s="249"/>
      <c r="L93" s="247">
        <f>-SUMIFS(BV_Data_An_Cour!$AM:$AM,BV_Data_An_Cour!$AS:$AS,"Oui",BV_Data_An_Cour!$AP:$AP,$B93)</f>
        <v>1349618.8499999999</v>
      </c>
      <c r="M93" s="340"/>
      <c r="N93" s="341"/>
      <c r="O93" s="245"/>
      <c r="P93" s="249"/>
      <c r="Q93" s="247">
        <f>-SUMIFS(BV_Data_An_Prec!$AM:$AM,BV_Data_An_Prec!$AS:$AS,"Oui",BV_Data_An_Prec!$AP:$AP,$B93)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406</v>
      </c>
      <c r="B94" s="41" t="s">
        <v>148</v>
      </c>
      <c r="C94" s="252" t="s">
        <v>149</v>
      </c>
      <c r="D94" s="253">
        <f>+INDEX('Budget original'!$A$2:$AO$501,MATCH($A94,'Budget original'!$A$2:$A$501,0),MATCH(D$2,'Budget original'!$A$2:$AO$2,0))</f>
        <v>0</v>
      </c>
      <c r="E94" s="253">
        <f>IF(D94=0,0,F94/D94)</f>
        <v>0</v>
      </c>
      <c r="F94" s="253">
        <f>+INDEX('Budget original'!$A$2:$AO$501,MATCH($A94,'Budget original'!$A$2:$A$501,0),MATCH(F$2,'Budget original'!$A$2:$AO$2,0))</f>
        <v>0</v>
      </c>
      <c r="G94" s="254"/>
      <c r="H94" s="253"/>
      <c r="I94" s="253"/>
      <c r="J94" s="254">
        <f>SUMIFS(BV_Data_An_Cour!$AW:$AW,BV_Data_An_Cour!$AP:$AP,$B94,BV_Data_An_Cour!$AQ:$AQ,$C94,BV_Data_An_Cour!$AY:$AY,J$2)</f>
        <v>2</v>
      </c>
      <c r="K94" s="253">
        <f t="shared" ref="K94:K95" si="22">IF(J94=0,0,L94/J94)</f>
        <v>2209.6649999999936</v>
      </c>
      <c r="L94" s="255">
        <f>-SUMIFS(BV_Data_An_Cour!$AM:$AM,BV_Data_An_Cour!$AP:$AP,$B94,BV_Data_An_Cour!$AQ:$AQ,$C94,BV_Data_An_Cour!$AR:$AR,$L2)</f>
        <v>4419.3299999999872</v>
      </c>
      <c r="M94" s="254">
        <f>J94-D94</f>
        <v>2</v>
      </c>
      <c r="N94" s="255">
        <f>L94-F94</f>
        <v>4419.3299999999872</v>
      </c>
      <c r="O94" s="254">
        <f>SUMIFS(BV_Data_An_Prec!$AW:$AW,BV_Data_An_Prec!$AP:$AP,$B94,BV_Data_An_Prec!$AQ:$AQ,$C94,BV_Data_An_Prec!$AY:$AY,O$2)</f>
        <v>0</v>
      </c>
      <c r="P94" s="253">
        <f t="shared" ref="P94:P96" si="23">IF(O94=0,0,Q94/O94)</f>
        <v>0</v>
      </c>
      <c r="Q94" s="255">
        <f>-SUMIFS(BV_Data_An_Prec!$AM:$AM,BV_Data_An_Prec!$AP:$AP,$B94,BV_Data_An_Prec!$AQ:$AQ,$C94,BV_Data_An_Prec!$AR:$AR,$L2)</f>
        <v>0</v>
      </c>
      <c r="R94" s="254">
        <f t="shared" ref="R94:R95" si="24">J94-O94</f>
        <v>2</v>
      </c>
      <c r="S94" s="255">
        <f t="shared" ref="S94:S95" si="25">L94-Q94</f>
        <v>4419.3299999999872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407</v>
      </c>
      <c r="B95" s="41" t="s">
        <v>148</v>
      </c>
      <c r="C95" s="252" t="s">
        <v>150</v>
      </c>
      <c r="D95" s="253">
        <f>+INDEX('Budget original'!$A$2:$AO$501,MATCH($A95,'Budget original'!$A$2:$A$501,0),MATCH(D$2,'Budget original'!$A$2:$AO$2,0))</f>
        <v>0</v>
      </c>
      <c r="E95" s="864">
        <f t="shared" ref="E95:E106" si="26">IF(D95=0,0,F95/D95)</f>
        <v>0</v>
      </c>
      <c r="F95" s="253">
        <f>+INDEX('Budget original'!$A$2:$AO$501,MATCH($A95,'Budget original'!$A$2:$A$501,0),MATCH(F$2,'Budget original'!$A$2:$AO$2,0))</f>
        <v>0</v>
      </c>
      <c r="G95" s="254"/>
      <c r="H95" s="253"/>
      <c r="I95" s="253"/>
      <c r="J95" s="254">
        <f>SUMIFS(BV_Data_An_Cour!$AW:$AW,BV_Data_An_Cour!$AP:$AP,$B95,BV_Data_An_Cour!$AQ:$AQ,$C95,BV_Data_An_Cour!$AY:$AY,J$2)</f>
        <v>5</v>
      </c>
      <c r="K95" s="253">
        <f t="shared" si="22"/>
        <v>-218.7</v>
      </c>
      <c r="L95" s="255">
        <f>-SUMIFS(BV_Data_An_Cour!$AM:$AM,BV_Data_An_Cour!$AP:$AP,$B95,BV_Data_An_Cour!$AQ:$AQ,$C95,BV_Data_An_Cour!$AR:$AR,$L2)</f>
        <v>-1093.5</v>
      </c>
      <c r="M95" s="254">
        <f>J95-D95</f>
        <v>5</v>
      </c>
      <c r="N95" s="255">
        <f>L95-F95</f>
        <v>-1093.5</v>
      </c>
      <c r="O95" s="254">
        <f>SUMIFS(BV_Data_An_Prec!$AW:$AW,BV_Data_An_Prec!$AP:$AP,$B95,BV_Data_An_Prec!$AQ:$AQ,$C95,BV_Data_An_Prec!$AY:$AY,O$2)</f>
        <v>0</v>
      </c>
      <c r="P95" s="253">
        <f t="shared" si="23"/>
        <v>0</v>
      </c>
      <c r="Q95" s="255">
        <f>-SUMIFS(BV_Data_An_Prec!$AM:$AM,BV_Data_An_Prec!$AP:$AP,$B95,BV_Data_An_Prec!$AQ:$AQ,$C95,BV_Data_An_Prec!$AR:$AR,$L2)</f>
        <v>0</v>
      </c>
      <c r="R95" s="254">
        <f t="shared" si="24"/>
        <v>5</v>
      </c>
      <c r="S95" s="255">
        <f t="shared" si="25"/>
        <v>-1093.5</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148</v>
      </c>
      <c r="C96" s="801" t="s">
        <v>1094</v>
      </c>
      <c r="D96" s="253">
        <f>+INDEX('Budget original'!$A$2:$AO$501,MATCH($A96,'Budget original'!$A$2:$A$501,0),MATCH(D$2,'Budget original'!$A$2:$AO$2,0))</f>
        <v>0</v>
      </c>
      <c r="E96" s="866">
        <f t="shared" si="26"/>
        <v>0</v>
      </c>
      <c r="F96" s="253">
        <f>+INDEX('Budget original'!$A$2:$AO$501,MATCH($A96,'Budget original'!$A$2:$A$501,0),MATCH(F$2,'Budget original'!$A$2:$AO$2,0))</f>
        <v>0</v>
      </c>
      <c r="G96" s="865"/>
      <c r="H96" s="253"/>
      <c r="I96" s="253"/>
      <c r="J96" s="254">
        <f>SUMIFS(BV_Data_An_Cour!$AW:$AW,BV_Data_An_Cour!$AP:$AP,$B96,BV_Data_An_Cour!$AQ:$AQ,$C96,BV_Data_An_Cour!$AY:$AY,J$2)</f>
        <v>0</v>
      </c>
      <c r="K96" s="866">
        <f t="shared" ref="K96" si="27">IF(J96=0,0,L96/J96)</f>
        <v>0</v>
      </c>
      <c r="L96" s="769">
        <f>-SUMIFS(BV_Data_An_Cour!$AM:$AM,BV_Data_An_Cour!$AP:$AP,$B96,BV_Data_An_Cour!$AQ:$AQ,$C96,BV_Data_An_Cour!$AR:$AR,$L2)</f>
        <v>-1</v>
      </c>
      <c r="M96" s="865">
        <f>J96-D96</f>
        <v>0</v>
      </c>
      <c r="N96" s="769">
        <f>L96-F96</f>
        <v>-1</v>
      </c>
      <c r="O96" s="254">
        <f>SUMIFS(BV_Data_An_Prec!$AW:$AW,BV_Data_An_Prec!$AP:$AP,$B96,BV_Data_An_Prec!$AQ:$AQ,$C96,BV_Data_An_Prec!$AY:$AY,O$2)</f>
        <v>0</v>
      </c>
      <c r="P96" s="866">
        <f t="shared" si="23"/>
        <v>0</v>
      </c>
      <c r="Q96" s="769">
        <f>-SUMIFS(BV_Data_An_Prec!$AM:$AM,BV_Data_An_Prec!$AP:$AP,$B96,BV_Data_An_Prec!$AQ:$AQ,$C96,BV_Data_An_Prec!$AR:$AR,$L2)</f>
        <v>0</v>
      </c>
      <c r="R96" s="865">
        <f>J96-O96</f>
        <v>0</v>
      </c>
      <c r="S96" s="769">
        <f>L96-Q96</f>
        <v>-1</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100" si="28">B97&amp;C97</f>
        <v>Véhicules usagésTotal Usagés</v>
      </c>
      <c r="B97" s="41" t="s">
        <v>148</v>
      </c>
      <c r="C97" s="258" t="s">
        <v>151</v>
      </c>
      <c r="D97" s="259">
        <f>+D95+D94+D96</f>
        <v>0</v>
      </c>
      <c r="E97" s="253">
        <f t="shared" si="26"/>
        <v>0</v>
      </c>
      <c r="F97" s="260">
        <f>+F94+F95+F96</f>
        <v>0</v>
      </c>
      <c r="G97" s="261"/>
      <c r="H97" s="259"/>
      <c r="I97" s="260"/>
      <c r="J97" s="261">
        <f>+J94+J95+J96</f>
        <v>7</v>
      </c>
      <c r="K97" s="253">
        <f>IF(J97&lt;=0,0,L97/J97)</f>
        <v>474.97571428571246</v>
      </c>
      <c r="L97" s="260">
        <f>+L94+L95+L96</f>
        <v>3324.8299999999872</v>
      </c>
      <c r="M97" s="261">
        <f>J97-D97</f>
        <v>7</v>
      </c>
      <c r="N97" s="260">
        <f>L97-F97</f>
        <v>3324.8299999999872</v>
      </c>
      <c r="O97" s="259">
        <f>+O94+O95+O96</f>
        <v>0</v>
      </c>
      <c r="P97" s="253">
        <f>IF(O97&lt;=0,0,Q97/O97)</f>
        <v>0</v>
      </c>
      <c r="Q97" s="260">
        <f>+Q94+Q95+Q96</f>
        <v>0</v>
      </c>
      <c r="R97" s="261">
        <f>R94+R95</f>
        <v>7</v>
      </c>
      <c r="S97" s="260">
        <f>S94+S95</f>
        <v>3325.8299999999872</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8"/>
        <v>Véhicules usagés</v>
      </c>
      <c r="B98" s="41" t="s">
        <v>148</v>
      </c>
      <c r="C98" s="252"/>
      <c r="D98" s="41"/>
      <c r="E98" s="253">
        <f t="shared" si="26"/>
        <v>0</v>
      </c>
      <c r="F98" s="262"/>
      <c r="G98" s="252"/>
      <c r="H98" s="41"/>
      <c r="I98" s="262"/>
      <c r="J98" s="252"/>
      <c r="K98" s="41"/>
      <c r="L98" s="262"/>
      <c r="M98" s="343"/>
      <c r="N98" s="344"/>
      <c r="O98" s="252"/>
      <c r="P98" s="41"/>
      <c r="Q98" s="262"/>
      <c r="R98" s="343"/>
      <c r="S98" s="34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ref="A99" si="29">B99&amp;C99</f>
        <v>Véhicules usagésRachat bail</v>
      </c>
      <c r="B99" s="41" t="s">
        <v>148</v>
      </c>
      <c r="C99" s="1035" t="s">
        <v>100</v>
      </c>
      <c r="D99" s="253"/>
      <c r="E99" s="253"/>
      <c r="F99" s="253"/>
      <c r="G99" s="254"/>
      <c r="H99" s="253"/>
      <c r="I99" s="253"/>
      <c r="J99" s="254">
        <f>SUMIFS(BV_Data_An_Cour!$AW:$AW,BV_Data_An_Cour!$AP:$AP,$B99,BV_Data_An_Cour!$AQ:$AQ,$C99,BV_Data_An_Cour!$AY:$AY,J$2)</f>
        <v>5</v>
      </c>
      <c r="K99" s="253">
        <f>IF(J99=0,0,L99/J99)</f>
        <v>98.74799999998649</v>
      </c>
      <c r="L99" s="255">
        <f>-SUMIFS(BV_Data_An_Cour!$AM:$AM,BV_Data_An_Cour!$AP:$AP,$B99,BV_Data_An_Cour!$AQ:$AQ,$C99,BV_Data_An_Cour!$AR:$AR,L$2)</f>
        <v>493.73999999993248</v>
      </c>
      <c r="M99" s="254">
        <f>J99-D99</f>
        <v>5</v>
      </c>
      <c r="N99" s="255">
        <f>L99-F99</f>
        <v>493.73999999993248</v>
      </c>
      <c r="O99" s="254">
        <f>SUMIFS(BV_Data_An_Prec!$AW:$AW,BV_Data_An_Prec!$AP:$AP,$B99,BV_Data_An_Prec!$AQ:$AQ,$C99,BV_Data_An_Prec!$AY:$AY,O$2)</f>
        <v>0</v>
      </c>
      <c r="P99" s="253">
        <f>IF(O99=0,0,Q99/O99)</f>
        <v>0</v>
      </c>
      <c r="Q99" s="255">
        <f>-SUMIFS(BV_Data_An_Prec!$AM:$AM,BV_Data_An_Prec!$AP:$AP,$B99,BV_Data_An_Prec!$AQ:$AQ,$C99,BV_Data_An_Prec!$AR:$AR,Q$2)</f>
        <v>0</v>
      </c>
      <c r="R99" s="254">
        <f>J99-O99</f>
        <v>5</v>
      </c>
      <c r="S99" s="255">
        <f>L99-Q99</f>
        <v>493.73999999993248</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
      </c>
      <c r="B100" s="41" t="s">
        <v>148</v>
      </c>
      <c r="C100" s="252"/>
      <c r="D100" s="253"/>
      <c r="E100" s="253"/>
      <c r="F100" s="253"/>
      <c r="G100" s="254"/>
      <c r="H100" s="253"/>
      <c r="I100" s="253"/>
      <c r="J100" s="254"/>
      <c r="K100" s="253"/>
      <c r="L100" s="255"/>
      <c r="M100" s="254"/>
      <c r="N100" s="255"/>
      <c r="O100" s="254"/>
      <c r="P100" s="253"/>
      <c r="Q100" s="255"/>
      <c r="R100" s="254"/>
      <c r="S100" s="255"/>
      <c r="T100" s="41"/>
      <c r="U100" s="41"/>
      <c r="V100" s="41"/>
      <c r="W100" s="253"/>
      <c r="X100" s="253"/>
      <c r="Y100" s="41"/>
      <c r="Z100" s="41"/>
      <c r="AA100" s="41"/>
      <c r="AB100" s="41"/>
      <c r="AC100" s="41"/>
      <c r="AD100" s="41"/>
      <c r="AE100" s="41"/>
      <c r="AF100" s="41"/>
      <c r="AG100" s="41"/>
      <c r="AH100" s="41"/>
      <c r="AI100" s="41"/>
      <c r="AJ100" s="41"/>
      <c r="AK100" s="41"/>
      <c r="AL100" s="41"/>
      <c r="AM100" s="41"/>
      <c r="AN100" s="41"/>
    </row>
    <row r="101" spans="1:40" ht="15.75" customHeight="1">
      <c r="A101" s="5" t="s">
        <v>408</v>
      </c>
      <c r="B101" s="41" t="s">
        <v>148</v>
      </c>
      <c r="C101" s="252" t="s">
        <v>152</v>
      </c>
      <c r="D101" s="253">
        <f>+INDEX('Budget original'!$A$2:$AO$501,MATCH($A101,'Budget original'!$A$2:$A$501,0),MATCH(D$2,'Budget original'!$A$2:$AO$2,0))</f>
        <v>0</v>
      </c>
      <c r="E101" s="253">
        <f t="shared" si="26"/>
        <v>0</v>
      </c>
      <c r="F101" s="253">
        <f>+INDEX('Budget original'!$A$2:$AO$501,MATCH($A101,'Budget original'!$A$2:$A$501,0),MATCH(F$2,'Budget original'!$A$2:$AO$2,0))</f>
        <v>0</v>
      </c>
      <c r="G101" s="254"/>
      <c r="H101" s="253"/>
      <c r="I101" s="253"/>
      <c r="J101" s="254">
        <f>SUMIFS(BV_Data_An_Cour!$AW:$AW,BV_Data_An_Cour!$AP:$AP,$B101,BV_Data_An_Cour!$AQ:$AQ,$C101,BV_Data_An_Cour!$AY:$AY,J$2)</f>
        <v>59</v>
      </c>
      <c r="K101" s="253">
        <f>IF(J101=0,0,L101/J101)</f>
        <v>3642.7813559322049</v>
      </c>
      <c r="L101" s="255">
        <f>-SUMIFS(BV_Data_An_Cour!$AM:$AM,BV_Data_An_Cour!$AP:$AP,$B101,BV_Data_An_Cour!$AQ:$AQ,$C101,BV_Data_An_Cour!$AR:$AR,L$2)</f>
        <v>214924.10000000009</v>
      </c>
      <c r="M101" s="254">
        <f>J101-D101</f>
        <v>59</v>
      </c>
      <c r="N101" s="255">
        <f>L101-F101</f>
        <v>214924.10000000009</v>
      </c>
      <c r="O101" s="254">
        <f>SUMIFS(BV_Data_An_Prec!$AW:$AW,BV_Data_An_Prec!$AP:$AP,$B101,BV_Data_An_Prec!$AQ:$AQ,$C101,BV_Data_An_Prec!$AY:$AY,O$2)</f>
        <v>0</v>
      </c>
      <c r="P101" s="253">
        <f>IF(O101=0,0,Q101/O101)</f>
        <v>0</v>
      </c>
      <c r="Q101" s="255">
        <f>-SUMIFS(BV_Data_An_Prec!$AM:$AM,BV_Data_An_Prec!$AP:$AP,$B101,BV_Data_An_Prec!$AQ:$AQ,$C101,BV_Data_An_Prec!$AR:$AR,Q$2)</f>
        <v>0</v>
      </c>
      <c r="R101" s="254">
        <f>J101-O101</f>
        <v>59</v>
      </c>
      <c r="S101" s="255">
        <f>L101-Q101</f>
        <v>214924.10000000009</v>
      </c>
      <c r="T101" s="41"/>
      <c r="U101" s="253"/>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
        <v>148</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253"/>
      <c r="X102" s="41"/>
      <c r="Y102" s="41"/>
      <c r="Z102" s="41"/>
      <c r="AA102" s="41"/>
      <c r="AB102" s="41"/>
      <c r="AC102" s="41"/>
      <c r="AD102" s="41"/>
      <c r="AE102" s="41"/>
      <c r="AF102" s="345"/>
      <c r="AG102" s="41"/>
      <c r="AH102" s="41"/>
      <c r="AI102" s="41"/>
      <c r="AJ102" s="41"/>
      <c r="AK102" s="41"/>
      <c r="AL102" s="41"/>
      <c r="AM102" s="41"/>
      <c r="AN102" s="41"/>
    </row>
    <row r="103" spans="1:40" ht="15.75" customHeight="1">
      <c r="A103" s="5" t="s">
        <v>409</v>
      </c>
      <c r="B103" s="41" t="s">
        <v>148</v>
      </c>
      <c r="C103" s="252" t="s">
        <v>101</v>
      </c>
      <c r="D103" s="253">
        <f>+INDEX('Budget original'!$A$2:$AO$501,MATCH($A103,'Budget original'!$A$2:$A$501,0),MATCH(D$2,'Budget original'!$A$2:$AO$2,0))</f>
        <v>0</v>
      </c>
      <c r="E103" s="253">
        <f t="shared" si="26"/>
        <v>0</v>
      </c>
      <c r="F103" s="255">
        <f>+INDEX('Budget original'!$A$2:$AO$501,MATCH($A103,'Budget original'!$A$2:$A$501,0),MATCH(F$2,'Budget original'!$A$2:$AO$2,0))</f>
        <v>0</v>
      </c>
      <c r="G103" s="254"/>
      <c r="H103" s="253"/>
      <c r="I103" s="253"/>
      <c r="J103" s="254"/>
      <c r="K103" s="253">
        <f>IF(J97=0,0,L103/J97)</f>
        <v>142.48142857142844</v>
      </c>
      <c r="L103" s="255">
        <f>-SUMIFS(BV_Data_An_Cour!$AM:$AM,BV_Data_An_Cour!$AP:$AP,$B103,BV_Data_An_Cour!$AQ:$AQ,$C103,BV_Data_An_Cour!$AR:$AR,$L2)</f>
        <v>997.36999999999898</v>
      </c>
      <c r="M103" s="254"/>
      <c r="N103" s="255">
        <f>L103-F103</f>
        <v>997.36999999999898</v>
      </c>
      <c r="O103" s="254"/>
      <c r="P103" s="253">
        <f>IF(O97=0,0,Q103/O97)</f>
        <v>0</v>
      </c>
      <c r="Q103" s="255">
        <f>-SUMIFS(BV_Data_An_Prec!$AM:$AM,BV_Data_An_Prec!$AP:$AP,$B103,BV_Data_An_Prec!$AQ:$AQ,$C103,BV_Data_An_Prec!$AR:$AR,$L2)</f>
        <v>0</v>
      </c>
      <c r="R103" s="254">
        <f t="shared" ref="R103:R105" si="30">O103-K103</f>
        <v>-142.48142857142844</v>
      </c>
      <c r="S103" s="255">
        <f t="shared" ref="S103:S106" si="31">L103-Q103</f>
        <v>997.36999999999898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410</v>
      </c>
      <c r="B104" s="41" t="s">
        <v>148</v>
      </c>
      <c r="C104" s="252" t="s">
        <v>102</v>
      </c>
      <c r="D104" s="253">
        <f>+INDEX('Budget original'!$A$2:$AO$501,MATCH($A104,'Budget original'!$A$2:$A$501,0),MATCH(D$2,'Budget original'!$A$2:$AO$2,0))</f>
        <v>0</v>
      </c>
      <c r="E104" s="253">
        <f t="shared" si="26"/>
        <v>0</v>
      </c>
      <c r="F104" s="255">
        <f>+INDEX('Budget original'!$A$2:$AO$501,MATCH($A104,'Budget original'!$A$2:$A$501,0),MATCH(F$2,'Budget original'!$A$2:$AO$2,0))</f>
        <v>0</v>
      </c>
      <c r="G104" s="254"/>
      <c r="H104" s="253"/>
      <c r="I104" s="253"/>
      <c r="J104" s="254"/>
      <c r="K104" s="253">
        <f>IF(J97=0,0,L104/J97)</f>
        <v>899.85714285714289</v>
      </c>
      <c r="L104" s="255">
        <f>-SUMIFS(BV_Data_An_Cour!$AM:$AM,BV_Data_An_Cour!$AP:$AP,$B104,BV_Data_An_Cour!$AQ:$AQ,$C104,BV_Data_An_Cour!$AR:$AR,$L2)</f>
        <v>6299</v>
      </c>
      <c r="M104" s="254"/>
      <c r="N104" s="255">
        <f>L104-F104</f>
        <v>6299</v>
      </c>
      <c r="O104" s="254"/>
      <c r="P104" s="253">
        <f>IF(O97=0,0,Q104/O97)</f>
        <v>0</v>
      </c>
      <c r="Q104" s="255">
        <f>-SUMIFS(BV_Data_An_Prec!$AM:$AM,BV_Data_An_Prec!$AP:$AP,$B104,BV_Data_An_Prec!$AQ:$AQ,$C104,BV_Data_An_Prec!$AR:$AR,$L2)</f>
        <v>0</v>
      </c>
      <c r="R104" s="254">
        <f t="shared" si="30"/>
        <v>-899.85714285714289</v>
      </c>
      <c r="S104" s="255">
        <f t="shared" si="31"/>
        <v>6299</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411</v>
      </c>
      <c r="B105" s="41" t="s">
        <v>148</v>
      </c>
      <c r="C105" s="252" t="s">
        <v>103</v>
      </c>
      <c r="D105" s="253">
        <f>+INDEX('Budget original'!$A$2:$AO$501,MATCH($A105,'Budget original'!$A$2:$A$501,0),MATCH(D$2,'Budget original'!$A$2:$AO$2,0))</f>
        <v>0</v>
      </c>
      <c r="E105" s="249">
        <f t="shared" si="26"/>
        <v>0</v>
      </c>
      <c r="F105" s="255">
        <f>+INDEX('Budget original'!$A$2:$AO$501,MATCH($A105,'Budget original'!$A$2:$A$501,0),MATCH(F$2,'Budget original'!$A$2:$AO$2,0))</f>
        <v>0</v>
      </c>
      <c r="G105" s="254"/>
      <c r="H105" s="249"/>
      <c r="I105" s="253"/>
      <c r="J105" s="254"/>
      <c r="K105" s="249">
        <f>IF(J97=0,0,L105/J97)</f>
        <v>0</v>
      </c>
      <c r="L105" s="255">
        <f>-SUMIFS(BV_Data_An_Cour!$AM:$AM,BV_Data_An_Cour!$AP:$AP,$B105,BV_Data_An_Cour!$AQ:$AQ,$C105,BV_Data_An_Cour!$AR:$AR,$L$2)</f>
        <v>0</v>
      </c>
      <c r="M105" s="266"/>
      <c r="N105" s="255">
        <f>L105-F105</f>
        <v>0</v>
      </c>
      <c r="O105" s="254"/>
      <c r="P105" s="249">
        <f>IF(O97=0,0,Q105/O97)</f>
        <v>0</v>
      </c>
      <c r="Q105" s="255">
        <f>-SUMIFS(BV_Data_An_Prec!$AM:$AM,BV_Data_An_Prec!$AP:$AP,$B105,BV_Data_An_Prec!$AQ:$AQ,$C105,BV_Data_An_Prec!$AR:$AR,$L$2)</f>
        <v>0</v>
      </c>
      <c r="R105" s="254">
        <f t="shared" si="30"/>
        <v>0</v>
      </c>
      <c r="S105" s="255">
        <f t="shared" si="31"/>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412</v>
      </c>
      <c r="B106" s="41" t="s">
        <v>148</v>
      </c>
      <c r="C106" s="258" t="s">
        <v>104</v>
      </c>
      <c r="D106" s="259">
        <f>D97</f>
        <v>0</v>
      </c>
      <c r="E106" s="253">
        <f t="shared" si="26"/>
        <v>0</v>
      </c>
      <c r="F106" s="260">
        <f>F103+F104+F105</f>
        <v>0</v>
      </c>
      <c r="G106" s="261"/>
      <c r="H106" s="259"/>
      <c r="I106" s="260"/>
      <c r="J106" s="261">
        <f>J97</f>
        <v>7</v>
      </c>
      <c r="K106" s="259">
        <f>IF(J106&lt;=0,0,L106/J106)</f>
        <v>1042.3385714285712</v>
      </c>
      <c r="L106" s="260">
        <f>L103+L104+L105</f>
        <v>7296.369999999999</v>
      </c>
      <c r="M106" s="254">
        <f>J106-D106</f>
        <v>7</v>
      </c>
      <c r="N106" s="260">
        <f>L106-F106</f>
        <v>7296.369999999999</v>
      </c>
      <c r="O106" s="261">
        <f>O97</f>
        <v>0</v>
      </c>
      <c r="P106" s="259">
        <f>IF(O106&lt;=0,0,Q106/O106)</f>
        <v>0</v>
      </c>
      <c r="Q106" s="260">
        <f>Q103+Q104+Q105</f>
        <v>0</v>
      </c>
      <c r="R106" s="272"/>
      <c r="S106" s="260">
        <f t="shared" si="31"/>
        <v>7296.369999999999</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148</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
        <v>148</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23.25" customHeight="1">
      <c r="A109" s="5" t="s">
        <v>413</v>
      </c>
      <c r="B109" s="41" t="s">
        <v>148</v>
      </c>
      <c r="C109" s="277" t="s">
        <v>153</v>
      </c>
      <c r="D109" s="278">
        <f>D97+D101</f>
        <v>0</v>
      </c>
      <c r="E109" s="279">
        <f>IF(D109&lt;=0,0,F109/D109)</f>
        <v>0</v>
      </c>
      <c r="F109" s="280">
        <f>F97+F106+F101</f>
        <v>0</v>
      </c>
      <c r="G109" s="281"/>
      <c r="H109" s="348"/>
      <c r="I109" s="280"/>
      <c r="J109" s="281">
        <f>J97+J101</f>
        <v>66</v>
      </c>
      <c r="K109" s="279">
        <f>IF(J109&lt;=0,0,L109/J109)</f>
        <v>3424.8339393939395</v>
      </c>
      <c r="L109" s="280">
        <f>L97+L106+L101+L99</f>
        <v>226039.04000000001</v>
      </c>
      <c r="M109" s="281">
        <f>J109-D109</f>
        <v>66</v>
      </c>
      <c r="N109" s="280">
        <f>L109-F109</f>
        <v>226039.04000000001</v>
      </c>
      <c r="O109" s="281">
        <f>O97+O101</f>
        <v>0</v>
      </c>
      <c r="P109" s="279">
        <f>IF(O109&lt;=0,0,Q109/O109)</f>
        <v>0</v>
      </c>
      <c r="Q109" s="280">
        <f>Q97+Q106+Q101+Q99</f>
        <v>0</v>
      </c>
      <c r="R109" s="281">
        <f>J109-O109</f>
        <v>66</v>
      </c>
      <c r="S109" s="280">
        <f>L109-Q109</f>
        <v>226039.04000000001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c r="A110" s="5" t="s">
        <v>148</v>
      </c>
      <c r="B110" s="41" t="s">
        <v>148</v>
      </c>
      <c r="C110" s="282"/>
      <c r="D110" s="283"/>
      <c r="E110" s="283"/>
      <c r="F110" s="284"/>
      <c r="G110" s="282"/>
      <c r="H110" s="283"/>
      <c r="I110" s="284"/>
      <c r="J110" s="282"/>
      <c r="K110" s="283"/>
      <c r="L110" s="767"/>
      <c r="M110" s="285"/>
      <c r="N110" s="286"/>
      <c r="O110" s="282"/>
      <c r="P110" s="283"/>
      <c r="Q110" s="767"/>
      <c r="R110" s="349">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148</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414</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415</v>
      </c>
      <c r="B113" s="41" t="s">
        <v>148</v>
      </c>
      <c r="C113" s="252" t="s">
        <v>107</v>
      </c>
      <c r="D113" s="889" t="e">
        <f>F113/F97</f>
        <v>#DIV/0!</v>
      </c>
      <c r="E113" s="290" t="e">
        <f t="shared" ref="E113:E122" si="32">F113/D$97</f>
        <v>#DIV/0!</v>
      </c>
      <c r="F113" s="253">
        <f>+INDEX('Budget original'!$A$2:$AO$501,MATCH($A113,'Budget original'!$A$2:$A$501,0),MATCH(F$2,'Budget original'!$A$2:$AO$2,0))</f>
        <v>0</v>
      </c>
      <c r="G113" s="291"/>
      <c r="H113" s="290"/>
      <c r="I113" s="253"/>
      <c r="J113" s="291">
        <f>L113/L97</f>
        <v>4.7141658370503343</v>
      </c>
      <c r="K113" s="290">
        <f>IF($J$97=0,0,L113/(J$94+J$95+J96))</f>
        <v>2239.1142857142863</v>
      </c>
      <c r="L113" s="255">
        <f>SUMIFS(BV_Data_An_Cour!$AM:$AM,BV_Data_An_Cour!$AP:$AP,$B113,BV_Data_An_Cour!$AQ:$AQ,$C113,BV_Data_An_Cour!$AR:$AR,$L$2)</f>
        <v>15673.800000000003</v>
      </c>
      <c r="M113" s="252"/>
      <c r="N113" s="275">
        <f t="shared" ref="N113:N154" si="33">L113-F113</f>
        <v>15673.800000000003</v>
      </c>
      <c r="O113" s="291" t="e">
        <f>Q113/Q97</f>
        <v>#DIV/0!</v>
      </c>
      <c r="P113" s="290" t="e">
        <f>IF($J$97=0,0,Q113/(O$94+O$95+O96))</f>
        <v>#DIV/0!</v>
      </c>
      <c r="Q113" s="255">
        <f>SUMIFS(BV_Data_An_Prec!$AM:$AM,BV_Data_An_Prec!$AP:$AP,$B113,BV_Data_An_Prec!$AQ:$AQ,$C113,BV_Data_An_Prec!$AR:$AR,$L$2)</f>
        <v>0</v>
      </c>
      <c r="R113" s="252"/>
      <c r="S113" s="275">
        <f t="shared" ref="S113:S154" si="34">L113-Q113</f>
        <v>15673.800000000003</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416</v>
      </c>
      <c r="B114" s="41" t="s">
        <v>148</v>
      </c>
      <c r="C114" s="245" t="s">
        <v>108</v>
      </c>
      <c r="D114" s="886" t="e">
        <f>F114/(F106)</f>
        <v>#DIV/0!</v>
      </c>
      <c r="E114" s="293" t="e">
        <f t="shared" si="32"/>
        <v>#DIV/0!</v>
      </c>
      <c r="F114" s="247">
        <f>+INDEX('Budget original'!$A$2:$AO$501,MATCH($A114,'Budget original'!$A$2:$A$501,0),MATCH(F$2,'Budget original'!$A$2:$AO$2,0))</f>
        <v>0</v>
      </c>
      <c r="G114" s="294"/>
      <c r="H114" s="293"/>
      <c r="I114" s="247"/>
      <c r="J114" s="294">
        <f>L114/(L106)</f>
        <v>0.22610969564317587</v>
      </c>
      <c r="K114" s="293">
        <f>IF($J$97=0,0,L114/(J$94+J$95+J96))</f>
        <v>235.68285714285699</v>
      </c>
      <c r="L114" s="255">
        <f>SUMIFS(BV_Data_An_Cour!$AM:$AM,BV_Data_An_Cour!$AP:$AP,$B114,BV_Data_An_Cour!$AQ:$AQ,$C114,BV_Data_An_Cour!$AR:$AR,$L$2)</f>
        <v>1649.7799999999988</v>
      </c>
      <c r="M114" s="245"/>
      <c r="N114" s="295">
        <f t="shared" si="33"/>
        <v>1649.7799999999988</v>
      </c>
      <c r="O114" s="294" t="e">
        <f>Q114/(Q106)</f>
        <v>#DIV/0!</v>
      </c>
      <c r="P114" s="293" t="e">
        <f>IF($J$97=0,0,Q114/(O$94+O$95+O96))</f>
        <v>#DIV/0!</v>
      </c>
      <c r="Q114" s="255">
        <f>SUMIFS(BV_Data_An_Prec!$AM:$AM,BV_Data_An_Prec!$AP:$AP,$B114,BV_Data_An_Prec!$AQ:$AQ,$C114,BV_Data_An_Prec!$AR:$AR,$L$2)</f>
        <v>0</v>
      </c>
      <c r="R114" s="245"/>
      <c r="S114" s="295">
        <f t="shared" si="34"/>
        <v>1649.7799999999988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
        <v>417</v>
      </c>
      <c r="B115" s="41" t="s">
        <v>148</v>
      </c>
      <c r="C115" s="252" t="s">
        <v>109</v>
      </c>
      <c r="D115" s="296"/>
      <c r="E115" s="290" t="e">
        <f t="shared" si="32"/>
        <v>#DIV/0!</v>
      </c>
      <c r="F115" s="253">
        <f>+INDEX('Budget original'!$A$2:$AO$501,MATCH($A115,'Budget original'!$A$2:$A$501,0),MATCH(F$2,'Budget original'!$A$2:$AO$2,0))</f>
        <v>0</v>
      </c>
      <c r="G115" s="297"/>
      <c r="H115" s="290"/>
      <c r="I115" s="253"/>
      <c r="J115" s="252"/>
      <c r="K115" s="290">
        <f>IF($J$97=0,0,L115/(J$94+J$95+J96))</f>
        <v>0</v>
      </c>
      <c r="L115" s="271">
        <f>SUMIFS(BV_Data_An_Cour!$AM:$AM,BV_Data_An_Cour!$AP:$AP,$B115,BV_Data_An_Cour!$AQ:$AQ,$C115,BV_Data_An_Cour!$AR:$AR,$L$2)</f>
        <v>0</v>
      </c>
      <c r="M115" s="252"/>
      <c r="N115" s="275">
        <f t="shared" si="33"/>
        <v>0</v>
      </c>
      <c r="O115" s="252"/>
      <c r="P115" s="290" t="e">
        <f>IF($J$97=0,0,Q115/(O$94+O$95+O96))</f>
        <v>#DIV/0!</v>
      </c>
      <c r="Q115" s="271">
        <f>SUMIFS(BV_Data_An_Prec!$AM:$AM,BV_Data_An_Prec!$AP:$AP,$B115,BV_Data_An_Prec!$AQ:$AQ,$C115,BV_Data_An_Prec!$AR:$AR,$L$2)</f>
        <v>0</v>
      </c>
      <c r="R115" s="252"/>
      <c r="S115" s="275">
        <f t="shared" si="34"/>
        <v>0</v>
      </c>
      <c r="T115" s="41"/>
      <c r="U115" s="41"/>
      <c r="V115" s="41"/>
      <c r="W115" s="253"/>
      <c r="X115" s="41"/>
      <c r="Y115" s="41"/>
      <c r="Z115" s="41"/>
      <c r="AA115" s="41"/>
      <c r="AB115" s="41"/>
      <c r="AC115" s="41"/>
      <c r="AD115" s="41"/>
      <c r="AE115" s="41"/>
      <c r="AF115" s="41"/>
      <c r="AG115" s="41"/>
      <c r="AH115" s="41"/>
      <c r="AI115" s="41"/>
      <c r="AJ115" s="41"/>
      <c r="AK115" s="41"/>
      <c r="AL115" s="41"/>
      <c r="AM115" s="41"/>
      <c r="AN115" s="41"/>
    </row>
    <row r="116" spans="1:40" ht="15.75" customHeight="1">
      <c r="A116" s="5" t="s">
        <v>418</v>
      </c>
      <c r="B116" s="41" t="s">
        <v>148</v>
      </c>
      <c r="C116" s="252" t="s">
        <v>110</v>
      </c>
      <c r="D116" s="296"/>
      <c r="E116" s="290" t="e">
        <f t="shared" si="32"/>
        <v>#DIV/0!</v>
      </c>
      <c r="F116" s="253">
        <f>+INDEX('Budget original'!$A$2:$AO$501,MATCH($A116,'Budget original'!$A$2:$A$501,0),MATCH(F$2,'Budget original'!$A$2:$AO$2,0))</f>
        <v>0</v>
      </c>
      <c r="G116" s="297"/>
      <c r="H116" s="290"/>
      <c r="I116" s="253"/>
      <c r="J116" s="252"/>
      <c r="K116" s="290">
        <f>IF($J$97=0,0,L116/(J$94+J$95+J96))</f>
        <v>0</v>
      </c>
      <c r="L116" s="255">
        <f>SUMIFS(BV_Data_An_Cour!$AM:$AM,BV_Data_An_Cour!$AP:$AP,$B116,BV_Data_An_Cour!$AQ:$AQ,$C116,BV_Data_An_Cour!$AR:$AR,$L$2)</f>
        <v>0</v>
      </c>
      <c r="M116" s="252"/>
      <c r="N116" s="275">
        <f t="shared" si="33"/>
        <v>0</v>
      </c>
      <c r="O116" s="252"/>
      <c r="P116" s="290" t="e">
        <f>IF($J$97=0,0,Q116/(O$94+O$95+O96))</f>
        <v>#DIV/0!</v>
      </c>
      <c r="Q116" s="255">
        <f>SUMIFS(BV_Data_An_Prec!$AM:$AM,BV_Data_An_Prec!$AP:$AP,$B116,BV_Data_An_Prec!$AQ:$AQ,$C116,BV_Data_An_Prec!$AR:$AR,$L$2)</f>
        <v>0</v>
      </c>
      <c r="R116" s="252"/>
      <c r="S116" s="275">
        <f t="shared" si="34"/>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
        <v>419</v>
      </c>
      <c r="B117" s="41" t="s">
        <v>148</v>
      </c>
      <c r="C117" s="245" t="s">
        <v>111</v>
      </c>
      <c r="D117" s="298"/>
      <c r="E117" s="293" t="e">
        <f t="shared" si="32"/>
        <v>#DIV/0!</v>
      </c>
      <c r="F117" s="247">
        <f>+INDEX('Budget original'!$A$2:$AO$501,MATCH($A117,'Budget original'!$A$2:$A$501,0),MATCH(F$2,'Budget original'!$A$2:$AO$2,0))</f>
        <v>0</v>
      </c>
      <c r="G117" s="299"/>
      <c r="H117" s="293"/>
      <c r="I117" s="247"/>
      <c r="J117" s="245"/>
      <c r="K117" s="293">
        <f>IF($J$97=0,0,L117/(J$94+J$95+J96))</f>
        <v>0</v>
      </c>
      <c r="L117" s="247">
        <f>SUMIFS(BV_Data_An_Cour!$AM:$AM,BV_Data_An_Cour!$AP:$AP,$B117,BV_Data_An_Cour!$AQ:$AQ,$C117,BV_Data_An_Cour!$AR:$AR,$L$2)</f>
        <v>0</v>
      </c>
      <c r="M117" s="245"/>
      <c r="N117" s="295">
        <f t="shared" si="33"/>
        <v>0</v>
      </c>
      <c r="O117" s="245"/>
      <c r="P117" s="293" t="e">
        <f>IF($J$97=0,0,Q117/(O$94+O$95+O96))</f>
        <v>#DIV/0!</v>
      </c>
      <c r="Q117" s="247">
        <f>SUMIFS(BV_Data_An_Prec!$AM:$AM,BV_Data_An_Prec!$AP:$AP,$B117,BV_Data_An_Prec!$AQ:$AQ,$C117,BV_Data_An_Prec!$AR:$AR,$L$2)</f>
        <v>0</v>
      </c>
      <c r="R117" s="245"/>
      <c r="S117" s="295">
        <f t="shared" si="34"/>
        <v>0</v>
      </c>
      <c r="T117" s="41"/>
      <c r="U117" s="1029"/>
      <c r="V117" s="41"/>
      <c r="W117" s="253"/>
      <c r="X117" s="41"/>
      <c r="Y117" s="41"/>
      <c r="Z117" s="41"/>
      <c r="AA117" s="41"/>
      <c r="AB117" s="41"/>
      <c r="AC117" s="41"/>
      <c r="AD117" s="41"/>
      <c r="AE117" s="41"/>
      <c r="AF117" s="41"/>
      <c r="AG117" s="41"/>
      <c r="AH117" s="41"/>
      <c r="AI117" s="41"/>
      <c r="AJ117" s="41"/>
      <c r="AK117" s="41"/>
      <c r="AL117" s="41"/>
      <c r="AM117" s="41"/>
      <c r="AN117" s="41"/>
    </row>
    <row r="118" spans="1:40" ht="19.5" customHeight="1">
      <c r="A118" s="5" t="s">
        <v>420</v>
      </c>
      <c r="B118" s="41" t="s">
        <v>148</v>
      </c>
      <c r="C118" s="252" t="s">
        <v>112</v>
      </c>
      <c r="D118" s="296"/>
      <c r="E118" s="290" t="e">
        <f t="shared" si="32"/>
        <v>#DIV/0!</v>
      </c>
      <c r="F118" s="253">
        <f>+INDEX('Budget original'!$A$2:$AO$501,MATCH($A118,'Budget original'!$A$2:$A$501,0),MATCH(F$2,'Budget original'!$A$2:$AO$2,0))</f>
        <v>0</v>
      </c>
      <c r="G118" s="297"/>
      <c r="H118" s="290"/>
      <c r="I118" s="253"/>
      <c r="J118" s="252"/>
      <c r="K118" s="290">
        <f>IF($J$97=0,0,L118/(J$94+J$95+J96))</f>
        <v>222.42714285714283</v>
      </c>
      <c r="L118" s="255">
        <f>SUMIFS(BV_Data_An_Cour!$AM:$AM,BV_Data_An_Cour!$AP:$AP,$B118,BV_Data_An_Cour!$AQ:$AQ,$C118,BV_Data_An_Cour!$AR:$AR,$L$2)</f>
        <v>1556.9899999999998</v>
      </c>
      <c r="M118" s="252"/>
      <c r="N118" s="275">
        <f t="shared" si="33"/>
        <v>1556.9899999999998</v>
      </c>
      <c r="O118" s="252"/>
      <c r="P118" s="290" t="e">
        <f>IF($J$97=0,0,Q118/(O$94+O$95+O96))</f>
        <v>#DIV/0!</v>
      </c>
      <c r="Q118" s="255">
        <f>SUMIFS(BV_Data_An_Prec!$AM:$AM,BV_Data_An_Prec!$AP:$AP,$B118,BV_Data_An_Prec!$AQ:$AQ,$C118,BV_Data_An_Prec!$AR:$AR,$L$2)</f>
        <v>0</v>
      </c>
      <c r="R118" s="252"/>
      <c r="S118" s="275">
        <f t="shared" si="34"/>
        <v>1556.9899999999998</v>
      </c>
      <c r="T118" s="41"/>
      <c r="U118" s="1029"/>
      <c r="V118" s="41"/>
      <c r="W118" s="253"/>
      <c r="Z118" s="41"/>
      <c r="AA118" s="41"/>
      <c r="AB118" s="41"/>
      <c r="AC118" s="41"/>
      <c r="AD118" s="41"/>
      <c r="AE118" s="41"/>
      <c r="AF118" s="41"/>
      <c r="AG118" s="41"/>
      <c r="AH118" s="41"/>
      <c r="AI118" s="41"/>
      <c r="AJ118" s="41"/>
      <c r="AK118" s="41"/>
      <c r="AL118" s="41"/>
      <c r="AM118" s="41"/>
      <c r="AN118" s="41"/>
    </row>
    <row r="119" spans="1:40" ht="15.75" customHeight="1">
      <c r="A119" s="5" t="s">
        <v>421</v>
      </c>
      <c r="B119" s="41" t="s">
        <v>148</v>
      </c>
      <c r="C119" s="252" t="s">
        <v>113</v>
      </c>
      <c r="D119" s="296"/>
      <c r="E119" s="290" t="e">
        <f t="shared" si="32"/>
        <v>#DIV/0!</v>
      </c>
      <c r="F119" s="253">
        <f>+INDEX('Budget original'!$A$2:$AO$501,MATCH($A119,'Budget original'!$A$2:$A$501,0),MATCH(F$2,'Budget original'!$A$2:$AO$2,0))</f>
        <v>0</v>
      </c>
      <c r="G119" s="297"/>
      <c r="H119" s="290"/>
      <c r="I119" s="253"/>
      <c r="J119" s="252"/>
      <c r="K119" s="290">
        <f>IF($J$97=0,0,L119/(J$94+J$95+J96))</f>
        <v>83.614285714285714</v>
      </c>
      <c r="L119" s="769">
        <f>SUMIFS(BV_Data_An_Cour!$AM:$AM,BV_Data_An_Cour!$AP:$AP,$B119,BV_Data_An_Cour!$AQ:$AQ,$C119,BV_Data_An_Cour!$AR:$AR,$L$2)</f>
        <v>585.29999999999995</v>
      </c>
      <c r="M119" s="252"/>
      <c r="N119" s="777">
        <f t="shared" si="33"/>
        <v>585.29999999999995</v>
      </c>
      <c r="O119" s="252"/>
      <c r="P119" s="290" t="e">
        <f>IF($J$97=0,0,Q119/(O$94+O$95+O96))</f>
        <v>#DIV/0!</v>
      </c>
      <c r="Q119" s="769">
        <f>SUMIFS(BV_Data_An_Prec!$AM:$AM,BV_Data_An_Prec!$AP:$AP,$B119,BV_Data_An_Prec!$AQ:$AQ,$C119,BV_Data_An_Prec!$AR:$AR,$L$2)</f>
        <v>0</v>
      </c>
      <c r="R119" s="252"/>
      <c r="S119" s="275">
        <f t="shared" si="34"/>
        <v>585.29999999999995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422</v>
      </c>
      <c r="B120" s="41" t="s">
        <v>148</v>
      </c>
      <c r="C120" s="252" t="s">
        <v>55</v>
      </c>
      <c r="D120" s="296"/>
      <c r="E120" s="290" t="e">
        <f t="shared" si="32"/>
        <v>#DIV/0!</v>
      </c>
      <c r="F120" s="253">
        <f>+INDEX('Budget original'!$A$2:$AO$501,MATCH($A120,'Budget original'!$A$2:$A$501,0),MATCH(F$2,'Budget original'!$A$2:$AO$2,0))</f>
        <v>0</v>
      </c>
      <c r="G120" s="297"/>
      <c r="H120" s="290"/>
      <c r="I120" s="253"/>
      <c r="J120" s="252"/>
      <c r="K120" s="290">
        <f>IF($J$97=0,0,L120/(J$94+J$95))</f>
        <v>0</v>
      </c>
      <c r="L120" s="255">
        <f>SUMIFS(BV_Data_An_Cour!$AM:$AM,BV_Data_An_Cour!$AP:$AP,$B120,BV_Data_An_Cour!$AQ:$AQ,$C120,BV_Data_An_Cour!$AR:$AR,$L$2)</f>
        <v>0</v>
      </c>
      <c r="M120" s="252"/>
      <c r="N120" s="275">
        <f t="shared" si="33"/>
        <v>0</v>
      </c>
      <c r="O120" s="252"/>
      <c r="P120" s="290" t="e">
        <f>IF($J$97=0,0,Q120/(O$94+O$95))</f>
        <v>#DIV/0!</v>
      </c>
      <c r="Q120" s="255">
        <f>SUMIFS(BV_Data_An_Prec!$AM:$AM,BV_Data_An_Prec!$AP:$AP,$B120,BV_Data_An_Prec!$AQ:$AQ,$C120,BV_Data_An_Prec!$AR:$AR,$L$2)</f>
        <v>0</v>
      </c>
      <c r="R120" s="252"/>
      <c r="S120" s="275">
        <f t="shared" si="34"/>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422</v>
      </c>
      <c r="B121" s="41" t="s">
        <v>148</v>
      </c>
      <c r="C121" s="252" t="s">
        <v>55</v>
      </c>
      <c r="D121" s="296"/>
      <c r="E121" s="290" t="e">
        <f t="shared" si="32"/>
        <v>#DIV/0!</v>
      </c>
      <c r="F121" s="253">
        <f>+INDEX('Budget original'!$A$2:$AO$501,MATCH($A121,'Budget original'!$A$2:$A$501,0),MATCH(F$2,'Budget original'!$A$2:$AO$2,0))</f>
        <v>0</v>
      </c>
      <c r="G121" s="297"/>
      <c r="H121" s="290"/>
      <c r="I121" s="253"/>
      <c r="J121" s="252"/>
      <c r="K121" s="290">
        <f>IF($J$97=0,0,L121/(J$94+J$95))</f>
        <v>0</v>
      </c>
      <c r="L121" s="255">
        <f>SUMIFS(BV_Data_An_Cour!$AM:$AM,BV_Data_An_Cour!$AP:$AP,$B121,BV_Data_An_Cour!$AQ:$AQ,$C121,BV_Data_An_Cour!$AR:$AR,$L$2)</f>
        <v>0</v>
      </c>
      <c r="M121" s="252"/>
      <c r="N121" s="275">
        <f t="shared" si="33"/>
        <v>0</v>
      </c>
      <c r="O121" s="252"/>
      <c r="P121" s="290" t="e">
        <f>IF($J$97=0,0,Q121/(O$94+O$95))</f>
        <v>#DIV/0!</v>
      </c>
      <c r="Q121" s="255">
        <f>SUMIFS(BV_Data_An_Prec!$AM:$AM,BV_Data_An_Prec!$AP:$AP,$B121,BV_Data_An_Prec!$AQ:$AQ,$C121,BV_Data_An_Prec!$AR:$AR,$L$2)</f>
        <v>0</v>
      </c>
      <c r="R121" s="252"/>
      <c r="S121" s="275">
        <f t="shared" si="34"/>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
        <v>422</v>
      </c>
      <c r="B122" s="41" t="s">
        <v>148</v>
      </c>
      <c r="C122" s="252" t="s">
        <v>55</v>
      </c>
      <c r="D122" s="296"/>
      <c r="E122" s="290" t="e">
        <f t="shared" si="32"/>
        <v>#DIV/0!</v>
      </c>
      <c r="F122" s="253">
        <f>+INDEX('Budget original'!$A$2:$AO$501,MATCH($A122,'Budget original'!$A$2:$A$501,0),MATCH(F$2,'Budget original'!$A$2:$AO$2,0))</f>
        <v>0</v>
      </c>
      <c r="G122" s="297"/>
      <c r="H122" s="290"/>
      <c r="I122" s="253"/>
      <c r="J122" s="252"/>
      <c r="K122" s="290">
        <f>IF($J$97=0,0,L122/(J$94+J$95))</f>
        <v>0</v>
      </c>
      <c r="L122" s="255">
        <f>SUMIFS(BV_Data_An_Cour!$AM:$AM,BV_Data_An_Cour!$AP:$AP,$B122,BV_Data_An_Cour!$AQ:$AQ,$C122,BV_Data_An_Cour!$AR:$AR,$L$2)</f>
        <v>0</v>
      </c>
      <c r="M122" s="252"/>
      <c r="N122" s="275">
        <f t="shared" si="33"/>
        <v>0</v>
      </c>
      <c r="O122" s="252"/>
      <c r="P122" s="290" t="e">
        <f>IF($J$97=0,0,Q122/(O$94+O$95))</f>
        <v>#DIV/0!</v>
      </c>
      <c r="Q122" s="255">
        <f>SUMIFS(BV_Data_An_Prec!$AM:$AM,BV_Data_An_Prec!$AP:$AP,$B122,BV_Data_An_Prec!$AQ:$AQ,$C122,BV_Data_An_Prec!$AR:$AR,$L$2)</f>
        <v>0</v>
      </c>
      <c r="R122" s="252"/>
      <c r="S122" s="275">
        <f t="shared" si="34"/>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423</v>
      </c>
      <c r="B123" s="41" t="s">
        <v>148</v>
      </c>
      <c r="C123" s="303" t="s">
        <v>114</v>
      </c>
      <c r="D123" s="304" t="s">
        <v>115</v>
      </c>
      <c r="E123" s="305" t="e">
        <f>F123/F$109</f>
        <v>#DIV/0!</v>
      </c>
      <c r="F123" s="306">
        <f>SUM(F113:F122)</f>
        <v>0</v>
      </c>
      <c r="G123" s="307"/>
      <c r="H123" s="305"/>
      <c r="I123" s="306"/>
      <c r="J123" s="307" t="s">
        <v>115</v>
      </c>
      <c r="K123" s="305">
        <f>L123/L$109</f>
        <v>8.6117291950983332E-2</v>
      </c>
      <c r="L123" s="306">
        <f>SUM(L113:L122)</f>
        <v>19465.87</v>
      </c>
      <c r="M123" s="309"/>
      <c r="N123" s="306">
        <f t="shared" si="33"/>
        <v>19465.87</v>
      </c>
      <c r="O123" s="307" t="s">
        <v>115</v>
      </c>
      <c r="P123" s="305" t="e">
        <f>Q123/Q$109</f>
        <v>#DIV/0!</v>
      </c>
      <c r="Q123" s="306">
        <f>SUM(Q113:Q122)</f>
        <v>0</v>
      </c>
      <c r="R123" s="309"/>
      <c r="S123" s="306">
        <f t="shared" si="34"/>
        <v>19465.87</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424</v>
      </c>
      <c r="B124" s="41" t="s">
        <v>148</v>
      </c>
      <c r="C124" s="310" t="s">
        <v>116</v>
      </c>
      <c r="D124" s="41"/>
      <c r="E124" s="41"/>
      <c r="F124" s="253">
        <f>+INDEX('Budget original'!$A$2:$AO$501,MATCH($A124,'Budget original'!$A$2:$A$501,0),MATCH(F$2,'Budget original'!$A$2:$AO$2,0))</f>
        <v>0</v>
      </c>
      <c r="G124" s="252"/>
      <c r="H124" s="41"/>
      <c r="I124" s="253"/>
      <c r="J124" s="252"/>
      <c r="K124" s="41"/>
      <c r="L124" s="275">
        <f>SUMIFS(BV_Data_An_Cour!$AM:$AM,BV_Data_An_Cour!$AP:$AP,$B124,BV_Data_An_Cour!$AQ:$AQ,$C124,BV_Data_An_Cour!$AR:$AR,$L$2)</f>
        <v>26345.550000000003</v>
      </c>
      <c r="M124" s="252"/>
      <c r="N124" s="275">
        <f t="shared" si="33"/>
        <v>26345.550000000003</v>
      </c>
      <c r="O124" s="252"/>
      <c r="P124" s="41"/>
      <c r="Q124" s="275">
        <f>SUMIFS(BV_Data_An_Prec!$AM:$AM,BV_Data_An_Prec!$AP:$AP,$B124,BV_Data_An_Prec!$AQ:$AQ,$C124,BV_Data_An_Prec!$AR:$AR,$L$2)</f>
        <v>0</v>
      </c>
      <c r="R124" s="252"/>
      <c r="S124" s="275">
        <f t="shared" si="34"/>
        <v>26345.550000000003</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425</v>
      </c>
      <c r="B125" s="41" t="s">
        <v>148</v>
      </c>
      <c r="C125" s="311" t="s">
        <v>117</v>
      </c>
      <c r="D125" s="296"/>
      <c r="E125" s="41"/>
      <c r="F125" s="247">
        <f>+INDEX('Budget original'!$A$2:$AO$501,MATCH($A125,'Budget original'!$A$2:$A$501,0),MATCH(F$2,'Budget original'!$A$2:$AO$2,0))</f>
        <v>0</v>
      </c>
      <c r="G125" s="297"/>
      <c r="H125" s="41"/>
      <c r="I125" s="247"/>
      <c r="J125" s="252"/>
      <c r="K125" s="41"/>
      <c r="L125" s="275">
        <f>SUMIFS(BV_Data_An_Cour!$AM:$AM,BV_Data_An_Cour!$AP:$AP,$B125,BV_Data_An_Cour!$AQ:$AQ,$C125,BV_Data_An_Cour!$AR:$AR,$L$2)</f>
        <v>0</v>
      </c>
      <c r="M125" s="252"/>
      <c r="N125" s="275">
        <f t="shared" si="33"/>
        <v>0</v>
      </c>
      <c r="O125" s="252"/>
      <c r="P125" s="41"/>
      <c r="Q125" s="275">
        <f>SUMIFS(BV_Data_An_Prec!$AM:$AM,BV_Data_An_Prec!$AP:$AP,$B125,BV_Data_An_Prec!$AQ:$AQ,$C125,BV_Data_An_Prec!$AR:$AR,$L$2)</f>
        <v>0</v>
      </c>
      <c r="R125" s="252"/>
      <c r="S125" s="275">
        <f t="shared" si="34"/>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426</v>
      </c>
      <c r="B126" s="41" t="s">
        <v>148</v>
      </c>
      <c r="C126" s="310" t="s">
        <v>118</v>
      </c>
      <c r="D126" s="312"/>
      <c r="E126" s="313"/>
      <c r="F126" s="253">
        <f>+INDEX('Budget original'!$A$2:$AO$501,MATCH($A126,'Budget original'!$A$2:$A$501,0),MATCH(F$2,'Budget original'!$A$2:$AO$2,0))</f>
        <v>0</v>
      </c>
      <c r="G126" s="314"/>
      <c r="H126" s="313"/>
      <c r="I126" s="253"/>
      <c r="J126" s="240"/>
      <c r="K126" s="313"/>
      <c r="L126" s="315">
        <f>SUMIFS(BV_Data_An_Cour!$AM:$AM,BV_Data_An_Cour!$AP:$AP,$B126,BV_Data_An_Cour!$AQ:$AQ,$C126,BV_Data_An_Cour!$AR:$AR,$L$2)</f>
        <v>14660.18</v>
      </c>
      <c r="M126" s="240"/>
      <c r="N126" s="315">
        <f t="shared" si="33"/>
        <v>14660.18</v>
      </c>
      <c r="O126" s="240"/>
      <c r="P126" s="313"/>
      <c r="Q126" s="315">
        <f>SUMIFS(BV_Data_An_Prec!$AM:$AM,BV_Data_An_Prec!$AP:$AP,$B126,BV_Data_An_Prec!$AQ:$AQ,$C126,BV_Data_An_Prec!$AR:$AR,$L$2)</f>
        <v>0</v>
      </c>
      <c r="R126" s="240"/>
      <c r="S126" s="315">
        <f t="shared" si="34"/>
        <v>14660.18</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
        <v>427</v>
      </c>
      <c r="B127" s="41" t="s">
        <v>148</v>
      </c>
      <c r="C127" s="310" t="s">
        <v>119</v>
      </c>
      <c r="D127" s="296"/>
      <c r="E127" s="41"/>
      <c r="F127" s="253">
        <f>+INDEX('Budget original'!$A$2:$AO$501,MATCH($A127,'Budget original'!$A$2:$A$501,0),MATCH(F$2,'Budget original'!$A$2:$AO$2,0))</f>
        <v>0</v>
      </c>
      <c r="G127" s="297"/>
      <c r="H127" s="41"/>
      <c r="I127" s="253"/>
      <c r="J127" s="252"/>
      <c r="K127" s="41"/>
      <c r="L127" s="275">
        <f>SUMIFS(BV_Data_An_Cour!$AM:$AM,BV_Data_An_Cour!$AP:$AP,$B127,BV_Data_An_Cour!$AQ:$AQ,$C127,BV_Data_An_Cour!$AR:$AR,$L$2)</f>
        <v>0</v>
      </c>
      <c r="M127" s="252"/>
      <c r="N127" s="275">
        <f t="shared" si="33"/>
        <v>0</v>
      </c>
      <c r="O127" s="252"/>
      <c r="P127" s="41"/>
      <c r="Q127" s="275">
        <f>SUMIFS(BV_Data_An_Prec!$AM:$AM,BV_Data_An_Prec!$AP:$AP,$B127,BV_Data_An_Prec!$AQ:$AQ,$C127,BV_Data_An_Prec!$AR:$AR,$L$2)</f>
        <v>0</v>
      </c>
      <c r="R127" s="252"/>
      <c r="S127" s="275">
        <f t="shared" si="34"/>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422</v>
      </c>
      <c r="B128" s="41" t="s">
        <v>148</v>
      </c>
      <c r="C128" s="310" t="s">
        <v>55</v>
      </c>
      <c r="D128" s="296"/>
      <c r="E128" s="41"/>
      <c r="F128" s="253">
        <f>+INDEX('Budget original'!$A$2:$AO$501,MATCH($A128,'Budget original'!$A$2:$A$501,0),MATCH(F$2,'Budget original'!$A$2:$AO$2,0))</f>
        <v>0</v>
      </c>
      <c r="G128" s="297"/>
      <c r="H128" s="41"/>
      <c r="I128" s="253"/>
      <c r="J128" s="252"/>
      <c r="K128" s="41"/>
      <c r="L128" s="275">
        <f>SUMIFS(BV_Data_An_Cour!$AM:$AM,BV_Data_An_Cour!$AP:$AP,$B128,BV_Data_An_Cour!$AQ:$AQ,$C128,BV_Data_An_Cour!$AR:$AR,$L$2)</f>
        <v>0</v>
      </c>
      <c r="M128" s="252"/>
      <c r="N128" s="275">
        <f t="shared" si="33"/>
        <v>0</v>
      </c>
      <c r="O128" s="252"/>
      <c r="P128" s="41"/>
      <c r="Q128" s="275">
        <f>SUMIFS(BV_Data_An_Prec!$AM:$AM,BV_Data_An_Prec!$AP:$AP,$B128,BV_Data_An_Prec!$AQ:$AQ,$C128,BV_Data_An_Prec!$AR:$AR,$L$2)</f>
        <v>0</v>
      </c>
      <c r="R128" s="252"/>
      <c r="S128" s="275">
        <f t="shared" si="34"/>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422</v>
      </c>
      <c r="B129" s="41" t="s">
        <v>148</v>
      </c>
      <c r="C129" s="310" t="s">
        <v>55</v>
      </c>
      <c r="D129" s="296"/>
      <c r="E129" s="41"/>
      <c r="F129" s="253">
        <f>+INDEX('Budget original'!$A$2:$AO$501,MATCH($A129,'Budget original'!$A$2:$A$501,0),MATCH(F$2,'Budget original'!$A$2:$AO$2,0))</f>
        <v>0</v>
      </c>
      <c r="G129" s="297"/>
      <c r="H129" s="41"/>
      <c r="I129" s="253"/>
      <c r="J129" s="252"/>
      <c r="K129" s="41"/>
      <c r="L129" s="275">
        <f>SUMIFS(BV_Data_An_Cour!$AM:$AM,BV_Data_An_Cour!$AP:$AP,$B129,BV_Data_An_Cour!$AQ:$AQ,$C129,BV_Data_An_Cour!$AR:$AR,$L$2)</f>
        <v>0</v>
      </c>
      <c r="M129" s="252"/>
      <c r="N129" s="275">
        <f t="shared" si="33"/>
        <v>0</v>
      </c>
      <c r="O129" s="252"/>
      <c r="P129" s="41"/>
      <c r="Q129" s="275">
        <f>SUMIFS(BV_Data_An_Prec!$AM:$AM,BV_Data_An_Prec!$AP:$AP,$B129,BV_Data_An_Prec!$AQ:$AQ,$C129,BV_Data_An_Prec!$AR:$AR,$L$2)</f>
        <v>0</v>
      </c>
      <c r="R129" s="252"/>
      <c r="S129" s="275">
        <f t="shared" si="34"/>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
        <v>422</v>
      </c>
      <c r="B130" s="41" t="s">
        <v>148</v>
      </c>
      <c r="C130" s="310" t="s">
        <v>55</v>
      </c>
      <c r="D130" s="296"/>
      <c r="E130" s="41"/>
      <c r="F130" s="253">
        <f>+INDEX('Budget original'!$A$2:$AO$501,MATCH($A130,'Budget original'!$A$2:$A$501,0),MATCH(F$2,'Budget original'!$A$2:$AO$2,0))</f>
        <v>0</v>
      </c>
      <c r="G130" s="297"/>
      <c r="H130" s="41"/>
      <c r="I130" s="253"/>
      <c r="J130" s="252"/>
      <c r="K130" s="41"/>
      <c r="L130" s="275">
        <f>SUMIFS(BV_Data_An_Cour!$AM:$AM,BV_Data_An_Cour!$AP:$AP,$B130,BV_Data_An_Cour!$AQ:$AQ,$C130,BV_Data_An_Cour!$AR:$AR,$L$2)</f>
        <v>0</v>
      </c>
      <c r="M130" s="252"/>
      <c r="N130" s="275">
        <f t="shared" si="33"/>
        <v>0</v>
      </c>
      <c r="O130" s="252"/>
      <c r="P130" s="41"/>
      <c r="Q130" s="275">
        <f>SUMIFS(BV_Data_An_Prec!$AM:$AM,BV_Data_An_Prec!$AP:$AP,$B130,BV_Data_An_Prec!$AQ:$AQ,$C130,BV_Data_An_Prec!$AR:$AR,$L$2)</f>
        <v>0</v>
      </c>
      <c r="R130" s="252"/>
      <c r="S130" s="275">
        <f t="shared" si="34"/>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428</v>
      </c>
      <c r="B131" s="41" t="s">
        <v>148</v>
      </c>
      <c r="C131" s="311" t="s">
        <v>120</v>
      </c>
      <c r="D131" s="296"/>
      <c r="E131" s="41"/>
      <c r="F131" s="253">
        <f>+INDEX('Budget original'!$A$2:$AO$501,MATCH($A131,'Budget original'!$A$2:$A$501,0),MATCH(F$2,'Budget original'!$A$2:$AO$2,0))</f>
        <v>0</v>
      </c>
      <c r="G131" s="297"/>
      <c r="H131" s="41"/>
      <c r="I131" s="253"/>
      <c r="J131" s="252"/>
      <c r="K131" s="41"/>
      <c r="L131" s="275">
        <f>SUMIFS(BV_Data_An_Cour!$AM:$AM,BV_Data_An_Cour!$AP:$AP,$B131,BV_Data_An_Cour!$AQ:$AQ,$C131,BV_Data_An_Cour!$AR:$AR,$L$2)</f>
        <v>3944.59</v>
      </c>
      <c r="M131" s="252"/>
      <c r="N131" s="275">
        <f t="shared" si="33"/>
        <v>3944.59</v>
      </c>
      <c r="O131" s="252"/>
      <c r="P131" s="41"/>
      <c r="Q131" s="275">
        <f>SUMIFS(BV_Data_An_Prec!$AM:$AM,BV_Data_An_Prec!$AP:$AP,$B131,BV_Data_An_Prec!$AQ:$AQ,$C131,BV_Data_An_Prec!$AR:$AR,$L$2)</f>
        <v>0</v>
      </c>
      <c r="R131" s="252"/>
      <c r="S131" s="275">
        <f t="shared" si="34"/>
        <v>3944.59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429</v>
      </c>
      <c r="B132" s="41" t="s">
        <v>148</v>
      </c>
      <c r="C132" s="310" t="s">
        <v>121</v>
      </c>
      <c r="D132" s="312"/>
      <c r="E132" s="313"/>
      <c r="F132" s="270">
        <f>+INDEX('Budget original'!$A$2:$AO$501,MATCH($A132,'Budget original'!$A$2:$A$501,0),MATCH(F$2,'Budget original'!$A$2:$AO$2,0))</f>
        <v>0</v>
      </c>
      <c r="G132" s="314"/>
      <c r="H132" s="313"/>
      <c r="I132" s="270"/>
      <c r="J132" s="240"/>
      <c r="K132" s="313"/>
      <c r="L132" s="315">
        <f>SUMIFS(BV_Data_An_Cour!$AM:$AM,BV_Data_An_Cour!$AP:$AP,$B132,BV_Data_An_Cour!$AQ:$AQ,$C132,BV_Data_An_Cour!$AR:$AR,$L$2)</f>
        <v>7116.630000000001</v>
      </c>
      <c r="M132" s="240"/>
      <c r="N132" s="315">
        <f t="shared" si="33"/>
        <v>7116.630000000001</v>
      </c>
      <c r="O132" s="240"/>
      <c r="P132" s="313"/>
      <c r="Q132" s="315">
        <f>SUMIFS(BV_Data_An_Prec!$AM:$AM,BV_Data_An_Prec!$AP:$AP,$B132,BV_Data_An_Prec!$AQ:$AQ,$C132,BV_Data_An_Prec!$AR:$AR,$L$2)</f>
        <v>0</v>
      </c>
      <c r="R132" s="240"/>
      <c r="S132" s="315">
        <f t="shared" si="34"/>
        <v>7116.630000000001</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430</v>
      </c>
      <c r="B133" s="41" t="s">
        <v>148</v>
      </c>
      <c r="C133" s="310" t="s">
        <v>122</v>
      </c>
      <c r="D133" s="296"/>
      <c r="E133" s="41"/>
      <c r="F133" s="253">
        <f>+INDEX('Budget original'!$A$2:$AO$501,MATCH($A133,'Budget original'!$A$2:$A$501,0),MATCH(F$2,'Budget original'!$A$2:$AO$2,0))</f>
        <v>0</v>
      </c>
      <c r="G133" s="297"/>
      <c r="H133" s="41"/>
      <c r="I133" s="253"/>
      <c r="J133" s="252"/>
      <c r="K133" s="41"/>
      <c r="L133" s="275">
        <f>SUMIFS(BV_Data_An_Cour!$AM:$AM,BV_Data_An_Cour!$AP:$AP,$B133,BV_Data_An_Cour!$AQ:$AQ,$C133,BV_Data_An_Cour!$AR:$AR,$L$2)</f>
        <v>386.65000000000009</v>
      </c>
      <c r="M133" s="252"/>
      <c r="N133" s="275">
        <f t="shared" si="33"/>
        <v>386.65000000000009</v>
      </c>
      <c r="O133" s="252"/>
      <c r="P133" s="41"/>
      <c r="Q133" s="275">
        <f>SUMIFS(BV_Data_An_Prec!$AM:$AM,BV_Data_An_Prec!$AP:$AP,$B133,BV_Data_An_Prec!$AQ:$AQ,$C133,BV_Data_An_Prec!$AR:$AR,$L$2)</f>
        <v>0</v>
      </c>
      <c r="R133" s="252"/>
      <c r="S133" s="275">
        <f t="shared" si="34"/>
        <v>386.65000000000009</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
        <v>431</v>
      </c>
      <c r="B134" s="41" t="s">
        <v>148</v>
      </c>
      <c r="C134" s="310" t="s">
        <v>123</v>
      </c>
      <c r="D134" s="296"/>
      <c r="E134" s="41"/>
      <c r="F134" s="253">
        <f>+INDEX('Budget original'!$A$2:$AO$501,MATCH($A134,'Budget original'!$A$2:$A$501,0),MATCH(F$2,'Budget original'!$A$2:$AO$2,0))</f>
        <v>0</v>
      </c>
      <c r="G134" s="297"/>
      <c r="H134" s="41"/>
      <c r="I134" s="253"/>
      <c r="J134" s="252"/>
      <c r="K134" s="41"/>
      <c r="L134" s="255">
        <f>SUMIFS(BV_Data_An_Cour!$AM:$AM,BV_Data_An_Cour!$AP:$AP,$B134,BV_Data_An_Cour!$AQ:$AQ,$C134,BV_Data_An_Cour!$AR:$AR,$L$2)</f>
        <v>0</v>
      </c>
      <c r="M134" s="252"/>
      <c r="N134" s="275">
        <f t="shared" si="33"/>
        <v>0</v>
      </c>
      <c r="O134" s="252"/>
      <c r="P134" s="41"/>
      <c r="Q134" s="255">
        <f>SUMIFS(BV_Data_An_Prec!$AM:$AM,BV_Data_An_Prec!$AP:$AP,$B134,BV_Data_An_Prec!$AQ:$AQ,$C134,BV_Data_An_Prec!$AR:$AR,$L$2)</f>
        <v>0</v>
      </c>
      <c r="R134" s="252"/>
      <c r="S134" s="275">
        <f t="shared" si="34"/>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
        <v>422</v>
      </c>
      <c r="B135" s="41" t="s">
        <v>148</v>
      </c>
      <c r="C135" s="252" t="s">
        <v>55</v>
      </c>
      <c r="D135" s="298"/>
      <c r="E135" s="316"/>
      <c r="F135" s="253">
        <f>+INDEX('Budget original'!$A$2:$AO$501,MATCH($A135,'Budget original'!$A$2:$A$501,0),MATCH(F$2,'Budget original'!$A$2:$AO$2,0))</f>
        <v>0</v>
      </c>
      <c r="G135" s="299"/>
      <c r="H135" s="316"/>
      <c r="I135" s="253"/>
      <c r="J135" s="245"/>
      <c r="K135" s="316"/>
      <c r="L135" s="255">
        <f>SUMIFS(BV_Data_An_Cour!$AM:$AM,BV_Data_An_Cour!$AP:$AP,$B135,BV_Data_An_Cour!$AQ:$AQ,$C135,BV_Data_An_Cour!$AR:$AR,$L$2)</f>
        <v>0</v>
      </c>
      <c r="M135" s="245"/>
      <c r="N135" s="295">
        <f t="shared" si="33"/>
        <v>0</v>
      </c>
      <c r="O135" s="245"/>
      <c r="P135" s="316"/>
      <c r="Q135" s="255">
        <f>SUMIFS(BV_Data_An_Prec!$AM:$AM,BV_Data_An_Prec!$AP:$AP,$B135,BV_Data_An_Prec!$AQ:$AQ,$C135,BV_Data_An_Prec!$AR:$AR,$L$2)</f>
        <v>0</v>
      </c>
      <c r="R135" s="245"/>
      <c r="S135" s="295">
        <f t="shared" si="34"/>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
        <v>432</v>
      </c>
      <c r="B136" s="41" t="s">
        <v>148</v>
      </c>
      <c r="C136" s="303" t="s">
        <v>124</v>
      </c>
      <c r="D136" s="304" t="s">
        <v>115</v>
      </c>
      <c r="E136" s="305" t="e">
        <f>F136/F$109</f>
        <v>#DIV/0!</v>
      </c>
      <c r="F136" s="306">
        <f>+SUM(F124:F135)</f>
        <v>0</v>
      </c>
      <c r="G136" s="307"/>
      <c r="H136" s="305"/>
      <c r="I136" s="306"/>
      <c r="J136" s="307" t="s">
        <v>115</v>
      </c>
      <c r="K136" s="305">
        <f>L136/L$109</f>
        <v>0.2320554891756752</v>
      </c>
      <c r="L136" s="306">
        <f>SUM(L124:L135)</f>
        <v>52453.600000000013</v>
      </c>
      <c r="M136" s="353"/>
      <c r="N136" s="318">
        <f t="shared" si="33"/>
        <v>52453.600000000013</v>
      </c>
      <c r="O136" s="307" t="s">
        <v>115</v>
      </c>
      <c r="P136" s="305" t="e">
        <f>Q136/Q$109</f>
        <v>#DIV/0!</v>
      </c>
      <c r="Q136" s="306">
        <f>SUM(Q124:Q135)</f>
        <v>0</v>
      </c>
      <c r="R136" s="353"/>
      <c r="S136" s="318">
        <f t="shared" si="34"/>
        <v>52453.600000000013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433</v>
      </c>
      <c r="B137" s="41" t="s">
        <v>148</v>
      </c>
      <c r="C137" s="252" t="s">
        <v>125</v>
      </c>
      <c r="D137" s="296"/>
      <c r="E137" s="41"/>
      <c r="F137" s="253">
        <f>+INDEX('Budget original'!$A$2:$AO$501,MATCH($A137,'Budget original'!$A$2:$A$501,0),MATCH(F$2,'Budget original'!$A$2:$AO$2,0))</f>
        <v>0</v>
      </c>
      <c r="G137" s="297"/>
      <c r="H137" s="41"/>
      <c r="I137" s="253"/>
      <c r="J137" s="252"/>
      <c r="K137" s="41"/>
      <c r="L137" s="255">
        <f>SUMIFS(BV_Data_An_Cour!$AM:$AM,BV_Data_An_Cour!$AP:$AP,$B137,BV_Data_An_Cour!$AQ:$AQ,$C137,BV_Data_An_Cour!$AR:$AR,$L$2)</f>
        <v>0</v>
      </c>
      <c r="M137" s="252"/>
      <c r="N137" s="275">
        <f t="shared" si="33"/>
        <v>0</v>
      </c>
      <c r="O137" s="252"/>
      <c r="P137" s="41"/>
      <c r="Q137" s="255">
        <f>SUMIFS(BV_Data_An_Prec!$AM:$AM,BV_Data_An_Prec!$AP:$AP,$B137,BV_Data_An_Prec!$AQ:$AQ,$C137,BV_Data_An_Prec!$AR:$AR,$L$2)</f>
        <v>0</v>
      </c>
      <c r="R137" s="252"/>
      <c r="S137" s="275">
        <f t="shared" si="34"/>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hidden="1" customHeight="1">
      <c r="A138" s="5" t="s">
        <v>434</v>
      </c>
      <c r="B138" s="41" t="s">
        <v>148</v>
      </c>
      <c r="C138" s="252" t="s">
        <v>126</v>
      </c>
      <c r="D138" s="296"/>
      <c r="E138" s="41"/>
      <c r="F138" s="253">
        <f>+INDEX('Budget original'!$A$2:$AO$501,MATCH($A138,'Budget original'!$A$2:$A$501,0),MATCH(F$2,'Budget original'!$A$2:$AO$2,0))</f>
        <v>0</v>
      </c>
      <c r="G138" s="297"/>
      <c r="H138" s="41"/>
      <c r="I138" s="253"/>
      <c r="J138" s="252"/>
      <c r="K138" s="41"/>
      <c r="L138" s="255">
        <f>SUMIFS(BV_Data_An_Cour!$AM:$AM,BV_Data_An_Cour!$AP:$AP,$B138,BV_Data_An_Cour!$AQ:$AQ,$C138,BV_Data_An_Cour!$AR:$AR,$L$2)</f>
        <v>0</v>
      </c>
      <c r="M138" s="252"/>
      <c r="N138" s="275">
        <f t="shared" si="33"/>
        <v>0</v>
      </c>
      <c r="O138" s="252"/>
      <c r="P138" s="41"/>
      <c r="Q138" s="255">
        <f>SUMIFS(BV_Data_An_Prec!$AM:$AM,BV_Data_An_Prec!$AP:$AP,$B138,BV_Data_An_Prec!$AQ:$AQ,$C138,BV_Data_An_Prec!$AR:$AR,$L$2)</f>
        <v>0</v>
      </c>
      <c r="R138" s="252"/>
      <c r="S138" s="275">
        <f t="shared" si="34"/>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435</v>
      </c>
      <c r="B139" s="41" t="s">
        <v>148</v>
      </c>
      <c r="C139" s="245" t="s">
        <v>127</v>
      </c>
      <c r="D139" s="298"/>
      <c r="E139" s="316"/>
      <c r="F139" s="247">
        <f>+INDEX('Budget original'!$A$2:$AO$501,MATCH($A139,'Budget original'!$A$2:$A$501,0),MATCH(F$2,'Budget original'!$A$2:$AO$2,0))</f>
        <v>0</v>
      </c>
      <c r="G139" s="299"/>
      <c r="H139" s="316"/>
      <c r="I139" s="247"/>
      <c r="J139" s="245"/>
      <c r="K139" s="316"/>
      <c r="L139" s="247">
        <f>SUMIFS(BV_Data_An_Cour!$AM:$AM,BV_Data_An_Cour!$AP:$AP,$B139,BV_Data_An_Cour!$AQ:$AQ,$C139,BV_Data_An_Cour!$AR:$AR,$L$2)</f>
        <v>0</v>
      </c>
      <c r="M139" s="245"/>
      <c r="N139" s="295">
        <f t="shared" si="33"/>
        <v>0</v>
      </c>
      <c r="O139" s="245"/>
      <c r="P139" s="316"/>
      <c r="Q139" s="247">
        <f>SUMIFS(BV_Data_An_Prec!$AM:$AM,BV_Data_An_Prec!$AP:$AP,$B139,BV_Data_An_Prec!$AQ:$AQ,$C139,BV_Data_An_Prec!$AR:$AR,$L$2)</f>
        <v>0</v>
      </c>
      <c r="R139" s="245"/>
      <c r="S139" s="295">
        <f t="shared" si="34"/>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436</v>
      </c>
      <c r="B140" s="41" t="s">
        <v>148</v>
      </c>
      <c r="C140" s="252" t="s">
        <v>128</v>
      </c>
      <c r="D140" s="296"/>
      <c r="E140" s="41"/>
      <c r="F140" s="253">
        <f>+INDEX('Budget original'!$A$2:$AO$501,MATCH($A140,'Budget original'!$A$2:$A$501,0),MATCH(F$2,'Budget original'!$A$2:$AO$2,0))</f>
        <v>0</v>
      </c>
      <c r="G140" s="297"/>
      <c r="H140" s="41"/>
      <c r="I140" s="253"/>
      <c r="J140" s="252"/>
      <c r="K140" s="41"/>
      <c r="L140" s="255">
        <f>SUMIFS(BV_Data_An_Cour!$AM:$AM,BV_Data_An_Cour!$AP:$AP,$B140,BV_Data_An_Cour!$AQ:$AQ,$C140,BV_Data_An_Cour!$AR:$AR,$L$2)</f>
        <v>1322.3099999999995</v>
      </c>
      <c r="M140" s="252"/>
      <c r="N140" s="275">
        <f t="shared" si="33"/>
        <v>1322.3099999999995</v>
      </c>
      <c r="O140" s="252"/>
      <c r="P140" s="41"/>
      <c r="Q140" s="255">
        <f>SUMIFS(BV_Data_An_Prec!$AM:$AM,BV_Data_An_Prec!$AP:$AP,$B140,BV_Data_An_Prec!$AQ:$AQ,$C140,BV_Data_An_Prec!$AR:$AR,$L$2)</f>
        <v>0</v>
      </c>
      <c r="R140" s="252"/>
      <c r="S140" s="275">
        <f t="shared" si="34"/>
        <v>1322.3099999999995</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437</v>
      </c>
      <c r="B141" s="41" t="s">
        <v>148</v>
      </c>
      <c r="C141" s="252" t="s">
        <v>129</v>
      </c>
      <c r="D141" s="296"/>
      <c r="E141" s="41"/>
      <c r="F141" s="253">
        <f>+INDEX('Budget original'!$A$2:$AO$501,MATCH($A141,'Budget original'!$A$2:$A$501,0),MATCH(F$2,'Budget original'!$A$2:$AO$2,0))</f>
        <v>0</v>
      </c>
      <c r="G141" s="297"/>
      <c r="H141" s="41"/>
      <c r="I141" s="253"/>
      <c r="J141" s="252"/>
      <c r="K141" s="41"/>
      <c r="L141" s="255">
        <f>SUMIFS(BV_Data_An_Cour!$AM:$AM,BV_Data_An_Cour!$AP:$AP,$B141,BV_Data_An_Cour!$AQ:$AQ,$C141,BV_Data_An_Cour!$AR:$AR,$L$2)</f>
        <v>211.11000000000013</v>
      </c>
      <c r="M141" s="252"/>
      <c r="N141" s="275">
        <f t="shared" si="33"/>
        <v>211.11000000000013</v>
      </c>
      <c r="O141" s="252"/>
      <c r="P141" s="41"/>
      <c r="Q141" s="255">
        <f>SUMIFS(BV_Data_An_Prec!$AM:$AM,BV_Data_An_Prec!$AP:$AP,$B141,BV_Data_An_Prec!$AQ:$AQ,$C141,BV_Data_An_Prec!$AR:$AR,$L$2)</f>
        <v>0</v>
      </c>
      <c r="R141" s="252"/>
      <c r="S141" s="275">
        <f t="shared" si="34"/>
        <v>211.11000000000013</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438</v>
      </c>
      <c r="B142" s="41" t="s">
        <v>148</v>
      </c>
      <c r="C142" s="245" t="s">
        <v>130</v>
      </c>
      <c r="D142" s="298"/>
      <c r="E142" s="316"/>
      <c r="F142" s="247">
        <f>+INDEX('Budget original'!$A$2:$AO$501,MATCH($A142,'Budget original'!$A$2:$A$501,0),MATCH(F$2,'Budget original'!$A$2:$AO$2,0))</f>
        <v>0</v>
      </c>
      <c r="G142" s="299"/>
      <c r="H142" s="316"/>
      <c r="I142" s="247"/>
      <c r="J142" s="245"/>
      <c r="K142" s="316"/>
      <c r="L142" s="247">
        <f>SUMIFS(BV_Data_An_Cour!$AM:$AM,BV_Data_An_Cour!$AP:$AP,$B142,BV_Data_An_Cour!$AQ:$AQ,$C142,BV_Data_An_Cour!$AR:$AR,$L$2)</f>
        <v>1404.8</v>
      </c>
      <c r="M142" s="245"/>
      <c r="N142" s="295">
        <f t="shared" si="33"/>
        <v>1404.8</v>
      </c>
      <c r="O142" s="245"/>
      <c r="P142" s="316"/>
      <c r="Q142" s="247">
        <f>SUMIFS(BV_Data_An_Prec!$AM:$AM,BV_Data_An_Prec!$AP:$AP,$B142,BV_Data_An_Prec!$AQ:$AQ,$C142,BV_Data_An_Prec!$AR:$AR,$L$2)</f>
        <v>0</v>
      </c>
      <c r="R142" s="245"/>
      <c r="S142" s="295">
        <f t="shared" si="34"/>
        <v>1404.8</v>
      </c>
      <c r="T142" s="41"/>
      <c r="U142" s="1029"/>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439</v>
      </c>
      <c r="B143" s="41" t="s">
        <v>148</v>
      </c>
      <c r="C143" s="252" t="s">
        <v>131</v>
      </c>
      <c r="D143" s="296"/>
      <c r="E143" s="41"/>
      <c r="F143" s="253">
        <f>+INDEX('Budget original'!$A$2:$AO$501,MATCH($A143,'Budget original'!$A$2:$A$501,0),MATCH(F$2,'Budget original'!$A$2:$AO$2,0))</f>
        <v>0</v>
      </c>
      <c r="G143" s="297"/>
      <c r="H143" s="41"/>
      <c r="I143" s="253"/>
      <c r="J143" s="252"/>
      <c r="K143" s="41"/>
      <c r="L143" s="255">
        <f>SUMIFS(BV_Data_An_Cour!$AM:$AM,BV_Data_An_Cour!$AP:$AP,$B143,BV_Data_An_Cour!$AQ:$AQ,$C143,BV_Data_An_Cour!$AR:$AR,$L$2)</f>
        <v>0</v>
      </c>
      <c r="M143" s="252"/>
      <c r="N143" s="275">
        <f t="shared" si="33"/>
        <v>0</v>
      </c>
      <c r="O143" s="252"/>
      <c r="P143" s="41"/>
      <c r="Q143" s="255">
        <f>SUMIFS(BV_Data_An_Prec!$AM:$AM,BV_Data_An_Prec!$AP:$AP,$B143,BV_Data_An_Prec!$AQ:$AQ,$C143,BV_Data_An_Prec!$AR:$AR,$L$2)</f>
        <v>0</v>
      </c>
      <c r="R143" s="252"/>
      <c r="S143" s="275">
        <f t="shared" si="34"/>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440</v>
      </c>
      <c r="B144" s="41" t="s">
        <v>148</v>
      </c>
      <c r="C144" s="252" t="s">
        <v>132</v>
      </c>
      <c r="D144" s="296"/>
      <c r="E144" s="41"/>
      <c r="F144" s="253">
        <f>+INDEX('Budget original'!$A$2:$AO$501,MATCH($A144,'Budget original'!$A$2:$A$501,0),MATCH(F$2,'Budget original'!$A$2:$AO$2,0))</f>
        <v>0</v>
      </c>
      <c r="G144" s="297"/>
      <c r="H144" s="41"/>
      <c r="I144" s="253"/>
      <c r="J144" s="252"/>
      <c r="K144" s="41"/>
      <c r="L144" s="255">
        <f>SUMIFS(BV_Data_An_Cour!$AM:$AM,BV_Data_An_Cour!$AP:$AP,$B144,BV_Data_An_Cour!$AQ:$AQ,$C144,BV_Data_An_Cour!$AR:$AR,$L$2)</f>
        <v>0</v>
      </c>
      <c r="M144" s="252"/>
      <c r="N144" s="275">
        <f t="shared" si="33"/>
        <v>0</v>
      </c>
      <c r="O144" s="252"/>
      <c r="P144" s="41"/>
      <c r="Q144" s="255">
        <f>SUMIFS(BV_Data_An_Prec!$AM:$AM,BV_Data_An_Prec!$AP:$AP,$B144,BV_Data_An_Prec!$AQ:$AQ,$C144,BV_Data_An_Prec!$AR:$AR,$L$2)</f>
        <v>0</v>
      </c>
      <c r="R144" s="252"/>
      <c r="S144" s="275">
        <f t="shared" si="34"/>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441</v>
      </c>
      <c r="B145" s="41" t="s">
        <v>148</v>
      </c>
      <c r="C145" s="252" t="s">
        <v>133</v>
      </c>
      <c r="D145" s="296"/>
      <c r="E145" s="41"/>
      <c r="F145" s="253">
        <f>+INDEX('Budget original'!$A$2:$AO$501,MATCH($A145,'Budget original'!$A$2:$A$501,0),MATCH(F$2,'Budget original'!$A$2:$AO$2,0))</f>
        <v>0</v>
      </c>
      <c r="G145" s="297"/>
      <c r="H145" s="41"/>
      <c r="I145" s="253"/>
      <c r="J145" s="252"/>
      <c r="K145" s="41"/>
      <c r="L145" s="255">
        <f>SUMIFS(BV_Data_An_Cour!$AM:$AM,BV_Data_An_Cour!$AP:$AP,$B145,BV_Data_An_Cour!$AQ:$AQ,$C145,BV_Data_An_Cour!$AR:$AR,$L$2)</f>
        <v>574.56999999999971</v>
      </c>
      <c r="M145" s="252"/>
      <c r="N145" s="275">
        <f t="shared" si="33"/>
        <v>574.56999999999971</v>
      </c>
      <c r="O145" s="252"/>
      <c r="P145" s="41"/>
      <c r="Q145" s="255">
        <f>SUMIFS(BV_Data_An_Prec!$AM:$AM,BV_Data_An_Prec!$AP:$AP,$B145,BV_Data_An_Prec!$AQ:$AQ,$C145,BV_Data_An_Prec!$AR:$AR,$L$2)</f>
        <v>0</v>
      </c>
      <c r="R145" s="252"/>
      <c r="S145" s="275">
        <f t="shared" si="34"/>
        <v>574.56999999999971</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442</v>
      </c>
      <c r="B146" s="41" t="s">
        <v>148</v>
      </c>
      <c r="C146" s="252" t="s">
        <v>134</v>
      </c>
      <c r="D146" s="296"/>
      <c r="E146" s="41"/>
      <c r="F146" s="253">
        <f>+INDEX('Budget original'!$A$2:$AO$501,MATCH($A146,'Budget original'!$A$2:$A$501,0),MATCH(F$2,'Budget original'!$A$2:$AO$2,0))</f>
        <v>0</v>
      </c>
      <c r="G146" s="297"/>
      <c r="H146" s="41"/>
      <c r="I146" s="253"/>
      <c r="J146" s="252"/>
      <c r="K146" s="41"/>
      <c r="L146" s="255">
        <f>SUMIFS(BV_Data_An_Cour!$AM:$AM,BV_Data_An_Cour!$AP:$AP,$B146,BV_Data_An_Cour!$AQ:$AQ,$C146,BV_Data_An_Cour!$AR:$AR,$L$2)</f>
        <v>52.350000000000023</v>
      </c>
      <c r="M146" s="252"/>
      <c r="N146" s="275">
        <f t="shared" si="33"/>
        <v>52.350000000000023</v>
      </c>
      <c r="O146" s="252"/>
      <c r="P146" s="41"/>
      <c r="Q146" s="255">
        <f>SUMIFS(BV_Data_An_Prec!$AM:$AM,BV_Data_An_Prec!$AP:$AP,$B146,BV_Data_An_Prec!$AQ:$AQ,$C146,BV_Data_An_Prec!$AR:$AR,$L$2)</f>
        <v>0</v>
      </c>
      <c r="R146" s="252"/>
      <c r="S146" s="275">
        <f t="shared" si="34"/>
        <v>52.350000000000023</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443</v>
      </c>
      <c r="B147" s="41" t="s">
        <v>148</v>
      </c>
      <c r="C147" s="252" t="s">
        <v>135</v>
      </c>
      <c r="D147" s="296"/>
      <c r="E147" s="41"/>
      <c r="F147" s="253">
        <f>+INDEX('Budget original'!$A$2:$AO$501,MATCH($A147,'Budget original'!$A$2:$A$501,0),MATCH(F$2,'Budget original'!$A$2:$AO$2,0))</f>
        <v>0</v>
      </c>
      <c r="G147" s="297"/>
      <c r="H147" s="41"/>
      <c r="I147" s="253"/>
      <c r="J147" s="252"/>
      <c r="K147" s="41"/>
      <c r="L147" s="255">
        <f>SUMIFS(BV_Data_An_Cour!$AM:$AM,BV_Data_An_Cour!$AP:$AP,$B147,BV_Data_An_Cour!$AQ:$AQ,$C147,BV_Data_An_Cour!$AR:$AR,$L$2)</f>
        <v>0</v>
      </c>
      <c r="M147" s="252"/>
      <c r="N147" s="275">
        <f t="shared" si="33"/>
        <v>0</v>
      </c>
      <c r="O147" s="252"/>
      <c r="P147" s="41"/>
      <c r="Q147" s="255">
        <f>SUMIFS(BV_Data_An_Prec!$AM:$AM,BV_Data_An_Prec!$AP:$AP,$B147,BV_Data_An_Prec!$AQ:$AQ,$C147,BV_Data_An_Prec!$AR:$AR,$L$2)</f>
        <v>0</v>
      </c>
      <c r="R147" s="252"/>
      <c r="S147" s="275">
        <f t="shared" si="34"/>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444</v>
      </c>
      <c r="B148" s="41" t="s">
        <v>148</v>
      </c>
      <c r="C148" s="252" t="s">
        <v>136</v>
      </c>
      <c r="D148" s="296"/>
      <c r="E148" s="41"/>
      <c r="F148" s="253">
        <f>+INDEX('Budget original'!$A$2:$AO$501,MATCH($A148,'Budget original'!$A$2:$A$501,0),MATCH(F$2,'Budget original'!$A$2:$AO$2,0))</f>
        <v>0</v>
      </c>
      <c r="G148" s="297"/>
      <c r="H148" s="41"/>
      <c r="I148" s="253"/>
      <c r="J148" s="252"/>
      <c r="K148" s="41"/>
      <c r="L148" s="255">
        <f>SUMIFS(BV_Data_An_Cour!$AM:$AM,BV_Data_An_Cour!$AP:$AP,$B148,BV_Data_An_Cour!$AQ:$AQ,$C148,BV_Data_An_Cour!$AR:$AR,$L$2)</f>
        <v>0</v>
      </c>
      <c r="M148" s="252"/>
      <c r="N148" s="275">
        <f t="shared" si="33"/>
        <v>0</v>
      </c>
      <c r="O148" s="252"/>
      <c r="P148" s="41"/>
      <c r="Q148" s="255">
        <f>SUMIFS(BV_Data_An_Prec!$AM:$AM,BV_Data_An_Prec!$AP:$AP,$B148,BV_Data_An_Prec!$AQ:$AQ,$C148,BV_Data_An_Prec!$AR:$AR,$L$2)</f>
        <v>0</v>
      </c>
      <c r="R148" s="252"/>
      <c r="S148" s="275">
        <f t="shared" si="34"/>
        <v>0</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445</v>
      </c>
      <c r="B149" s="41" t="s">
        <v>148</v>
      </c>
      <c r="C149" s="252" t="s">
        <v>137</v>
      </c>
      <c r="D149" s="296"/>
      <c r="E149" s="41"/>
      <c r="F149" s="253">
        <f>+INDEX('Budget original'!$A$2:$AO$501,MATCH($A149,'Budget original'!$A$2:$A$501,0),MATCH(F$2,'Budget original'!$A$2:$AO$2,0))</f>
        <v>0</v>
      </c>
      <c r="G149" s="297"/>
      <c r="H149" s="41"/>
      <c r="I149" s="253"/>
      <c r="J149" s="252"/>
      <c r="K149" s="41"/>
      <c r="L149" s="255">
        <f>SUMIFS(BV_Data_An_Cour!$AM:$AM,BV_Data_An_Cour!$AP:$AP,$B149,BV_Data_An_Cour!$AQ:$AQ,$C149,BV_Data_An_Cour!$AR:$AR,$L$2)</f>
        <v>0</v>
      </c>
      <c r="M149" s="252"/>
      <c r="N149" s="275">
        <f t="shared" si="33"/>
        <v>0</v>
      </c>
      <c r="O149" s="252"/>
      <c r="P149" s="41"/>
      <c r="Q149" s="255">
        <f>SUMIFS(BV_Data_An_Prec!$AM:$AM,BV_Data_An_Prec!$AP:$AP,$B149,BV_Data_An_Prec!$AQ:$AQ,$C149,BV_Data_An_Prec!$AR:$AR,$L$2)</f>
        <v>0</v>
      </c>
      <c r="R149" s="252"/>
      <c r="S149" s="275">
        <f t="shared" si="34"/>
        <v>0</v>
      </c>
      <c r="T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
        <v>446</v>
      </c>
      <c r="B150" s="41" t="s">
        <v>148</v>
      </c>
      <c r="C150" s="252" t="s">
        <v>138</v>
      </c>
      <c r="D150" s="296"/>
      <c r="E150" s="41"/>
      <c r="F150" s="253">
        <f>+INDEX('Budget original'!$A$2:$AO$501,MATCH($A150,'Budget original'!$A$2:$A$501,0),MATCH(F$2,'Budget original'!$A$2:$AO$2,0))</f>
        <v>0</v>
      </c>
      <c r="G150" s="297"/>
      <c r="H150" s="41"/>
      <c r="I150" s="253"/>
      <c r="J150" s="252"/>
      <c r="K150" s="41"/>
      <c r="L150" s="769">
        <f>SUMIFS(BV_Data_An_Cour!$AM:$AM,BV_Data_An_Cour!$AP:$AP,$B150,BV_Data_An_Cour!$AQ:$AQ,$C150,BV_Data_An_Cour!$AR:$AR,$L$2)</f>
        <v>0</v>
      </c>
      <c r="M150" s="252"/>
      <c r="N150" s="777">
        <f t="shared" si="33"/>
        <v>0</v>
      </c>
      <c r="O150" s="252"/>
      <c r="P150" s="41"/>
      <c r="Q150" s="769">
        <f>SUMIFS(BV_Data_An_Prec!$AM:$AM,BV_Data_An_Prec!$AP:$AP,$B150,BV_Data_An_Prec!$AQ:$AQ,$C150,BV_Data_An_Prec!$AR:$AR,$L$2)</f>
        <v>0</v>
      </c>
      <c r="R150" s="252"/>
      <c r="S150" s="275">
        <f t="shared" si="34"/>
        <v>0</v>
      </c>
      <c r="T150" s="290"/>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422</v>
      </c>
      <c r="B151" s="41" t="s">
        <v>148</v>
      </c>
      <c r="C151" s="252" t="s">
        <v>55</v>
      </c>
      <c r="D151" s="296"/>
      <c r="E151" s="41"/>
      <c r="F151" s="253">
        <f>+INDEX('Budget original'!$A$2:$AO$501,MATCH($A151,'Budget original'!$A$2:$A$501,0),MATCH(F$2,'Budget original'!$A$2:$AO$2,0))</f>
        <v>0</v>
      </c>
      <c r="G151" s="297"/>
      <c r="H151" s="41"/>
      <c r="I151" s="253"/>
      <c r="J151" s="252"/>
      <c r="K151" s="41"/>
      <c r="L151" s="255">
        <f>SUMIFS(BV_Data_An_Cour!$AM:$AM,BV_Data_An_Cour!$AP:$AP,$B151,BV_Data_An_Cour!$AQ:$AQ,$C151,BV_Data_An_Cour!$AR:$AR,$L$2)</f>
        <v>0</v>
      </c>
      <c r="M151" s="252"/>
      <c r="N151" s="275">
        <f t="shared" si="33"/>
        <v>0</v>
      </c>
      <c r="O151" s="252"/>
      <c r="P151" s="41"/>
      <c r="Q151" s="255">
        <f>SUMIFS(BV_Data_An_Prec!$AM:$AM,BV_Data_An_Prec!$AP:$AP,$B151,BV_Data_An_Prec!$AQ:$AQ,$C151,BV_Data_An_Prec!$AR:$AR,$L$2)</f>
        <v>0</v>
      </c>
      <c r="R151" s="252"/>
      <c r="S151" s="275">
        <f t="shared" si="34"/>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422</v>
      </c>
      <c r="B152" s="41" t="s">
        <v>148</v>
      </c>
      <c r="C152" s="252" t="s">
        <v>55</v>
      </c>
      <c r="D152" s="296"/>
      <c r="E152" s="41"/>
      <c r="F152" s="253">
        <f>+INDEX('Budget original'!$A$2:$AO$501,MATCH($A152,'Budget original'!$A$2:$A$501,0),MATCH(F$2,'Budget original'!$A$2:$AO$2,0))</f>
        <v>0</v>
      </c>
      <c r="G152" s="297"/>
      <c r="H152" s="41"/>
      <c r="I152" s="253"/>
      <c r="J152" s="252"/>
      <c r="K152" s="41"/>
      <c r="L152" s="255">
        <f>SUMIFS(BV_Data_An_Cour!$AM:$AM,BV_Data_An_Cour!$AP:$AP,$B152,BV_Data_An_Cour!$AQ:$AQ,$C152,BV_Data_An_Cour!$AR:$AR,$L$2)</f>
        <v>0</v>
      </c>
      <c r="M152" s="252"/>
      <c r="N152" s="275">
        <f t="shared" si="33"/>
        <v>0</v>
      </c>
      <c r="O152" s="252"/>
      <c r="P152" s="41"/>
      <c r="Q152" s="255">
        <f>SUMIFS(BV_Data_An_Prec!$AM:$AM,BV_Data_An_Prec!$AP:$AP,$B152,BV_Data_An_Prec!$AQ:$AQ,$C152,BV_Data_An_Prec!$AR:$AR,$L$2)</f>
        <v>0</v>
      </c>
      <c r="R152" s="252"/>
      <c r="S152" s="275">
        <f t="shared" si="34"/>
        <v>0</v>
      </c>
      <c r="T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
        <v>422</v>
      </c>
      <c r="B153" s="41" t="s">
        <v>148</v>
      </c>
      <c r="C153" s="252" t="s">
        <v>55</v>
      </c>
      <c r="D153" s="296"/>
      <c r="E153" s="41"/>
      <c r="F153" s="253">
        <f>+INDEX('Budget original'!$A$2:$AO$501,MATCH($A153,'Budget original'!$A$2:$A$501,0),MATCH(F$2,'Budget original'!$A$2:$AO$2,0))</f>
        <v>0</v>
      </c>
      <c r="G153" s="297"/>
      <c r="H153" s="41"/>
      <c r="I153" s="253"/>
      <c r="J153" s="252"/>
      <c r="K153" s="41"/>
      <c r="L153" s="255">
        <f>SUMIFS(BV_Data_An_Cour!$AM:$AM,BV_Data_An_Cour!$AP:$AP,$B153,BV_Data_An_Cour!$AQ:$AQ,$C153,BV_Data_An_Cour!$AR:$AR,$L$2)</f>
        <v>0</v>
      </c>
      <c r="M153" s="252"/>
      <c r="N153" s="275">
        <f t="shared" si="33"/>
        <v>0</v>
      </c>
      <c r="O153" s="252"/>
      <c r="P153" s="41"/>
      <c r="Q153" s="255">
        <f>SUMIFS(BV_Data_An_Prec!$AM:$AM,BV_Data_An_Prec!$AP:$AP,$B153,BV_Data_An_Prec!$AQ:$AQ,$C153,BV_Data_An_Prec!$AR:$AR,$L$2)</f>
        <v>0</v>
      </c>
      <c r="R153" s="252"/>
      <c r="S153" s="275">
        <f t="shared" si="34"/>
        <v>0</v>
      </c>
      <c r="T153" s="290"/>
      <c r="X153" s="41"/>
      <c r="Y153" s="41"/>
      <c r="Z153" s="41"/>
      <c r="AA153" s="41"/>
      <c r="AB153" s="41"/>
      <c r="AC153" s="41"/>
      <c r="AD153" s="41"/>
      <c r="AE153" s="41"/>
      <c r="AF153" s="41"/>
      <c r="AG153" s="41"/>
      <c r="AH153" s="41"/>
      <c r="AI153" s="41"/>
      <c r="AJ153" s="41"/>
      <c r="AK153" s="41"/>
      <c r="AL153" s="41"/>
      <c r="AM153" s="41"/>
      <c r="AN153" s="41"/>
    </row>
    <row r="154" spans="1:40" ht="15.75" customHeight="1">
      <c r="A154" s="5" t="s">
        <v>447</v>
      </c>
      <c r="B154" s="41" t="s">
        <v>148</v>
      </c>
      <c r="C154" s="303" t="s">
        <v>139</v>
      </c>
      <c r="D154" s="304" t="s">
        <v>115</v>
      </c>
      <c r="E154" s="305" t="e">
        <f>F154/F$109</f>
        <v>#DIV/0!</v>
      </c>
      <c r="F154" s="306">
        <f>+SUM(F137:F153)</f>
        <v>0</v>
      </c>
      <c r="G154" s="307"/>
      <c r="H154" s="305"/>
      <c r="I154" s="306"/>
      <c r="J154" s="307" t="s">
        <v>115</v>
      </c>
      <c r="K154" s="305">
        <f>L154/L$109</f>
        <v>1.5772231203954851E-2</v>
      </c>
      <c r="L154" s="306">
        <f>+SUM(L137:L153)</f>
        <v>3565.139999999999</v>
      </c>
      <c r="M154" s="309"/>
      <c r="N154" s="306">
        <f t="shared" si="33"/>
        <v>3565.139999999999</v>
      </c>
      <c r="O154" s="307" t="s">
        <v>115</v>
      </c>
      <c r="P154" s="305" t="e">
        <f>Q154/Q$109</f>
        <v>#DIV/0!</v>
      </c>
      <c r="Q154" s="306">
        <f>+SUM(Q137:Q153)</f>
        <v>0</v>
      </c>
      <c r="R154" s="309"/>
      <c r="S154" s="306">
        <f t="shared" si="34"/>
        <v>3565.139999999999</v>
      </c>
      <c r="T154" s="317"/>
      <c r="X154" s="41"/>
      <c r="Y154" s="41"/>
      <c r="Z154" s="41"/>
      <c r="AA154" s="41"/>
      <c r="AB154" s="41"/>
      <c r="AC154" s="41"/>
      <c r="AD154" s="41"/>
      <c r="AE154" s="41"/>
      <c r="AF154" s="41"/>
      <c r="AG154" s="41"/>
      <c r="AH154" s="41"/>
      <c r="AI154" s="41"/>
      <c r="AJ154" s="41"/>
      <c r="AK154" s="41"/>
      <c r="AL154" s="41"/>
      <c r="AM154" s="41"/>
      <c r="AN154" s="41"/>
    </row>
    <row r="155" spans="1:40" ht="15.75" customHeight="1">
      <c r="A155" s="5" t="s">
        <v>148</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448</v>
      </c>
      <c r="B156" s="41" t="s">
        <v>148</v>
      </c>
      <c r="C156" s="303" t="s">
        <v>140</v>
      </c>
      <c r="D156" s="304" t="s">
        <v>115</v>
      </c>
      <c r="E156" s="305" t="e">
        <f>F156/F$109</f>
        <v>#DIV/0!</v>
      </c>
      <c r="F156" s="306">
        <f>F123+F136+F154</f>
        <v>0</v>
      </c>
      <c r="G156" s="307"/>
      <c r="H156" s="305"/>
      <c r="I156" s="306"/>
      <c r="J156" s="307" t="s">
        <v>115</v>
      </c>
      <c r="K156" s="305">
        <f>L156/L$109</f>
        <v>0.33394501233061341</v>
      </c>
      <c r="L156" s="306">
        <f>L123+L136+L154</f>
        <v>75484.610000000015</v>
      </c>
      <c r="M156" s="309"/>
      <c r="N156" s="318">
        <f t="shared" ref="N156:N163" si="35">L156-F156</f>
        <v>75484.610000000015</v>
      </c>
      <c r="O156" s="307" t="s">
        <v>115</v>
      </c>
      <c r="P156" s="305" t="e">
        <f>Q156/Q$109</f>
        <v>#DIV/0!</v>
      </c>
      <c r="Q156" s="306">
        <f>Q123+Q136+Q154</f>
        <v>0</v>
      </c>
      <c r="R156" s="309"/>
      <c r="S156" s="318">
        <f t="shared" ref="S156:S163" si="36">L156-Q156</f>
        <v>75484.610000000015</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449</v>
      </c>
      <c r="B157" s="41" t="s">
        <v>148</v>
      </c>
      <c r="C157" s="252" t="s">
        <v>154</v>
      </c>
      <c r="D157" s="354"/>
      <c r="E157" s="355"/>
      <c r="F157" s="253">
        <f>+INDEX('Budget original'!$A$2:$AO$501,MATCH($A157,'Budget original'!$A$2:$A$501,0),MATCH(F$2,'Budget original'!$A$2:$AO$2,0))</f>
        <v>0</v>
      </c>
      <c r="G157" s="356"/>
      <c r="H157" s="355"/>
      <c r="I157" s="253"/>
      <c r="J157" s="356"/>
      <c r="K157" s="355"/>
      <c r="L157" s="255">
        <v>0</v>
      </c>
      <c r="M157" s="252"/>
      <c r="N157" s="275">
        <f t="shared" si="35"/>
        <v>0</v>
      </c>
      <c r="O157" s="356"/>
      <c r="P157" s="355"/>
      <c r="Q157" s="255">
        <v>0</v>
      </c>
      <c r="R157" s="252"/>
      <c r="S157" s="275">
        <f t="shared" si="36"/>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450</v>
      </c>
      <c r="B158" s="41" t="s">
        <v>148</v>
      </c>
      <c r="C158" s="252" t="s">
        <v>155</v>
      </c>
      <c r="D158" s="354"/>
      <c r="E158" s="355"/>
      <c r="F158" s="253">
        <f>+INDEX('Budget original'!$A$2:$AO$501,MATCH($A158,'Budget original'!$A$2:$A$501,0),MATCH(F$2,'Budget original'!$A$2:$AO$2,0))</f>
        <v>0</v>
      </c>
      <c r="G158" s="356"/>
      <c r="H158" s="355"/>
      <c r="I158" s="253"/>
      <c r="J158" s="356"/>
      <c r="K158" s="355"/>
      <c r="L158" s="255">
        <f>-SUMIFS(BV_Data_An_Cour!$AM:$AM,BV_Data_An_Cour!$AP:$AP,$B158,BV_Data_An_Cour!$AQ:$AQ,$C158,BV_Data_An_Cour!$AR:$AR,$L$2)</f>
        <v>0</v>
      </c>
      <c r="M158" s="252"/>
      <c r="N158" s="275">
        <f t="shared" si="35"/>
        <v>0</v>
      </c>
      <c r="O158" s="356"/>
      <c r="P158" s="355"/>
      <c r="Q158" s="255">
        <f>-SUMIFS(BV_Data_An_Prec!$AM:$AM,BV_Data_An_Prec!$AP:$AP,$B158,BV_Data_An_Prec!$AQ:$AQ,$C158,BV_Data_An_Prec!$AR:$AR,$L$2)</f>
        <v>0</v>
      </c>
      <c r="R158" s="252"/>
      <c r="S158" s="275">
        <f t="shared" si="36"/>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451</v>
      </c>
      <c r="B159" s="41" t="s">
        <v>148</v>
      </c>
      <c r="C159" s="252" t="s">
        <v>156</v>
      </c>
      <c r="D159" s="296"/>
      <c r="E159" s="41"/>
      <c r="F159" s="253">
        <f>+INDEX('Budget original'!$A$2:$AO$501,MATCH($A159,'Budget original'!$A$2:$A$501,0),MATCH(F$2,'Budget original'!$A$2:$AO$2,0))</f>
        <v>0</v>
      </c>
      <c r="G159" s="297"/>
      <c r="H159" s="41"/>
      <c r="I159" s="253"/>
      <c r="J159" s="252"/>
      <c r="K159" s="41"/>
      <c r="L159" s="255">
        <f>-SUMIFS(BV_Data_An_Cour!$AM:$AM,BV_Data_An_Cour!$AP:$AP,$B159,BV_Data_An_Cour!$AQ:$AQ,$C159,BV_Data_An_Cour!$AR:$AR,$L$2)</f>
        <v>0</v>
      </c>
      <c r="M159" s="252"/>
      <c r="N159" s="275">
        <f t="shared" si="35"/>
        <v>0</v>
      </c>
      <c r="O159" s="252"/>
      <c r="P159" s="41"/>
      <c r="Q159" s="255">
        <f>-SUMIFS(BV_Data_An_Prec!$AM:$AM,BV_Data_An_Prec!$AP:$AP,$B159,BV_Data_An_Prec!$AQ:$AQ,$C159,BV_Data_An_Prec!$AR:$AR,$L$2)</f>
        <v>0</v>
      </c>
      <c r="R159" s="252"/>
      <c r="S159" s="275">
        <f t="shared" si="36"/>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5" t="s">
        <v>452</v>
      </c>
      <c r="B160" s="41" t="s">
        <v>148</v>
      </c>
      <c r="C160" s="252" t="s">
        <v>145</v>
      </c>
      <c r="D160" s="873" t="e">
        <f>E160/474</f>
        <v>#DIV/0!</v>
      </c>
      <c r="E160" s="321" t="e">
        <f>F160/D97</f>
        <v>#DIV/0!</v>
      </c>
      <c r="F160" s="253">
        <f>+INDEX('Budget original'!$A$2:$AO$501,MATCH($A160,'Budget original'!$A$2:$A$501,0),MATCH(F$2,'Budget original'!$A$2:$AO$2,0))</f>
        <v>0</v>
      </c>
      <c r="G160" s="297"/>
      <c r="H160" s="41"/>
      <c r="I160" s="253"/>
      <c r="J160" s="874">
        <f>K160/474</f>
        <v>0</v>
      </c>
      <c r="K160" s="321">
        <f>L160/J97</f>
        <v>0</v>
      </c>
      <c r="L160" s="255">
        <f>-SUMIFS(BV_Data_An_Cour!$AM:$AM,BV_Data_An_Cour!$AP:$AP,$B160,BV_Data_An_Cour!$AQ:$AQ,$C160,BV_Data_An_Cour!$AR:$AR,L$2)</f>
        <v>0</v>
      </c>
      <c r="M160" s="252"/>
      <c r="N160" s="275">
        <f t="shared" si="35"/>
        <v>0</v>
      </c>
      <c r="O160" s="874" t="e">
        <f>P160/474</f>
        <v>#DIV/0!</v>
      </c>
      <c r="P160" s="321" t="e">
        <f>Q160/O97</f>
        <v>#DIV/0!</v>
      </c>
      <c r="Q160" s="255">
        <f>-SUMIFS(BV_Data_An_Prec!$AM:$AM,BV_Data_An_Prec!$AP:$AP,$B160,BV_Data_An_Prec!$AQ:$AQ,$C160,BV_Data_An_Prec!$AR:$AR,Q$2)</f>
        <v>0</v>
      </c>
      <c r="R160" s="252"/>
      <c r="S160" s="275">
        <f t="shared" si="36"/>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422</v>
      </c>
      <c r="B161" s="41" t="s">
        <v>148</v>
      </c>
      <c r="C161" s="252" t="s">
        <v>55</v>
      </c>
      <c r="D161" s="296"/>
      <c r="E161" s="41"/>
      <c r="F161" s="253">
        <f>+INDEX('Budget original'!$A$2:$AO$501,MATCH($A161,'Budget original'!$A$2:$A$501,0),MATCH(F$2,'Budget original'!$A$2:$AO$2,0))</f>
        <v>0</v>
      </c>
      <c r="G161" s="297"/>
      <c r="H161" s="41"/>
      <c r="I161" s="253"/>
      <c r="J161" s="252"/>
      <c r="K161" s="41"/>
      <c r="L161" s="255">
        <f>-SUMIFS(BV_Data_An_Cour!$AM:$AM,BV_Data_An_Cour!$AP:$AP,$B161,BV_Data_An_Cour!$AQ:$AQ,$C161,BV_Data_An_Cour!$AR:$AR,$L$2)</f>
        <v>0</v>
      </c>
      <c r="M161" s="252"/>
      <c r="N161" s="275">
        <f t="shared" si="35"/>
        <v>0</v>
      </c>
      <c r="O161" s="252"/>
      <c r="P161" s="41"/>
      <c r="Q161" s="255">
        <f>-SUMIFS(BV_Data_An_Prec!$AM:$AM,BV_Data_An_Prec!$AP:$AP,$B161,BV_Data_An_Prec!$AQ:$AQ,$C161,BV_Data_An_Prec!$AR:$AR,$L$2)</f>
        <v>0</v>
      </c>
      <c r="R161" s="252"/>
      <c r="S161" s="275">
        <f t="shared" si="36"/>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422</v>
      </c>
      <c r="B162" s="41" t="s">
        <v>148</v>
      </c>
      <c r="C162" s="252" t="s">
        <v>55</v>
      </c>
      <c r="D162" s="296"/>
      <c r="E162" s="41"/>
      <c r="F162" s="253">
        <f>+INDEX('Budget original'!$A$2:$AO$501,MATCH($A162,'Budget original'!$A$2:$A$501,0),MATCH(F$2,'Budget original'!$A$2:$AO$2,0))</f>
        <v>0</v>
      </c>
      <c r="G162" s="297"/>
      <c r="H162" s="41"/>
      <c r="I162" s="253"/>
      <c r="J162" s="252"/>
      <c r="K162" s="41"/>
      <c r="L162" s="255">
        <f>-SUMIFS(BV_Data_An_Cour!$AM:$AM,BV_Data_An_Cour!$AP:$AP,$B162,BV_Data_An_Cour!$AQ:$AQ,$C162,BV_Data_An_Cour!$AR:$AR,$L$2)</f>
        <v>0</v>
      </c>
      <c r="M162" s="252"/>
      <c r="N162" s="275">
        <f t="shared" si="35"/>
        <v>0</v>
      </c>
      <c r="O162" s="252"/>
      <c r="P162" s="41"/>
      <c r="Q162" s="255">
        <f>-SUMIFS(BV_Data_An_Prec!$AM:$AM,BV_Data_An_Prec!$AP:$AP,$B162,BV_Data_An_Prec!$AQ:$AQ,$C162,BV_Data_An_Prec!$AR:$AR,$L$2)</f>
        <v>0</v>
      </c>
      <c r="R162" s="252"/>
      <c r="S162" s="275">
        <f t="shared" si="36"/>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
        <v>422</v>
      </c>
      <c r="B163" s="41" t="s">
        <v>148</v>
      </c>
      <c r="C163" s="245" t="s">
        <v>55</v>
      </c>
      <c r="D163" s="298"/>
      <c r="E163" s="316"/>
      <c r="F163" s="253">
        <f>+INDEX('Budget original'!$A$2:$AO$501,MATCH($A163,'Budget original'!$A$2:$A$501,0),MATCH(F$2,'Budget original'!$A$2:$AO$2,0))</f>
        <v>0</v>
      </c>
      <c r="G163" s="297"/>
      <c r="H163" s="41"/>
      <c r="I163" s="253"/>
      <c r="J163" s="252"/>
      <c r="K163" s="41"/>
      <c r="L163" s="255">
        <f>-SUMIFS(BV_Data_An_Cour!$AM:$AM,BV_Data_An_Cour!$AP:$AP,$B163,BV_Data_An_Cour!$AQ:$AQ,$C163,BV_Data_An_Cour!$AR:$AR,$L$2)</f>
        <v>0</v>
      </c>
      <c r="M163" s="252"/>
      <c r="N163" s="275">
        <f t="shared" si="35"/>
        <v>0</v>
      </c>
      <c r="O163" s="252"/>
      <c r="P163" s="41"/>
      <c r="Q163" s="255">
        <f>-SUMIFS(BV_Data_An_Prec!$AM:$AM,BV_Data_An_Prec!$AP:$AP,$B163,BV_Data_An_Prec!$AQ:$AQ,$C163,BV_Data_An_Prec!$AR:$AR,$L$2)</f>
        <v>0</v>
      </c>
      <c r="R163" s="252"/>
      <c r="S163" s="275">
        <f t="shared" si="36"/>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30" t="s">
        <v>147</v>
      </c>
      <c r="D166" s="358"/>
      <c r="E166" s="331"/>
      <c r="F166" s="333">
        <f>F109-F156+F164</f>
        <v>0</v>
      </c>
      <c r="G166" s="359"/>
      <c r="H166" s="331"/>
      <c r="I166" s="333"/>
      <c r="J166" s="330"/>
      <c r="K166" s="332"/>
      <c r="L166" s="333">
        <f>L109-L156+L164</f>
        <v>150554.43</v>
      </c>
      <c r="M166" s="330"/>
      <c r="N166" s="333">
        <f>L166-F166</f>
        <v>150554.43</v>
      </c>
      <c r="O166" s="330"/>
      <c r="P166" s="332"/>
      <c r="Q166" s="333">
        <f>Q109-Q156+Q164</f>
        <v>0</v>
      </c>
      <c r="R166" s="330"/>
      <c r="S166" s="333">
        <f>L166-Q166</f>
        <v>150554.43</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94"/>
      <c r="G167" s="38"/>
      <c r="H167" s="38"/>
      <c r="I167" s="38"/>
      <c r="J167" s="38"/>
      <c r="K167" s="38"/>
      <c r="L167" s="94"/>
      <c r="M167" s="38"/>
      <c r="N167" s="38"/>
      <c r="O167" s="38"/>
      <c r="P167" s="38"/>
      <c r="Q167" s="38"/>
      <c r="R167" s="94"/>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8.2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37" t="str">
        <f>C1</f>
        <v>Hyundai</v>
      </c>
      <c r="D169" s="231"/>
      <c r="E169" s="231"/>
      <c r="F169" s="231"/>
      <c r="G169" s="231"/>
      <c r="H169" s="36"/>
      <c r="I169" s="36"/>
      <c r="J169" s="36"/>
      <c r="K169" s="9" t="s">
        <v>157</v>
      </c>
      <c r="L169" s="231"/>
      <c r="M169" s="231"/>
      <c r="N169" s="36"/>
      <c r="O169" s="36"/>
      <c r="P169" s="231"/>
      <c r="Q169" s="36"/>
      <c r="R169" s="231"/>
      <c r="S169" s="10" t="str">
        <f>$S$1</f>
        <v>Réalisé, Mai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AA171" s="38"/>
      <c r="AB171" s="38"/>
      <c r="AC171" s="38"/>
      <c r="AD171" s="38"/>
      <c r="AE171" s="38"/>
      <c r="AF171" s="38"/>
      <c r="AG171" s="38"/>
      <c r="AH171" s="38"/>
      <c r="AI171" s="38"/>
      <c r="AJ171" s="38"/>
      <c r="AK171" s="38"/>
      <c r="AL171" s="38"/>
      <c r="AM171" s="38"/>
      <c r="AN171" s="38"/>
    </row>
    <row r="172" spans="1:40" ht="15.75" customHeight="1">
      <c r="A172" s="5" t="s">
        <v>157</v>
      </c>
      <c r="B172" s="41" t="s">
        <v>157</v>
      </c>
      <c r="C172" s="252"/>
      <c r="D172" s="39" t="s">
        <v>158</v>
      </c>
      <c r="E172" s="39" t="s">
        <v>159</v>
      </c>
      <c r="F172" s="338" t="s">
        <v>91</v>
      </c>
      <c r="G172" s="339"/>
      <c r="H172" s="39"/>
      <c r="I172" s="338"/>
      <c r="J172" s="339" t="s">
        <v>158</v>
      </c>
      <c r="K172" s="39" t="s">
        <v>159</v>
      </c>
      <c r="L172" s="338" t="s">
        <v>91</v>
      </c>
      <c r="M172" s="339" t="s">
        <v>523</v>
      </c>
      <c r="N172" s="338" t="s">
        <v>682</v>
      </c>
      <c r="O172" s="339" t="s">
        <v>158</v>
      </c>
      <c r="P172" s="39" t="s">
        <v>159</v>
      </c>
      <c r="Q172" s="338" t="s">
        <v>91</v>
      </c>
      <c r="R172" s="339" t="s">
        <v>453</v>
      </c>
      <c r="S172" s="338" t="s">
        <v>91</v>
      </c>
      <c r="T172" s="39"/>
      <c r="AA172" s="41"/>
      <c r="AB172" s="41"/>
      <c r="AC172" s="41"/>
      <c r="AD172" s="41"/>
      <c r="AE172" s="41"/>
      <c r="AF172" s="41"/>
      <c r="AG172" s="41"/>
      <c r="AH172" s="41"/>
      <c r="AI172" s="41"/>
      <c r="AJ172" s="41"/>
      <c r="AK172" s="41"/>
      <c r="AL172" s="41"/>
      <c r="AM172" s="41"/>
      <c r="AN172" s="41"/>
    </row>
    <row r="173" spans="1:40" ht="15.75" customHeight="1">
      <c r="A173" s="5" t="s">
        <v>454</v>
      </c>
      <c r="B173" s="41" t="s">
        <v>157</v>
      </c>
      <c r="C173" s="252" t="s">
        <v>160</v>
      </c>
      <c r="D173" s="290">
        <f>+INDEX('Budget original'!$A$2:$AO$501,MATCH($A173,'Budget original'!$A$2:$A$501,0),MATCH(D$2,'Budget original'!$A$2:$AO$2,0))</f>
        <v>0</v>
      </c>
      <c r="E173" s="290">
        <f>+INDEX('Budget original'!$A$2:$AO$501,MATCH($A173,'Budget original'!$A$2:$A$501,0),MATCH(E$2,'Budget original'!$A$2:$AO$2,0))</f>
        <v>0</v>
      </c>
      <c r="F173" s="290">
        <f>+INDEX('Budget original'!$A$2:$AO$501,MATCH($A173,'Budget original'!$A$2:$A$501,0),MATCH(F$2,'Budget original'!$A$2:$AO$2,0))</f>
        <v>0</v>
      </c>
      <c r="G173" s="276"/>
      <c r="H173" s="290"/>
      <c r="I173" s="290"/>
      <c r="J173" s="254">
        <f>SUMIFS(BV_Data_An_Cour!$AW:$AW,BV_Data_An_Cour!$AP:$AP,$B173,BV_Data_An_Cour!$AQ:$AQ,$C173,BV_Data_An_Cour!$AY:$AY,J$2)</f>
        <v>967</v>
      </c>
      <c r="K173" s="253">
        <f>-SUMIFS(BV_Data_An_Cour!$AM:$AM,BV_Data_An_Cour!$AS:$AS,"Oui",BV_Data_An_Cour!$AP:$AP,$B173,BV_Data_An_Cour!$AQ:$AQ,$C173)</f>
        <v>156218.44999999995</v>
      </c>
      <c r="L173" s="255">
        <f>-SUMIFS(BV_Data_An_Cour!$AM:$AM,BV_Data_An_Cour!$AP:$AP,$B173,BV_Data_An_Cour!$AQ:$AQ,$C173,BV_Data_An_Cour!$AR:$AR,$L$2)</f>
        <v>127165.24999999996</v>
      </c>
      <c r="M173" s="291" t="e">
        <f>(K173-E173)/E173</f>
        <v>#DIV/0!</v>
      </c>
      <c r="N173" s="275">
        <f>L173-F173</f>
        <v>127165.24999999996</v>
      </c>
      <c r="O173" s="254">
        <f>SUMIFS(BV_Data_An_Prec!$AW:$AW,BV_Data_An_Prec!$AP:$AP,$B173,BV_Data_An_Prec!$AQ:$AQ,$C173,BV_Data_An_Prec!$AY:$AY,O$2)</f>
        <v>0</v>
      </c>
      <c r="P173" s="253">
        <f>-SUMIFS(BV_Data_An_Prec!$AM:$AM,BV_Data_An_Prec!$AS:$AS,"Oui",BV_Data_An_Prec!$AP:$AP,$B173,BV_Data_An_Prec!$AQ:$AQ,$C173)</f>
        <v>0</v>
      </c>
      <c r="Q173" s="255">
        <f>-SUMIFS(BV_Data_An_Prec!$AM:$AM,BV_Data_An_Prec!$AP:$AP,$B173,BV_Data_An_Prec!$AQ:$AQ,$C173,BV_Data_An_Prec!$AR:$AR,$L$2)</f>
        <v>0</v>
      </c>
      <c r="R173" s="291">
        <f>IF(O173=0,0,J173/O173)</f>
        <v>0</v>
      </c>
      <c r="S173" s="275">
        <f>L173-Q173</f>
        <v>127165.24999999996</v>
      </c>
      <c r="T173" s="290"/>
      <c r="AA173" s="41"/>
      <c r="AB173" s="41"/>
      <c r="AC173" s="41"/>
      <c r="AD173" s="41"/>
      <c r="AE173" s="41"/>
      <c r="AF173" s="41"/>
      <c r="AG173" s="41"/>
      <c r="AH173" s="41"/>
      <c r="AI173" s="41"/>
      <c r="AJ173" s="41"/>
      <c r="AK173" s="41"/>
      <c r="AL173" s="41"/>
      <c r="AM173" s="41"/>
      <c r="AN173" s="41"/>
    </row>
    <row r="174" spans="1:40" ht="15.75" customHeight="1">
      <c r="A174" s="5" t="s">
        <v>455</v>
      </c>
      <c r="B174" s="41" t="s">
        <v>157</v>
      </c>
      <c r="C174" s="252" t="s">
        <v>161</v>
      </c>
      <c r="D174" s="290"/>
      <c r="E174" s="347"/>
      <c r="F174" s="360" t="e">
        <f>F173/E173</f>
        <v>#DIV/0!</v>
      </c>
      <c r="G174" s="276"/>
      <c r="H174" s="347"/>
      <c r="I174" s="360"/>
      <c r="J174" s="276"/>
      <c r="K174" s="41"/>
      <c r="L174" s="360">
        <f>IF(L173=0,0,L173/K173)</f>
        <v>0.81402196731564036</v>
      </c>
      <c r="M174" s="291"/>
      <c r="N174" s="275"/>
      <c r="O174" s="276"/>
      <c r="P174" s="41"/>
      <c r="Q174" s="360">
        <f>IF(Q173=0,0,Q173/P173)</f>
        <v>0</v>
      </c>
      <c r="R174" s="276"/>
      <c r="S174" s="275"/>
      <c r="T174" s="290"/>
      <c r="AA174" s="41"/>
      <c r="AB174" s="41"/>
      <c r="AC174" s="41"/>
      <c r="AD174" s="41"/>
      <c r="AE174" s="41"/>
      <c r="AF174" s="41"/>
      <c r="AG174" s="41"/>
      <c r="AH174" s="41"/>
      <c r="AI174" s="41"/>
      <c r="AJ174" s="41"/>
      <c r="AK174" s="41"/>
      <c r="AL174" s="41"/>
      <c r="AM174" s="41"/>
      <c r="AN174" s="41"/>
    </row>
    <row r="175" spans="1:40" ht="15.75" customHeight="1">
      <c r="A175" s="5" t="s">
        <v>157</v>
      </c>
      <c r="B175" s="41" t="s">
        <v>157</v>
      </c>
      <c r="C175" s="245"/>
      <c r="D175" s="293"/>
      <c r="E175" s="361">
        <f>IFERROR(E173/D173,0)</f>
        <v>0</v>
      </c>
      <c r="F175" s="362"/>
      <c r="G175" s="363"/>
      <c r="H175" s="361"/>
      <c r="I175" s="362"/>
      <c r="J175" s="363"/>
      <c r="K175" s="361">
        <f>IFERROR(K173/J173,0)</f>
        <v>161.54958634953459</v>
      </c>
      <c r="L175" s="362"/>
      <c r="M175" s="294"/>
      <c r="N175" s="295"/>
      <c r="O175" s="363"/>
      <c r="P175" s="361">
        <f>IFERROR(P173/O173,0)</f>
        <v>0</v>
      </c>
      <c r="Q175" s="362"/>
      <c r="R175" s="363"/>
      <c r="S175" s="295"/>
      <c r="T175" s="290"/>
      <c r="AA175" s="41"/>
      <c r="AB175" s="41"/>
      <c r="AC175" s="41"/>
      <c r="AD175" s="41"/>
      <c r="AE175" s="41"/>
      <c r="AF175" s="41"/>
      <c r="AG175" s="41"/>
      <c r="AH175" s="41"/>
      <c r="AI175" s="41"/>
      <c r="AJ175" s="41"/>
      <c r="AK175" s="41"/>
      <c r="AL175" s="41"/>
      <c r="AM175" s="41"/>
      <c r="AN175" s="41"/>
    </row>
    <row r="176" spans="1:40" ht="18" customHeight="1">
      <c r="A176" s="5" t="s">
        <v>456</v>
      </c>
      <c r="B176" s="41" t="s">
        <v>157</v>
      </c>
      <c r="C176" s="240" t="s">
        <v>162</v>
      </c>
      <c r="D176" s="364">
        <f>+INDEX('Budget original'!$A$2:$AO$501,MATCH($A176,'Budget original'!$A$2:$A$501,0),MATCH(D$2,'Budget original'!$A$2:$AO$2,0))</f>
        <v>0</v>
      </c>
      <c r="E176" s="290">
        <f>+INDEX('Budget original'!$A$2:$AO$501,MATCH($A176,'Budget original'!$A$2:$A$501,0),MATCH(E$2,'Budget original'!$A$2:$AO$2,0))</f>
        <v>0</v>
      </c>
      <c r="F176" s="290">
        <f>+INDEX('Budget original'!$A$2:$AO$501,MATCH($A176,'Budget original'!$A$2:$A$501,0),MATCH(F$2,'Budget original'!$A$2:$AO$2,0))</f>
        <v>0</v>
      </c>
      <c r="G176" s="365"/>
      <c r="H176" s="290"/>
      <c r="I176" s="290"/>
      <c r="J176" s="254">
        <f>SUMIFS(BV_Data_An_Cour!$AW:$AW,BV_Data_An_Cour!$AP:$AP,$B176,BV_Data_An_Cour!$AQ:$AQ,$C176,BV_Data_An_Cour!$AY:$AY,J$2)</f>
        <v>240</v>
      </c>
      <c r="K176" s="270">
        <f>-SUMIFS(BV_Data_An_Cour!$AM:$AM,BV_Data_An_Cour!$AS:$AS,"Oui",BV_Data_An_Cour!$AP:$AP,$B176,BV_Data_An_Cour!$AQ:$AQ,$C176)</f>
        <v>37678.109999999986</v>
      </c>
      <c r="L176" s="255">
        <f>-SUMIFS(BV_Data_An_Cour!$AM:$AM,BV_Data_An_Cour!$AP:$AP,$B176,BV_Data_An_Cour!$AQ:$AQ,$C176,BV_Data_An_Cour!$AR:$AR,$L$2)</f>
        <v>27925.819999999985</v>
      </c>
      <c r="M176" s="291" t="e">
        <f>(K176-E176)/E176</f>
        <v>#DIV/0!</v>
      </c>
      <c r="N176" s="315">
        <f>L176-F176</f>
        <v>27925.819999999985</v>
      </c>
      <c r="O176" s="254">
        <f>SUMIFS(BV_Data_An_Prec!$AW:$AW,BV_Data_An_Prec!$AP:$AP,$B176,BV_Data_An_Prec!$AQ:$AQ,$C176,BV_Data_An_Prec!$AY:$AY,O$2)</f>
        <v>0</v>
      </c>
      <c r="P176" s="270">
        <f>-SUMIFS(BV_Data_An_Prec!$AM:$AM,BV_Data_An_Prec!$AS:$AS,"Oui",BV_Data_An_Prec!$AP:$AP,$B176,BV_Data_An_Prec!$AQ:$AQ,$C176)</f>
        <v>0</v>
      </c>
      <c r="Q176" s="255">
        <f>-SUMIFS(BV_Data_An_Prec!$AM:$AM,BV_Data_An_Prec!$AP:$AP,$B176,BV_Data_An_Prec!$AQ:$AQ,$C176,BV_Data_An_Prec!$AR:$AR,$L$2)</f>
        <v>0</v>
      </c>
      <c r="R176" s="291">
        <f>IF(O176=0,0,J176/O176)</f>
        <v>0</v>
      </c>
      <c r="S176" s="275">
        <f>L176-Q176</f>
        <v>27925.819999999985</v>
      </c>
      <c r="T176" s="290"/>
      <c r="U176" s="41"/>
      <c r="V176" s="253"/>
      <c r="W176" s="41"/>
      <c r="AA176" s="41"/>
      <c r="AB176" s="41"/>
      <c r="AC176" s="41"/>
      <c r="AD176" s="41"/>
      <c r="AE176" s="41"/>
      <c r="AF176" s="41"/>
      <c r="AG176" s="41"/>
      <c r="AH176" s="41"/>
      <c r="AI176" s="41"/>
      <c r="AJ176" s="41"/>
      <c r="AK176" s="41"/>
      <c r="AL176" s="41"/>
      <c r="AM176" s="41"/>
      <c r="AN176" s="41"/>
    </row>
    <row r="177" spans="1:40" ht="15.75" customHeight="1">
      <c r="A177" s="5" t="s">
        <v>455</v>
      </c>
      <c r="B177" s="41" t="s">
        <v>157</v>
      </c>
      <c r="C177" s="252" t="s">
        <v>161</v>
      </c>
      <c r="D177" s="41"/>
      <c r="E177" s="41"/>
      <c r="F177" s="360" t="e">
        <f>F176/E176</f>
        <v>#DIV/0!</v>
      </c>
      <c r="G177" s="252"/>
      <c r="H177" s="41"/>
      <c r="I177" s="360"/>
      <c r="J177" s="252"/>
      <c r="K177" s="41"/>
      <c r="L177" s="360">
        <f>IF(L176=0,0,L176/K176)</f>
        <v>0.74116828046842043</v>
      </c>
      <c r="M177" s="263"/>
      <c r="N177" s="264"/>
      <c r="O177" s="252"/>
      <c r="P177" s="41"/>
      <c r="Q177" s="360">
        <f>IF(Q176=0,0,Q176/P176)</f>
        <v>0</v>
      </c>
      <c r="R177" s="263"/>
      <c r="S177" s="264"/>
      <c r="T177" s="41"/>
      <c r="U177" s="41"/>
      <c r="V177" s="253"/>
      <c r="W177" s="366"/>
      <c r="AA177" s="41"/>
      <c r="AB177" s="41"/>
      <c r="AC177" s="41"/>
      <c r="AD177" s="41"/>
      <c r="AE177" s="41"/>
      <c r="AF177" s="41"/>
      <c r="AG177" s="41"/>
      <c r="AH177" s="41"/>
      <c r="AI177" s="41"/>
      <c r="AJ177" s="41"/>
      <c r="AK177" s="41"/>
      <c r="AL177" s="41"/>
      <c r="AM177" s="41"/>
      <c r="AN177" s="41"/>
    </row>
    <row r="178" spans="1:40" ht="15.75" customHeight="1">
      <c r="A178" s="5" t="s">
        <v>157</v>
      </c>
      <c r="B178" s="41" t="s">
        <v>157</v>
      </c>
      <c r="C178" s="245"/>
      <c r="D178" s="316"/>
      <c r="E178" s="361">
        <f>IFERROR(E176/D176,0)</f>
        <v>0</v>
      </c>
      <c r="F178" s="362"/>
      <c r="G178" s="363"/>
      <c r="H178" s="361"/>
      <c r="I178" s="362"/>
      <c r="J178" s="363"/>
      <c r="K178" s="361">
        <f>IFERROR(K176/J176,0)</f>
        <v>156.99212499999993</v>
      </c>
      <c r="L178" s="362"/>
      <c r="M178" s="294"/>
      <c r="N178" s="295"/>
      <c r="O178" s="363"/>
      <c r="P178" s="361">
        <f>IFERROR(P176/O176,0)</f>
        <v>0</v>
      </c>
      <c r="Q178" s="362"/>
      <c r="R178" s="367"/>
      <c r="S178" s="368"/>
      <c r="T178" s="41"/>
      <c r="AA178" s="41"/>
      <c r="AB178" s="41"/>
      <c r="AC178" s="41"/>
      <c r="AD178" s="41"/>
      <c r="AE178" s="41"/>
      <c r="AF178" s="41"/>
      <c r="AG178" s="41"/>
      <c r="AH178" s="41"/>
      <c r="AI178" s="41"/>
      <c r="AJ178" s="41"/>
      <c r="AK178" s="41"/>
      <c r="AL178" s="41"/>
      <c r="AM178" s="41"/>
      <c r="AN178" s="41"/>
    </row>
    <row r="179" spans="1:40" ht="15.75" customHeight="1">
      <c r="A179" s="5" t="s">
        <v>457</v>
      </c>
      <c r="B179" s="41" t="s">
        <v>157</v>
      </c>
      <c r="C179" s="252" t="s">
        <v>163</v>
      </c>
      <c r="D179" s="290">
        <f>+INDEX('Budget original'!$A$2:$AO$501,MATCH($A179,'Budget original'!$A$2:$A$501,0),MATCH(D$2,'Budget original'!$A$2:$AO$2,0))</f>
        <v>0</v>
      </c>
      <c r="E179" s="290">
        <f>+INDEX('Budget original'!$A$2:$AO$501,MATCH($A179,'Budget original'!$A$2:$A$501,0),MATCH(E$2,'Budget original'!$A$2:$AO$2,0))</f>
        <v>0</v>
      </c>
      <c r="F179" s="290">
        <f>+INDEX('Budget original'!$A$2:$AO$501,MATCH($A179,'Budget original'!$A$2:$A$501,0),MATCH(F$2,'Budget original'!$A$2:$AO$2,0))</f>
        <v>0</v>
      </c>
      <c r="G179" s="276"/>
      <c r="H179" s="290"/>
      <c r="I179" s="290"/>
      <c r="J179" s="254">
        <f>SUMIFS(BV_Data_An_Cour!$AW:$AW,BV_Data_An_Cour!$AP:$AP,$B179,BV_Data_An_Cour!$AQ:$AQ,$C179,BV_Data_An_Cour!$AY:$AY,J$2)</f>
        <v>165</v>
      </c>
      <c r="K179" s="270">
        <f>-SUMIFS(BV_Data_An_Cour!$AM:$AM,BV_Data_An_Cour!$AS:$AS,"Oui",BV_Data_An_Cour!$AP:$AP,$B179,BV_Data_An_Cour!$AQ:$AQ,$C179)</f>
        <v>24511.869999999995</v>
      </c>
      <c r="L179" s="255">
        <f>-SUMIFS(BV_Data_An_Cour!$AM:$AM,BV_Data_An_Cour!$AP:$AP,$B179,BV_Data_An_Cour!$AQ:$AQ,$C179,BV_Data_An_Cour!$AR:$AR,$L$2)</f>
        <v>19938.209999999995</v>
      </c>
      <c r="M179" s="291" t="e">
        <f>(K179-E179)/E179</f>
        <v>#DIV/0!</v>
      </c>
      <c r="N179" s="275">
        <f>L179-F179</f>
        <v>19938.209999999995</v>
      </c>
      <c r="O179" s="254">
        <f>SUMIFS(BV_Data_An_Prec!$AW:$AW,BV_Data_An_Prec!$AP:$AP,$B179,BV_Data_An_Prec!$AQ:$AQ,$C179,BV_Data_An_Prec!$AY:$AY,O$2)</f>
        <v>0</v>
      </c>
      <c r="P179" s="270">
        <f>-SUMIFS(BV_Data_An_Prec!$AM:$AM,BV_Data_An_Prec!$AS:$AS,"Oui",BV_Data_An_Prec!$AP:$AP,$B179,BV_Data_An_Prec!$AQ:$AQ,$C179)</f>
        <v>0</v>
      </c>
      <c r="Q179" s="255">
        <f>-SUMIFS(BV_Data_An_Prec!$AM:$AM,BV_Data_An_Prec!$AP:$AP,$B179,BV_Data_An_Prec!$AQ:$AQ,$C179,BV_Data_An_Prec!$AR:$AR,$L$2)</f>
        <v>0</v>
      </c>
      <c r="R179" s="291">
        <f>IF(O179=0,0,J179/O179)</f>
        <v>0</v>
      </c>
      <c r="S179" s="275">
        <f>L179-Q179</f>
        <v>19938.209999999995</v>
      </c>
      <c r="T179" s="290"/>
      <c r="AA179" s="41"/>
      <c r="AB179" s="41"/>
      <c r="AC179" s="41"/>
      <c r="AD179" s="41"/>
      <c r="AE179" s="41"/>
      <c r="AF179" s="41"/>
      <c r="AG179" s="41"/>
      <c r="AH179" s="41"/>
      <c r="AI179" s="41"/>
      <c r="AJ179" s="41"/>
      <c r="AK179" s="41"/>
      <c r="AL179" s="41"/>
      <c r="AM179" s="41"/>
      <c r="AN179" s="41"/>
    </row>
    <row r="180" spans="1:40" ht="15.75" customHeight="1">
      <c r="A180" s="5" t="s">
        <v>455</v>
      </c>
      <c r="B180" s="41" t="s">
        <v>157</v>
      </c>
      <c r="C180" s="252" t="s">
        <v>161</v>
      </c>
      <c r="D180" s="290"/>
      <c r="E180" s="347"/>
      <c r="F180" s="360" t="e">
        <f>F179/E179</f>
        <v>#DIV/0!</v>
      </c>
      <c r="G180" s="276"/>
      <c r="H180" s="347"/>
      <c r="I180" s="360"/>
      <c r="J180" s="276"/>
      <c r="K180" s="347"/>
      <c r="L180" s="360">
        <f>IF(L179=0,0,L179/K179)</f>
        <v>0.81341040075685778</v>
      </c>
      <c r="M180" s="291"/>
      <c r="N180" s="275" t="e">
        <f>L180-F180</f>
        <v>#DIV/0!</v>
      </c>
      <c r="O180" s="276"/>
      <c r="P180" s="347"/>
      <c r="Q180" s="360">
        <f>IF(Q179=0,0,Q179/P179)</f>
        <v>0</v>
      </c>
      <c r="R180" s="276">
        <f>O180-K180</f>
        <v>0</v>
      </c>
      <c r="S180" s="275"/>
      <c r="T180" s="290"/>
      <c r="AA180" s="41"/>
      <c r="AB180" s="41"/>
      <c r="AC180" s="41"/>
      <c r="AD180" s="41"/>
      <c r="AE180" s="41"/>
      <c r="AF180" s="41"/>
      <c r="AG180" s="41"/>
      <c r="AH180" s="41"/>
      <c r="AI180" s="41"/>
      <c r="AJ180" s="41"/>
      <c r="AK180" s="41"/>
      <c r="AL180" s="41"/>
      <c r="AM180" s="41"/>
      <c r="AN180" s="41"/>
    </row>
    <row r="181" spans="1:40" ht="15.75" customHeight="1">
      <c r="A181" s="5" t="s">
        <v>157</v>
      </c>
      <c r="B181" s="41" t="s">
        <v>157</v>
      </c>
      <c r="C181" s="252"/>
      <c r="D181" s="290"/>
      <c r="E181" s="361">
        <f>IFERROR(E179/D179,0)</f>
        <v>0</v>
      </c>
      <c r="F181" s="362"/>
      <c r="G181" s="363"/>
      <c r="H181" s="361"/>
      <c r="I181" s="362"/>
      <c r="J181" s="363"/>
      <c r="K181" s="361">
        <f>IFERROR(K179/J179,0)</f>
        <v>148.55678787878784</v>
      </c>
      <c r="L181" s="362"/>
      <c r="M181" s="294"/>
      <c r="N181" s="295"/>
      <c r="O181" s="363"/>
      <c r="P181" s="361">
        <f>IFERROR(P179/O179,0)</f>
        <v>0</v>
      </c>
      <c r="Q181" s="362"/>
      <c r="R181" s="363"/>
      <c r="S181" s="275"/>
      <c r="T181" s="290"/>
      <c r="U181" s="815"/>
      <c r="AA181" s="41"/>
      <c r="AB181" s="41"/>
      <c r="AC181" s="41"/>
      <c r="AD181" s="41"/>
      <c r="AE181" s="41"/>
      <c r="AF181" s="41"/>
      <c r="AG181" s="41"/>
      <c r="AH181" s="41"/>
      <c r="AI181" s="41"/>
      <c r="AJ181" s="41"/>
      <c r="AK181" s="41"/>
      <c r="AL181" s="41"/>
      <c r="AM181" s="41"/>
      <c r="AN181" s="41"/>
    </row>
    <row r="182" spans="1:40" ht="15.75" customHeight="1">
      <c r="A182" s="5" t="s">
        <v>458</v>
      </c>
      <c r="B182" s="41" t="s">
        <v>157</v>
      </c>
      <c r="C182" s="240" t="s">
        <v>164</v>
      </c>
      <c r="D182" s="364">
        <f>+INDEX('Budget original'!$A$2:$AO$501,MATCH($A182,'Budget original'!$A$2:$A$501,0),MATCH(D$2,'Budget original'!$A$2:$AO$2,0))</f>
        <v>0</v>
      </c>
      <c r="E182" s="290">
        <f>+INDEX('Budget original'!$A$2:$AO$501,MATCH($A182,'Budget original'!$A$2:$A$501,0),MATCH(E$2,'Budget original'!$A$2:$AO$2,0))</f>
        <v>0</v>
      </c>
      <c r="F182" s="290">
        <f>+INDEX('Budget original'!$A$2:$AO$501,MATCH($A182,'Budget original'!$A$2:$A$501,0),MATCH(F$2,'Budget original'!$A$2:$AO$2,0))</f>
        <v>0</v>
      </c>
      <c r="G182" s="365"/>
      <c r="H182" s="290"/>
      <c r="I182" s="290"/>
      <c r="J182" s="254">
        <f>SUMIFS(BV_Data_An_Cour!$AW:$AW,BV_Data_An_Cour!$AP:$AP,$B182,BV_Data_An_Cour!$AQ:$AQ,$C182,BV_Data_An_Cour!$AY:$AY,J$2)</f>
        <v>0</v>
      </c>
      <c r="K182" s="270">
        <f>-SUMIFS(BV_Data_An_Cour!$AM:$AM,BV_Data_An_Cour!$AS:$AS,"Oui",BV_Data_An_Cour!$AP:$AP,$B182,BV_Data_An_Cour!$AQ:$AQ,$C182)</f>
        <v>0</v>
      </c>
      <c r="L182" s="271">
        <f>-SUMIFS(BV_Data_An_Cour!$AM:$AM,BV_Data_An_Cour!$AP:$AP,$B182,BV_Data_An_Cour!$AQ:$AQ,$C182,BV_Data_An_Cour!$AR:$AR,$L$2)</f>
        <v>0</v>
      </c>
      <c r="M182" s="369">
        <f>IF(E182=0,0,(K182-E182)/E182)</f>
        <v>0</v>
      </c>
      <c r="N182" s="315">
        <f>L182-F182</f>
        <v>0</v>
      </c>
      <c r="O182" s="254">
        <f>SUMIFS(BV_Data_An_Prec!$AW:$AW,BV_Data_An_Prec!$AP:$AP,$B182,BV_Data_An_Prec!$AQ:$AQ,$C182,BV_Data_An_Prec!$AY:$AY,O$2)</f>
        <v>0</v>
      </c>
      <c r="P182" s="270">
        <f>-SUMIFS(BV_Data_An_Prec!$AM:$AM,BV_Data_An_Prec!$AS:$AS,"Oui",BV_Data_An_Prec!$AP:$AP,$B182,BV_Data_An_Prec!$AQ:$AQ,$C182)</f>
        <v>0</v>
      </c>
      <c r="Q182" s="271">
        <f>-SUMIFS(BV_Data_An_Prec!$AM:$AM,BV_Data_An_Prec!$AP:$AP,$B182,BV_Data_An_Prec!$AQ:$AQ,$C182,BV_Data_An_Prec!$AR:$AR,$L$2)</f>
        <v>0</v>
      </c>
      <c r="R182" s="291">
        <f>IF(O182=0,0,J182/O182)</f>
        <v>0</v>
      </c>
      <c r="S182" s="315">
        <f>L182-Q182</f>
        <v>0</v>
      </c>
      <c r="T182" s="290"/>
      <c r="U182" s="815"/>
      <c r="AA182" s="41"/>
      <c r="AB182" s="41"/>
      <c r="AC182" s="41"/>
      <c r="AD182" s="41"/>
      <c r="AE182" s="41"/>
      <c r="AF182" s="41"/>
      <c r="AG182" s="41"/>
      <c r="AH182" s="41"/>
      <c r="AI182" s="41"/>
      <c r="AJ182" s="41"/>
      <c r="AK182" s="41"/>
      <c r="AL182" s="41"/>
      <c r="AM182" s="41"/>
      <c r="AN182" s="41"/>
    </row>
    <row r="183" spans="1:40" ht="15.75" customHeight="1">
      <c r="A183" s="5" t="s">
        <v>455</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815"/>
      <c r="AA183" s="41"/>
      <c r="AB183" s="41"/>
      <c r="AC183" s="41"/>
      <c r="AD183" s="41"/>
      <c r="AE183" s="41"/>
      <c r="AF183" s="41"/>
      <c r="AG183" s="41"/>
      <c r="AH183" s="41"/>
      <c r="AI183" s="41"/>
      <c r="AJ183" s="41"/>
      <c r="AK183" s="41"/>
      <c r="AL183" s="41"/>
      <c r="AM183" s="41"/>
      <c r="AN183" s="41"/>
    </row>
    <row r="184" spans="1:40" ht="15.75" customHeight="1">
      <c r="A184" s="5" t="s">
        <v>157</v>
      </c>
      <c r="B184" s="41" t="s">
        <v>157</v>
      </c>
      <c r="C184" s="245"/>
      <c r="D184" s="373"/>
      <c r="E184" s="374"/>
      <c r="F184" s="362"/>
      <c r="G184" s="265"/>
      <c r="H184" s="374"/>
      <c r="I184" s="362"/>
      <c r="J184" s="375"/>
      <c r="K184" s="249"/>
      <c r="L184" s="362"/>
      <c r="M184" s="363"/>
      <c r="N184" s="376"/>
      <c r="O184" s="375"/>
      <c r="P184" s="249"/>
      <c r="Q184" s="362"/>
      <c r="R184" s="245"/>
      <c r="S184" s="376"/>
      <c r="T184" s="317"/>
      <c r="AA184" s="41"/>
      <c r="AB184" s="41"/>
      <c r="AC184" s="41"/>
      <c r="AD184" s="41"/>
      <c r="AE184" s="41"/>
      <c r="AF184" s="41"/>
      <c r="AG184" s="41"/>
      <c r="AH184" s="41"/>
      <c r="AI184" s="41"/>
      <c r="AJ184" s="41"/>
      <c r="AK184" s="41"/>
      <c r="AL184" s="41"/>
      <c r="AM184" s="41"/>
      <c r="AN184" s="41"/>
    </row>
    <row r="185" spans="1:40" ht="26.25" customHeight="1">
      <c r="A185" s="5" t="s">
        <v>459</v>
      </c>
      <c r="B185" s="41" t="s">
        <v>157</v>
      </c>
      <c r="C185" s="252" t="s">
        <v>165</v>
      </c>
      <c r="D185" s="41"/>
      <c r="E185" s="41"/>
      <c r="F185" s="275">
        <f>+INDEX('Budget original'!$A$2:$AO$501,MATCH($A185,'Budget original'!$A$2:$A$501,0),MATCH(F$2,'Budget original'!$A$2:$AO$2,0))</f>
        <v>0</v>
      </c>
      <c r="G185" s="252"/>
      <c r="H185" s="290"/>
      <c r="I185" s="290"/>
      <c r="J185" s="276"/>
      <c r="K185" s="290"/>
      <c r="L185" s="290">
        <f>-SUMIFS(BV_Data_An_Cour!$AM:$AM,BV_Data_An_Cour!$AP:$AP,$B185,BV_Data_An_Cour!$AQ:$AQ,$C185,BV_Data_An_Cour!$AR:$AR,$L$2)</f>
        <v>2699.41</v>
      </c>
      <c r="M185" s="371"/>
      <c r="N185" s="275">
        <f>L185-F185</f>
        <v>2699.41</v>
      </c>
      <c r="O185" s="276"/>
      <c r="P185" s="290"/>
      <c r="Q185" s="290">
        <f>-SUMIFS(BV_Data_An_Prec!$AM:$AM,BV_Data_An_Prec!$AP:$AP,$B185,BV_Data_An_Prec!$AQ:$AQ,$C185,BV_Data_An_Prec!$AR:$AR,$L$2)</f>
        <v>0</v>
      </c>
      <c r="R185" s="377"/>
      <c r="S185" s="275">
        <f t="shared" ref="S185:S186" si="37">L185-Q185</f>
        <v>2699.41</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460</v>
      </c>
      <c r="B186" s="41" t="s">
        <v>157</v>
      </c>
      <c r="C186" s="378" t="s">
        <v>166</v>
      </c>
      <c r="D186" s="379">
        <f>D173+D176+D179+D182+D185</f>
        <v>0</v>
      </c>
      <c r="E186" s="379">
        <f>E173+E176+E179+E182+E185</f>
        <v>0</v>
      </c>
      <c r="F186" s="380">
        <f>F173+F176+F179+F182+F185</f>
        <v>0</v>
      </c>
      <c r="G186" s="381"/>
      <c r="H186" s="379"/>
      <c r="I186" s="380"/>
      <c r="J186" s="381">
        <f t="shared" ref="J186:L186" si="38">J173+J176+J179+J182+J185</f>
        <v>1372</v>
      </c>
      <c r="K186" s="379">
        <f t="shared" si="38"/>
        <v>218408.42999999993</v>
      </c>
      <c r="L186" s="380">
        <f t="shared" si="38"/>
        <v>177728.68999999994</v>
      </c>
      <c r="M186" s="382" t="e">
        <f>(K186-E186)/E186</f>
        <v>#DIV/0!</v>
      </c>
      <c r="N186" s="380">
        <f>L186-F186</f>
        <v>177728.68999999994</v>
      </c>
      <c r="O186" s="381">
        <f t="shared" ref="O186:Q186" si="39">O173+O176+O179+O182+O185</f>
        <v>0</v>
      </c>
      <c r="P186" s="379">
        <f t="shared" si="39"/>
        <v>0</v>
      </c>
      <c r="Q186" s="380">
        <f t="shared" si="39"/>
        <v>0</v>
      </c>
      <c r="R186" s="263">
        <f>IF(O186=0,0,J186/O186)</f>
        <v>0</v>
      </c>
      <c r="S186" s="380">
        <f t="shared" si="37"/>
        <v>177728.68999999994</v>
      </c>
      <c r="T186" s="317"/>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461</v>
      </c>
      <c r="B187" s="41" t="s">
        <v>157</v>
      </c>
      <c r="C187" s="383" t="s">
        <v>167</v>
      </c>
      <c r="D187" s="384"/>
      <c r="E187" s="385"/>
      <c r="F187" s="386" t="e">
        <f>F186/E186</f>
        <v>#DIV/0!</v>
      </c>
      <c r="G187" s="387"/>
      <c r="H187" s="385"/>
      <c r="I187" s="264"/>
      <c r="J187" s="387"/>
      <c r="K187" s="385">
        <f>IF(J186=0,0,K186/J186)</f>
        <v>159.18981778425652</v>
      </c>
      <c r="L187" s="264">
        <f>IF(L186=0,0,L186/K186)</f>
        <v>0.81374464346454023</v>
      </c>
      <c r="M187" s="387"/>
      <c r="N187" s="386" t="e">
        <f>N186/F186</f>
        <v>#DIV/0!</v>
      </c>
      <c r="O187" s="387"/>
      <c r="P187" s="385">
        <f>IF(O186=0,0,P186/O186)</f>
        <v>0</v>
      </c>
      <c r="Q187" s="264">
        <f>IF(Q186=0,0,Q186/P186)</f>
        <v>0</v>
      </c>
      <c r="R187" s="387"/>
      <c r="S187" s="264" t="e">
        <f>S186/Q186</f>
        <v>#DIV/0!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
        <v>157</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9.5" customHeight="1">
      <c r="A189" s="5" t="s">
        <v>462</v>
      </c>
      <c r="B189" s="41" t="s">
        <v>157</v>
      </c>
      <c r="C189" s="252" t="s">
        <v>168</v>
      </c>
      <c r="D189" s="290"/>
      <c r="E189" s="290">
        <f>+INDEX('Budget original'!$A$2:$AO$501,MATCH($A189,'Budget original'!$A$2:$A$501,0),MATCH(E$2,'Budget original'!$A$2:$AO$2,0))</f>
        <v>0</v>
      </c>
      <c r="F189" s="290">
        <f>+INDEX('Budget original'!$A$2:$AO$501,MATCH($A189,'Budget original'!$A$2:$A$501,0),MATCH(F$2,'Budget original'!$A$2:$AO$2,0))</f>
        <v>0</v>
      </c>
      <c r="G189" s="276"/>
      <c r="H189" s="290"/>
      <c r="I189" s="290"/>
      <c r="J189" s="254">
        <f>SUMIFS(BV_Data_An_Cour!$AW:$AW,BV_Data_An_Cour!$AP:$AP,$B189,BV_Data_An_Cour!$AQ:$AQ,$C189,BV_Data_An_Cour!$AY:$AY,J$2)</f>
        <v>384</v>
      </c>
      <c r="K189" s="253">
        <f>-SUMIFS(BV_Data_An_Cour!$AM:$AM,BV_Data_An_Cour!$AS:$AS,"Oui",BV_Data_An_Cour!$AP:$AP,$B189,BV_Data_An_Cour!$AQ:$AQ,$C189)</f>
        <v>53712.299999999988</v>
      </c>
      <c r="L189" s="255">
        <f>-SUMIFS(BV_Data_An_Cour!$AM:$AM,BV_Data_An_Cour!$AP:$AP,$B189,BV_Data_An_Cour!$AQ:$AQ,$C189,BV_Data_An_Cour!$AR:$AR,$L$2)</f>
        <v>7331.5099999999802</v>
      </c>
      <c r="M189" s="291">
        <f>IF(E189=0,0,(K189-E189)/E189)</f>
        <v>0</v>
      </c>
      <c r="N189" s="275">
        <f>L189-F189</f>
        <v>7331.5099999999802</v>
      </c>
      <c r="O189" s="254">
        <f>SUMIFS(BV_Data_An_Prec!$AW:$AW,BV_Data_An_Prec!$AP:$AP,$B189,BV_Data_An_Prec!$AQ:$AQ,$C189,BV_Data_An_Prec!$AY:$AY,O$2)</f>
        <v>0</v>
      </c>
      <c r="P189" s="253">
        <f>-SUMIFS(BV_Data_An_Prec!$AM:$AM,BV_Data_An_Prec!$AS:$AS,"Oui",BV_Data_An_Prec!$AP:$AP,$B189,BV_Data_An_Prec!$AQ:$AQ,$C189)</f>
        <v>0</v>
      </c>
      <c r="Q189" s="255">
        <f>-SUMIFS(BV_Data_An_Prec!$AM:$AM,BV_Data_An_Prec!$AP:$AP,$B189,BV_Data_An_Prec!$AQ:$AQ,$C189,BV_Data_An_Prec!$AR:$AR,$L$2)</f>
        <v>0</v>
      </c>
      <c r="R189" s="291">
        <f>IF(O189=0,0,J189/O189)</f>
        <v>0</v>
      </c>
      <c r="S189" s="275">
        <f>L189-Q189</f>
        <v>7331.5099999999802</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21" customHeight="1">
      <c r="A190" s="5" t="s">
        <v>455</v>
      </c>
      <c r="B190" s="41" t="s">
        <v>157</v>
      </c>
      <c r="C190" s="252" t="s">
        <v>161</v>
      </c>
      <c r="D190" s="41"/>
      <c r="E190" s="347"/>
      <c r="F190" s="360">
        <f>IFERROR(F189/E189,0)</f>
        <v>0</v>
      </c>
      <c r="G190" s="252"/>
      <c r="H190" s="347"/>
      <c r="I190" s="360"/>
      <c r="J190" s="371"/>
      <c r="K190" s="370"/>
      <c r="L190" s="360">
        <f>IF(L189=0,0,L189/K189)</f>
        <v>0.13649592365249638</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157</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463</v>
      </c>
      <c r="B192" s="41" t="s">
        <v>157</v>
      </c>
      <c r="C192" s="252" t="s">
        <v>169</v>
      </c>
      <c r="D192" s="41"/>
      <c r="E192" s="290">
        <f>+INDEX('Budget original'!$A$2:$AO$501,MATCH($A192,'Budget original'!$A$2:$A$501,0),MATCH(E$2,'Budget original'!$A$2:$AO$2,0))</f>
        <v>0</v>
      </c>
      <c r="F192" s="290">
        <f>+INDEX('Budget original'!$A$2:$AO$501,MATCH($A192,'Budget original'!$A$2:$A$501,0),MATCH(F$2,'Budget original'!$A$2:$AO$2,0))</f>
        <v>0</v>
      </c>
      <c r="G192" s="252"/>
      <c r="H192" s="290"/>
      <c r="I192" s="290"/>
      <c r="J192" s="254">
        <f>SUMIFS(BV_Data_An_Cour!$AW:$AW,BV_Data_An_Cour!$AP:$AP,$B192,BV_Data_An_Cour!$AQ:$AQ,$C192,BV_Data_An_Cour!$AY:$AY,J$2)</f>
        <v>0</v>
      </c>
      <c r="K192" s="253">
        <f>-SUMIFS(BV_Data_An_Cour!$AM:$AM,BV_Data_An_Cour!$AS:$AS,"Oui",BV_Data_An_Cour!$AP:$AP,$B192,BV_Data_An_Cour!$AQ:$AQ,$C192)</f>
        <v>0</v>
      </c>
      <c r="L192" s="255">
        <f>-SUMIFS(BV_Data_An_Cour!$AM:$AM,BV_Data_An_Cour!$AP:$AP,$B192,BV_Data_An_Cour!$AQ:$AQ,$C192,BV_Data_An_Cour!$AR:$AR,$L$2)</f>
        <v>0</v>
      </c>
      <c r="M192" s="291">
        <f>IF(E192=0,0,(K192-E192)/E192)</f>
        <v>0</v>
      </c>
      <c r="N192" s="275">
        <f>L192-F192</f>
        <v>0</v>
      </c>
      <c r="O192" s="254">
        <f>SUMIFS(BV_Data_An_Prec!$AW:$AW,BV_Data_An_Prec!$AP:$AP,$B192,BV_Data_An_Prec!$AQ:$AQ,$C192,BV_Data_An_Prec!$AY:$AY,O$2)</f>
        <v>0</v>
      </c>
      <c r="P192" s="253">
        <f>-SUMIFS(BV_Data_An_Prec!$AM:$AM,BV_Data_An_Prec!$AS:$AS,"Oui",BV_Data_An_Prec!$AP:$AP,$B192,BV_Data_An_Prec!$AQ:$AQ,$C192)</f>
        <v>0</v>
      </c>
      <c r="Q192" s="255">
        <f>-SUMIFS(BV_Data_An_Prec!$AM:$AM,BV_Data_An_Prec!$AP:$AP,$B192,BV_Data_An_Prec!$AQ:$AQ,$C192,BV_Data_An_Prec!$AR:$AR,$L$2)</f>
        <v>0</v>
      </c>
      <c r="R192" s="291">
        <f>IF(O192=0,0,J192/O192)</f>
        <v>0</v>
      </c>
      <c r="S192" s="275">
        <f>L192-Q192</f>
        <v>0</v>
      </c>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455</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253"/>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
        <v>157</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24.75" customHeight="1">
      <c r="A195" s="5" t="s">
        <v>464</v>
      </c>
      <c r="B195" s="41" t="s">
        <v>157</v>
      </c>
      <c r="C195" s="277" t="s">
        <v>170</v>
      </c>
      <c r="D195" s="278"/>
      <c r="E195" s="278">
        <f>E186+E189+E192</f>
        <v>0</v>
      </c>
      <c r="F195" s="280">
        <f>F186+F189+F192</f>
        <v>0</v>
      </c>
      <c r="G195" s="281"/>
      <c r="H195" s="278"/>
      <c r="I195" s="280"/>
      <c r="J195" s="281"/>
      <c r="K195" s="278">
        <f t="shared" ref="K195:L195" si="40">K186+K189+K192</f>
        <v>272120.72999999992</v>
      </c>
      <c r="L195" s="280">
        <f t="shared" si="40"/>
        <v>185060.19999999992</v>
      </c>
      <c r="M195" s="397" t="e">
        <f>L196-F196</f>
        <v>#DIV/0!</v>
      </c>
      <c r="N195" s="280">
        <f>L195-F195</f>
        <v>185060.19999999992</v>
      </c>
      <c r="O195" s="281"/>
      <c r="P195" s="278">
        <f t="shared" ref="P195:Q195" si="41">P186+P189+P192</f>
        <v>0</v>
      </c>
      <c r="Q195" s="280">
        <f t="shared" si="41"/>
        <v>0</v>
      </c>
      <c r="R195" s="397"/>
      <c r="S195" s="280">
        <f>L195-Q195</f>
        <v>185060.19999999992</v>
      </c>
      <c r="T195" s="317"/>
      <c r="U195" s="873"/>
      <c r="V195" s="41"/>
      <c r="W195" s="41"/>
      <c r="X195" s="41"/>
      <c r="Y195" s="41"/>
      <c r="Z195" s="41"/>
      <c r="AA195" s="41"/>
      <c r="AB195" s="41"/>
      <c r="AC195" s="41"/>
      <c r="AD195" s="41"/>
      <c r="AE195" s="41"/>
      <c r="AF195" s="41"/>
      <c r="AG195" s="41"/>
      <c r="AH195" s="41"/>
      <c r="AI195" s="41"/>
      <c r="AJ195" s="41"/>
      <c r="AK195" s="41"/>
      <c r="AL195" s="41"/>
      <c r="AM195" s="41"/>
      <c r="AN195" s="41"/>
    </row>
    <row r="196" spans="1:40" ht="24" customHeight="1">
      <c r="A196" s="5" t="s">
        <v>157</v>
      </c>
      <c r="B196" s="41" t="s">
        <v>157</v>
      </c>
      <c r="C196" s="282"/>
      <c r="D196" s="283"/>
      <c r="E196" s="283"/>
      <c r="F196" s="286" t="e">
        <f>F195/E195</f>
        <v>#DIV/0!</v>
      </c>
      <c r="G196" s="282"/>
      <c r="H196" s="283"/>
      <c r="I196" s="286"/>
      <c r="J196" s="282"/>
      <c r="K196" s="283"/>
      <c r="L196" s="286">
        <f>L195/K195</f>
        <v>0.68006652782388166</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157</v>
      </c>
      <c r="B197" s="41" t="s">
        <v>157</v>
      </c>
      <c r="C197" s="269"/>
      <c r="D197" s="11"/>
      <c r="E197" s="11"/>
      <c r="F197" s="264"/>
      <c r="G197" s="269"/>
      <c r="H197" s="11"/>
      <c r="I197" s="264"/>
      <c r="J197" s="269"/>
      <c r="K197" s="317"/>
      <c r="L197" s="264"/>
      <c r="M197" s="263"/>
      <c r="N197" s="264"/>
      <c r="O197" s="269"/>
      <c r="P197" s="317"/>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465</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466</v>
      </c>
      <c r="B199" s="41" t="s">
        <v>157</v>
      </c>
      <c r="C199" s="310" t="s">
        <v>116</v>
      </c>
      <c r="D199" s="41"/>
      <c r="E199" s="41"/>
      <c r="F199" s="253">
        <f>+INDEX('Budget original'!$A$2:$AO$501,MATCH($A199,'Budget original'!$A$2:$A$501,0),MATCH(F$2,'Budget original'!$A$2:$AO$2,0))</f>
        <v>0</v>
      </c>
      <c r="G199" s="252"/>
      <c r="H199" s="41"/>
      <c r="I199" s="253"/>
      <c r="J199" s="252"/>
      <c r="K199" s="41"/>
      <c r="L199" s="255">
        <f>SUMIFS(BV_Data_An_Cour!$AM:$AM,BV_Data_An_Cour!$AP:$AP,$B199,BV_Data_An_Cour!$AQ:$AQ,$C199,BV_Data_An_Cour!$AR:$AR,$L$2)</f>
        <v>10653.639999999996</v>
      </c>
      <c r="M199" s="252"/>
      <c r="N199" s="275">
        <f t="shared" ref="N199:N230" si="42">L199-F199</f>
        <v>10653.639999999996</v>
      </c>
      <c r="O199" s="252"/>
      <c r="P199" s="41"/>
      <c r="Q199" s="255">
        <f>SUMIFS(BV_Data_An_Prec!$AM:$AM,BV_Data_An_Prec!$AP:$AP,$B199,BV_Data_An_Prec!$AQ:$AQ,$C199,BV_Data_An_Prec!$AR:$AR,$L$2)</f>
        <v>0</v>
      </c>
      <c r="R199" s="252"/>
      <c r="S199" s="255">
        <f t="shared" ref="S199:S230" si="43">L199-Q199</f>
        <v>10653.639999999996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
        <v>467</v>
      </c>
      <c r="B200" s="41" t="s">
        <v>157</v>
      </c>
      <c r="C200" s="311" t="s">
        <v>117</v>
      </c>
      <c r="D200" s="296"/>
      <c r="E200" s="41"/>
      <c r="F200" s="247">
        <f>+INDEX('Budget original'!$A$2:$AO$501,MATCH($A200,'Budget original'!$A$2:$A$501,0),MATCH(F$2,'Budget original'!$A$2:$AO$2,0))</f>
        <v>0</v>
      </c>
      <c r="G200" s="297"/>
      <c r="H200" s="41"/>
      <c r="I200" s="247"/>
      <c r="J200" s="252"/>
      <c r="K200" s="41"/>
      <c r="L200" s="255">
        <f>SUMIFS(BV_Data_An_Cour!$AM:$AM,BV_Data_An_Cour!$AP:$AP,$B200,BV_Data_An_Cour!$AQ:$AQ,$C200,BV_Data_An_Cour!$AR:$AR,$L$2)</f>
        <v>0</v>
      </c>
      <c r="M200" s="252"/>
      <c r="N200" s="275">
        <f t="shared" si="42"/>
        <v>0</v>
      </c>
      <c r="O200" s="252"/>
      <c r="P200" s="41"/>
      <c r="Q200" s="255">
        <f>SUMIFS(BV_Data_An_Prec!$AM:$AM,BV_Data_An_Prec!$AP:$AP,$B200,BV_Data_An_Prec!$AQ:$AQ,$C200,BV_Data_An_Prec!$AR:$AR,$L$2)</f>
        <v>0</v>
      </c>
      <c r="R200" s="252"/>
      <c r="S200" s="275">
        <f t="shared" si="43"/>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468</v>
      </c>
      <c r="B201" s="41" t="s">
        <v>157</v>
      </c>
      <c r="C201" s="310" t="s">
        <v>118</v>
      </c>
      <c r="D201" s="312"/>
      <c r="E201" s="313"/>
      <c r="F201" s="253">
        <f>+INDEX('Budget original'!$A$2:$AO$501,MATCH($A201,'Budget original'!$A$2:$A$501,0),MATCH(F$2,'Budget original'!$A$2:$AO$2,0))</f>
        <v>0</v>
      </c>
      <c r="G201" s="314"/>
      <c r="H201" s="313"/>
      <c r="I201" s="253"/>
      <c r="J201" s="240"/>
      <c r="K201" s="313"/>
      <c r="L201" s="271">
        <f>SUMIFS(BV_Data_An_Cour!$AM:$AM,BV_Data_An_Cour!$AP:$AP,$B201,BV_Data_An_Cour!$AQ:$AQ,$C201,BV_Data_An_Cour!$AR:$AR,$L$2)</f>
        <v>45008.160000000003</v>
      </c>
      <c r="M201" s="240"/>
      <c r="N201" s="315">
        <f t="shared" si="42"/>
        <v>45008.160000000003</v>
      </c>
      <c r="O201" s="240"/>
      <c r="P201" s="313"/>
      <c r="Q201" s="271">
        <f>SUMIFS(BV_Data_An_Prec!$AM:$AM,BV_Data_An_Prec!$AP:$AP,$B201,BV_Data_An_Prec!$AQ:$AQ,$C201,BV_Data_An_Prec!$AR:$AR,$L$2)</f>
        <v>0</v>
      </c>
      <c r="R201" s="240"/>
      <c r="S201" s="315">
        <f t="shared" si="43"/>
        <v>45008.160000000003</v>
      </c>
      <c r="T201" s="41"/>
      <c r="U201" s="38"/>
      <c r="V201" s="41"/>
      <c r="W201" s="41"/>
      <c r="X201" s="41"/>
      <c r="Y201" s="41"/>
      <c r="Z201" s="41"/>
      <c r="AA201" s="41"/>
      <c r="AB201" s="41"/>
      <c r="AC201" s="41"/>
      <c r="AD201" s="41"/>
      <c r="AE201" s="41"/>
      <c r="AF201" s="41"/>
      <c r="AG201" s="41"/>
      <c r="AH201" s="41"/>
      <c r="AI201" s="41"/>
      <c r="AJ201" s="41"/>
      <c r="AK201" s="41"/>
      <c r="AL201" s="41"/>
      <c r="AM201" s="41"/>
      <c r="AN201" s="41"/>
    </row>
    <row r="202" spans="1:40" ht="20.25">
      <c r="A202" s="5" t="s">
        <v>469</v>
      </c>
      <c r="B202" s="41" t="s">
        <v>157</v>
      </c>
      <c r="C202" s="310" t="s">
        <v>119</v>
      </c>
      <c r="D202" s="296"/>
      <c r="E202" s="867" t="e">
        <f>F202/E173</f>
        <v>#DIV/0!</v>
      </c>
      <c r="F202" s="253">
        <f>+INDEX('Budget original'!$A$2:$AO$501,MATCH($A202,'Budget original'!$A$2:$A$501,0),MATCH(F$2,'Budget original'!$A$2:$AO$2,0))</f>
        <v>0</v>
      </c>
      <c r="G202" s="297"/>
      <c r="H202" s="41"/>
      <c r="I202" s="253"/>
      <c r="J202" s="252"/>
      <c r="K202" s="875">
        <f>L202/K173</f>
        <v>0</v>
      </c>
      <c r="L202" s="255">
        <f>SUMIFS(BV_Data_An_Cour!$AM:$AM,BV_Data_An_Cour!$AP:$AP,$B202,BV_Data_An_Cour!$AQ:$AQ,$C202,BV_Data_An_Cour!$AR:$AR,$L$2)</f>
        <v>0</v>
      </c>
      <c r="M202" s="252"/>
      <c r="N202" s="275">
        <f t="shared" si="42"/>
        <v>0</v>
      </c>
      <c r="O202" s="252"/>
      <c r="P202" s="875" t="e">
        <f>Q202/P173</f>
        <v>#DIV/0!</v>
      </c>
      <c r="Q202" s="255">
        <f>SUMIFS(BV_Data_An_Prec!$AM:$AM,BV_Data_An_Prec!$AP:$AP,$B202,BV_Data_An_Prec!$AQ:$AQ,$C202,BV_Data_An_Prec!$AR:$AR,$L$2)</f>
        <v>0</v>
      </c>
      <c r="R202" s="252"/>
      <c r="S202" s="275">
        <f t="shared" si="43"/>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470</v>
      </c>
      <c r="B203" s="41" t="s">
        <v>157</v>
      </c>
      <c r="C203" s="252" t="s">
        <v>55</v>
      </c>
      <c r="D203" s="296"/>
      <c r="E203" s="41"/>
      <c r="F203" s="253">
        <f>+INDEX('Budget original'!$A$2:$AO$501,MATCH($A203,'Budget original'!$A$2:$A$501,0),MATCH(F$2,'Budget original'!$A$2:$AO$2,0))</f>
        <v>0</v>
      </c>
      <c r="G203" s="297"/>
      <c r="H203" s="41"/>
      <c r="I203" s="253"/>
      <c r="J203" s="252"/>
      <c r="K203" s="41"/>
      <c r="L203" s="255">
        <f>SUMIFS(BV_Data_An_Cour!$AM:$AM,BV_Data_An_Cour!$AP:$AP,$B203,BV_Data_An_Cour!$AQ:$AQ,$C203,BV_Data_An_Cour!$AR:$AR,$L$2)</f>
        <v>0</v>
      </c>
      <c r="M203" s="252"/>
      <c r="N203" s="275">
        <f t="shared" si="42"/>
        <v>0</v>
      </c>
      <c r="O203" s="252"/>
      <c r="P203" s="41"/>
      <c r="Q203" s="255">
        <f>SUMIFS(BV_Data_An_Prec!$AM:$AM,BV_Data_An_Prec!$AP:$AP,$B203,BV_Data_An_Prec!$AQ:$AQ,$C203,BV_Data_An_Prec!$AR:$AR,$L$2)</f>
        <v>0</v>
      </c>
      <c r="R203" s="252"/>
      <c r="S203" s="275">
        <f t="shared" si="43"/>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470</v>
      </c>
      <c r="B204" s="41" t="s">
        <v>157</v>
      </c>
      <c r="C204" s="252" t="s">
        <v>55</v>
      </c>
      <c r="D204" s="296"/>
      <c r="E204" s="41"/>
      <c r="F204" s="253">
        <f>+INDEX('Budget original'!$A$2:$AO$501,MATCH($A204,'Budget original'!$A$2:$A$501,0),MATCH(F$2,'Budget original'!$A$2:$AO$2,0))</f>
        <v>0</v>
      </c>
      <c r="G204" s="297"/>
      <c r="H204" s="41"/>
      <c r="I204" s="253"/>
      <c r="J204" s="252"/>
      <c r="K204" s="41"/>
      <c r="L204" s="255">
        <f>SUMIFS(BV_Data_An_Cour!$AM:$AM,BV_Data_An_Cour!$AP:$AP,$B204,BV_Data_An_Cour!$AQ:$AQ,$C204,BV_Data_An_Cour!$AR:$AR,$L$2)</f>
        <v>0</v>
      </c>
      <c r="M204" s="252"/>
      <c r="N204" s="275">
        <f t="shared" si="42"/>
        <v>0</v>
      </c>
      <c r="O204" s="252"/>
      <c r="P204" s="41"/>
      <c r="Q204" s="255">
        <f>SUMIFS(BV_Data_An_Prec!$AM:$AM,BV_Data_An_Prec!$AP:$AP,$B204,BV_Data_An_Prec!$AQ:$AQ,$C204,BV_Data_An_Prec!$AR:$AR,$L$2)</f>
        <v>0</v>
      </c>
      <c r="R204" s="252"/>
      <c r="S204" s="275">
        <f t="shared" si="43"/>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
        <v>470</v>
      </c>
      <c r="B205" s="41" t="s">
        <v>157</v>
      </c>
      <c r="C205" s="252" t="s">
        <v>55</v>
      </c>
      <c r="D205" s="296"/>
      <c r="E205" s="41"/>
      <c r="F205" s="253">
        <f>+INDEX('Budget original'!$A$2:$AO$501,MATCH($A205,'Budget original'!$A$2:$A$501,0),MATCH(F$2,'Budget original'!$A$2:$AO$2,0))</f>
        <v>0</v>
      </c>
      <c r="G205" s="297"/>
      <c r="H205" s="41"/>
      <c r="I205" s="253"/>
      <c r="J205" s="252"/>
      <c r="K205" s="41"/>
      <c r="L205" s="255">
        <f>SUMIFS(BV_Data_An_Cour!$AM:$AM,BV_Data_An_Cour!$AP:$AP,$B205,BV_Data_An_Cour!$AQ:$AQ,$C205,BV_Data_An_Cour!$AR:$AR,$L$2)</f>
        <v>0</v>
      </c>
      <c r="M205" s="252"/>
      <c r="N205" s="275">
        <f t="shared" si="42"/>
        <v>0</v>
      </c>
      <c r="O205" s="252"/>
      <c r="P205" s="41"/>
      <c r="Q205" s="255">
        <f>SUMIFS(BV_Data_An_Prec!$AM:$AM,BV_Data_An_Prec!$AP:$AP,$B205,BV_Data_An_Prec!$AQ:$AQ,$C205,BV_Data_An_Prec!$AR:$AR,$L$2)</f>
        <v>0</v>
      </c>
      <c r="R205" s="252"/>
      <c r="S205" s="275">
        <f t="shared" si="43"/>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20.25">
      <c r="A206" s="5" t="s">
        <v>471</v>
      </c>
      <c r="B206" s="41" t="s">
        <v>157</v>
      </c>
      <c r="C206" s="311" t="s">
        <v>120</v>
      </c>
      <c r="D206" s="296"/>
      <c r="E206" s="41"/>
      <c r="F206" s="253">
        <f>+INDEX('Budget original'!$A$2:$AO$501,MATCH($A206,'Budget original'!$A$2:$A$501,0),MATCH(F$2,'Budget original'!$A$2:$AO$2,0))</f>
        <v>0</v>
      </c>
      <c r="G206" s="297"/>
      <c r="H206" s="41"/>
      <c r="I206" s="253"/>
      <c r="J206" s="252"/>
      <c r="K206" s="41"/>
      <c r="L206" s="255">
        <f>SUMIFS(BV_Data_An_Cour!$AM:$AM,BV_Data_An_Cour!$AP:$AP,$B206,BV_Data_An_Cour!$AQ:$AQ,$C206,BV_Data_An_Cour!$AR:$AR,$L$2)</f>
        <v>12006.160000000003</v>
      </c>
      <c r="M206" s="252"/>
      <c r="N206" s="275">
        <f t="shared" si="42"/>
        <v>12006.160000000003</v>
      </c>
      <c r="O206" s="252"/>
      <c r="P206" s="41"/>
      <c r="Q206" s="255">
        <f>SUMIFS(BV_Data_An_Prec!$AM:$AM,BV_Data_An_Prec!$AP:$AP,$B206,BV_Data_An_Prec!$AQ:$AQ,$C206,BV_Data_An_Prec!$AR:$AR,$L$2)</f>
        <v>0</v>
      </c>
      <c r="R206" s="252"/>
      <c r="S206" s="275">
        <f t="shared" si="43"/>
        <v>12006.160000000003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472</v>
      </c>
      <c r="B207" s="41" t="s">
        <v>157</v>
      </c>
      <c r="C207" s="310" t="s">
        <v>121</v>
      </c>
      <c r="D207" s="312"/>
      <c r="E207" s="313"/>
      <c r="F207" s="271">
        <f>+INDEX('Budget original'!$A$2:$AO$501,MATCH($A207,'Budget original'!$A$2:$A$501,0),MATCH(F$2,'Budget original'!$A$2:$AO$2,0))</f>
        <v>0</v>
      </c>
      <c r="G207" s="314"/>
      <c r="H207" s="313"/>
      <c r="I207" s="271"/>
      <c r="J207" s="240"/>
      <c r="K207" s="313"/>
      <c r="L207" s="271">
        <f>SUMIFS(BV_Data_An_Cour!$AM:$AM,BV_Data_An_Cour!$AP:$AP,$B207,BV_Data_An_Cour!$AQ:$AQ,$C207,BV_Data_An_Cour!$AR:$AR,$L$2)</f>
        <v>15644.880000000005</v>
      </c>
      <c r="M207" s="240"/>
      <c r="N207" s="315">
        <f t="shared" si="42"/>
        <v>15644.880000000005</v>
      </c>
      <c r="O207" s="240"/>
      <c r="P207" s="313"/>
      <c r="Q207" s="271">
        <f>SUMIFS(BV_Data_An_Prec!$AM:$AM,BV_Data_An_Prec!$AP:$AP,$B207,BV_Data_An_Prec!$AQ:$AQ,$C207,BV_Data_An_Prec!$AR:$AR,$L$2)</f>
        <v>0</v>
      </c>
      <c r="R207" s="240"/>
      <c r="S207" s="315">
        <f t="shared" si="43"/>
        <v>15644.880000000005</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473</v>
      </c>
      <c r="B208" s="41" t="s">
        <v>157</v>
      </c>
      <c r="C208" s="310" t="s">
        <v>122</v>
      </c>
      <c r="D208" s="296"/>
      <c r="E208" s="41"/>
      <c r="F208" s="253">
        <f>+INDEX('Budget original'!$A$2:$AO$501,MATCH($A208,'Budget original'!$A$2:$A$501,0),MATCH(F$2,'Budget original'!$A$2:$AO$2,0))</f>
        <v>0</v>
      </c>
      <c r="G208" s="297"/>
      <c r="H208" s="41"/>
      <c r="I208" s="253"/>
      <c r="J208" s="252"/>
      <c r="K208" s="41"/>
      <c r="L208" s="255">
        <f>SUMIFS(BV_Data_An_Cour!$AM:$AM,BV_Data_An_Cour!$AP:$AP,$B208,BV_Data_An_Cour!$AQ:$AQ,$C208,BV_Data_An_Cour!$AR:$AR,$L$2)</f>
        <v>1332.0500000000002</v>
      </c>
      <c r="M208" s="252"/>
      <c r="N208" s="275">
        <f t="shared" si="42"/>
        <v>1332.0500000000002</v>
      </c>
      <c r="O208" s="252"/>
      <c r="P208" s="41"/>
      <c r="Q208" s="255">
        <f>SUMIFS(BV_Data_An_Prec!$AM:$AM,BV_Data_An_Prec!$AP:$AP,$B208,BV_Data_An_Prec!$AQ:$AQ,$C208,BV_Data_An_Prec!$AR:$AR,$L$2)</f>
        <v>0</v>
      </c>
      <c r="R208" s="252"/>
      <c r="S208" s="275">
        <f t="shared" si="43"/>
        <v>1332.0500000000002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
        <v>474</v>
      </c>
      <c r="B209" s="41" t="s">
        <v>157</v>
      </c>
      <c r="C209" s="310" t="s">
        <v>123</v>
      </c>
      <c r="D209" s="296"/>
      <c r="E209" s="41"/>
      <c r="F209" s="253">
        <f>+INDEX('Budget original'!$A$2:$AO$501,MATCH($A209,'Budget original'!$A$2:$A$501,0),MATCH(F$2,'Budget original'!$A$2:$AO$2,0))</f>
        <v>0</v>
      </c>
      <c r="G209" s="297"/>
      <c r="H209" s="41"/>
      <c r="I209" s="253"/>
      <c r="J209" s="252"/>
      <c r="K209" s="41"/>
      <c r="L209" s="255">
        <f>SUMIFS(BV_Data_An_Cour!$AM:$AM,BV_Data_An_Cour!$AP:$AP,$B209,BV_Data_An_Cour!$AQ:$AQ,$C209,BV_Data_An_Cour!$AR:$AR,$L$2)</f>
        <v>0</v>
      </c>
      <c r="M209" s="252"/>
      <c r="N209" s="275">
        <f t="shared" si="42"/>
        <v>0</v>
      </c>
      <c r="O209" s="252"/>
      <c r="P209" s="41"/>
      <c r="Q209" s="255">
        <f>SUMIFS(BV_Data_An_Prec!$AM:$AM,BV_Data_An_Prec!$AP:$AP,$B209,BV_Data_An_Prec!$AQ:$AQ,$C209,BV_Data_An_Prec!$AR:$AR,$L$2)</f>
        <v>0</v>
      </c>
      <c r="R209" s="252"/>
      <c r="S209" s="275">
        <f t="shared" si="43"/>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
        <v>470</v>
      </c>
      <c r="B210" s="41" t="s">
        <v>157</v>
      </c>
      <c r="C210" s="252" t="s">
        <v>55</v>
      </c>
      <c r="D210" s="298"/>
      <c r="E210" s="316"/>
      <c r="F210" s="253">
        <f>+INDEX('Budget original'!$A$2:$AO$501,MATCH($A210,'Budget original'!$A$2:$A$501,0),MATCH(F$2,'Budget original'!$A$2:$AO$2,0))</f>
        <v>0</v>
      </c>
      <c r="G210" s="299"/>
      <c r="H210" s="316"/>
      <c r="I210" s="253"/>
      <c r="J210" s="245"/>
      <c r="K210" s="316"/>
      <c r="L210" s="255">
        <f>SUMIFS(BV_Data_An_Cour!$AM:$AM,BV_Data_An_Cour!$AP:$AP,$B210,BV_Data_An_Cour!$AQ:$AQ,$C210,BV_Data_An_Cour!$AR:$AR,$L$2)</f>
        <v>0</v>
      </c>
      <c r="M210" s="245"/>
      <c r="N210" s="255">
        <f t="shared" si="42"/>
        <v>0</v>
      </c>
      <c r="O210" s="245"/>
      <c r="P210" s="316"/>
      <c r="Q210" s="255">
        <f>SUMIFS(BV_Data_An_Prec!$AM:$AM,BV_Data_An_Prec!$AP:$AP,$B210,BV_Data_An_Prec!$AQ:$AQ,$C210,BV_Data_An_Prec!$AR:$AR,$L$2)</f>
        <v>0</v>
      </c>
      <c r="R210" s="245"/>
      <c r="S210" s="295">
        <f t="shared" si="43"/>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475</v>
      </c>
      <c r="B211" s="41" t="s">
        <v>157</v>
      </c>
      <c r="C211" s="303" t="s">
        <v>124</v>
      </c>
      <c r="D211" s="304" t="s">
        <v>171</v>
      </c>
      <c r="E211" s="305" t="e">
        <f>F211/F$195</f>
        <v>#DIV/0!</v>
      </c>
      <c r="F211" s="306">
        <f>+SUM(F199:F210)</f>
        <v>0</v>
      </c>
      <c r="G211" s="307"/>
      <c r="H211" s="305"/>
      <c r="I211" s="306"/>
      <c r="J211" s="307" t="s">
        <v>171</v>
      </c>
      <c r="K211" s="305">
        <f>L211/L$195</f>
        <v>0.45739110840688624</v>
      </c>
      <c r="L211" s="306">
        <f>+SUM(L199:L210)</f>
        <v>84644.890000000014</v>
      </c>
      <c r="M211" s="353"/>
      <c r="N211" s="306">
        <f t="shared" si="42"/>
        <v>84644.890000000014</v>
      </c>
      <c r="O211" s="307" t="s">
        <v>171</v>
      </c>
      <c r="P211" s="305" t="e">
        <f>Q211/Q$195</f>
        <v>#DIV/0!</v>
      </c>
      <c r="Q211" s="306">
        <f>+SUM(Q199:Q210)</f>
        <v>0</v>
      </c>
      <c r="R211" s="353"/>
      <c r="S211" s="318">
        <f t="shared" si="43"/>
        <v>84644.890000000014</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476</v>
      </c>
      <c r="B212" s="41" t="s">
        <v>157</v>
      </c>
      <c r="C212" s="252" t="s">
        <v>125</v>
      </c>
      <c r="D212" s="296"/>
      <c r="E212" s="41"/>
      <c r="F212" s="253">
        <f>+INDEX('Budget original'!$A$2:$AO$501,MATCH($A212,'Budget original'!$A$2:$A$501,0),MATCH(F$2,'Budget original'!$A$2:$AO$2,0))</f>
        <v>0</v>
      </c>
      <c r="G212" s="297"/>
      <c r="H212" s="41"/>
      <c r="I212" s="253"/>
      <c r="J212" s="252"/>
      <c r="K212" s="41"/>
      <c r="L212" s="255">
        <f>SUMIFS(BV_Data_An_Cour!$AM:$AM,BV_Data_An_Cour!$AP:$AP,$B212,BV_Data_An_Cour!$AQ:$AQ,$C212,BV_Data_An_Cour!$AR:$AR,$L$2)</f>
        <v>0</v>
      </c>
      <c r="M212" s="252"/>
      <c r="N212" s="275">
        <f t="shared" si="42"/>
        <v>0</v>
      </c>
      <c r="O212" s="252"/>
      <c r="P212" s="41"/>
      <c r="Q212" s="255">
        <f>SUMIFS(BV_Data_An_Prec!$AM:$AM,BV_Data_An_Prec!$AP:$AP,$B212,BV_Data_An_Prec!$AQ:$AQ,$C212,BV_Data_An_Prec!$AR:$AR,$L$2)</f>
        <v>0</v>
      </c>
      <c r="R212" s="252"/>
      <c r="S212" s="275">
        <f t="shared" si="43"/>
        <v>0</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477</v>
      </c>
      <c r="B213" s="41" t="s">
        <v>157</v>
      </c>
      <c r="C213" s="252" t="s">
        <v>126</v>
      </c>
      <c r="D213" s="296"/>
      <c r="E213" s="41"/>
      <c r="F213" s="253">
        <f>+INDEX('Budget original'!$A$2:$AO$501,MATCH($A213,'Budget original'!$A$2:$A$501,0),MATCH(F$2,'Budget original'!$A$2:$AO$2,0))</f>
        <v>0</v>
      </c>
      <c r="G213" s="297"/>
      <c r="H213" s="41"/>
      <c r="I213" s="253"/>
      <c r="J213" s="252"/>
      <c r="K213" s="41"/>
      <c r="L213" s="255">
        <f>SUMIFS(BV_Data_An_Cour!$AM:$AM,BV_Data_An_Cour!$AP:$AP,$B213,BV_Data_An_Cour!$AQ:$AQ,$C213,BV_Data_An_Cour!$AR:$AR,$L$2)</f>
        <v>0</v>
      </c>
      <c r="M213" s="252"/>
      <c r="N213" s="275">
        <f t="shared" si="42"/>
        <v>0</v>
      </c>
      <c r="O213" s="252"/>
      <c r="P213" s="41"/>
      <c r="Q213" s="255">
        <f>SUMIFS(BV_Data_An_Prec!$AM:$AM,BV_Data_An_Prec!$AP:$AP,$B213,BV_Data_An_Prec!$AQ:$AQ,$C213,BV_Data_An_Prec!$AR:$AR,$L$2)</f>
        <v>0</v>
      </c>
      <c r="R213" s="252"/>
      <c r="S213" s="275">
        <f t="shared" si="43"/>
        <v>0</v>
      </c>
      <c r="T213" s="41"/>
      <c r="U213" s="877"/>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478</v>
      </c>
      <c r="B214" s="41" t="s">
        <v>157</v>
      </c>
      <c r="C214" s="245" t="s">
        <v>127</v>
      </c>
      <c r="D214" s="298"/>
      <c r="E214" s="316"/>
      <c r="F214" s="247">
        <f>+INDEX('Budget original'!$A$2:$AO$501,MATCH($A214,'Budget original'!$A$2:$A$501,0),MATCH(F$2,'Budget original'!$A$2:$AO$2,0))</f>
        <v>0</v>
      </c>
      <c r="G214" s="299"/>
      <c r="H214" s="316"/>
      <c r="I214" s="247"/>
      <c r="J214" s="245"/>
      <c r="K214" s="316"/>
      <c r="L214" s="255">
        <f>SUMIFS(BV_Data_An_Cour!$AM:$AM,BV_Data_An_Cour!$AP:$AP,$B214,BV_Data_An_Cour!$AQ:$AQ,$C214,BV_Data_An_Cour!$AR:$AR,$L$2)</f>
        <v>604.97999999999956</v>
      </c>
      <c r="M214" s="245"/>
      <c r="N214" s="295">
        <f t="shared" si="42"/>
        <v>604.97999999999956</v>
      </c>
      <c r="O214" s="245"/>
      <c r="P214" s="316"/>
      <c r="Q214" s="255">
        <f>SUMIFS(BV_Data_An_Prec!$AM:$AM,BV_Data_An_Prec!$AP:$AP,$B214,BV_Data_An_Prec!$AQ:$AQ,$C214,BV_Data_An_Prec!$AR:$AR,$L$2)</f>
        <v>0</v>
      </c>
      <c r="R214" s="245"/>
      <c r="S214" s="295">
        <f t="shared" si="43"/>
        <v>604.97999999999956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479</v>
      </c>
      <c r="B215" s="41" t="s">
        <v>157</v>
      </c>
      <c r="C215" s="252" t="s">
        <v>128</v>
      </c>
      <c r="D215" s="296"/>
      <c r="E215" s="41"/>
      <c r="F215" s="253">
        <f>+INDEX('Budget original'!$A$2:$AO$501,MATCH($A215,'Budget original'!$A$2:$A$501,0),MATCH(F$2,'Budget original'!$A$2:$AO$2,0))</f>
        <v>0</v>
      </c>
      <c r="G215" s="297"/>
      <c r="H215" s="41"/>
      <c r="I215" s="253"/>
      <c r="J215" s="252"/>
      <c r="K215" s="41"/>
      <c r="L215" s="271">
        <f>SUMIFS(BV_Data_An_Cour!$AM:$AM,BV_Data_An_Cour!$AP:$AP,$B215,BV_Data_An_Cour!$AQ:$AQ,$C215,BV_Data_An_Cour!$AR:$AR,$L$2)</f>
        <v>1322.2600000000002</v>
      </c>
      <c r="M215" s="252"/>
      <c r="N215" s="275">
        <f t="shared" si="42"/>
        <v>1322.2600000000002</v>
      </c>
      <c r="O215" s="252"/>
      <c r="P215" s="41"/>
      <c r="Q215" s="271">
        <f>SUMIFS(BV_Data_An_Prec!$AM:$AM,BV_Data_An_Prec!$AP:$AP,$B215,BV_Data_An_Prec!$AQ:$AQ,$C215,BV_Data_An_Prec!$AR:$AR,$L$2)</f>
        <v>0</v>
      </c>
      <c r="R215" s="252"/>
      <c r="S215" s="275">
        <f t="shared" si="43"/>
        <v>1322.2600000000002</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480</v>
      </c>
      <c r="B216" s="41" t="s">
        <v>157</v>
      </c>
      <c r="C216" s="252" t="s">
        <v>129</v>
      </c>
      <c r="D216" s="296"/>
      <c r="E216" s="41"/>
      <c r="F216" s="253">
        <f>+INDEX('Budget original'!$A$2:$AO$501,MATCH($A216,'Budget original'!$A$2:$A$501,0),MATCH(F$2,'Budget original'!$A$2:$AO$2,0))</f>
        <v>0</v>
      </c>
      <c r="G216" s="297"/>
      <c r="H216" s="41"/>
      <c r="I216" s="253"/>
      <c r="J216" s="252"/>
      <c r="K216" s="41"/>
      <c r="L216" s="255">
        <f>SUMIFS(BV_Data_An_Cour!$AM:$AM,BV_Data_An_Cour!$AP:$AP,$B216,BV_Data_An_Cour!$AQ:$AQ,$C216,BV_Data_An_Cour!$AR:$AR,$L$2)</f>
        <v>2064.4100000000012</v>
      </c>
      <c r="M216" s="252"/>
      <c r="N216" s="275">
        <f t="shared" si="42"/>
        <v>2064.4100000000012</v>
      </c>
      <c r="O216" s="252"/>
      <c r="P216" s="41"/>
      <c r="Q216" s="255">
        <f>SUMIFS(BV_Data_An_Prec!$AM:$AM,BV_Data_An_Prec!$AP:$AP,$B216,BV_Data_An_Prec!$AQ:$AQ,$C216,BV_Data_An_Prec!$AR:$AR,$L$2)</f>
        <v>0</v>
      </c>
      <c r="R216" s="252"/>
      <c r="S216" s="275">
        <f t="shared" si="43"/>
        <v>2064.4100000000012</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481</v>
      </c>
      <c r="B217" s="41" t="s">
        <v>157</v>
      </c>
      <c r="C217" s="245" t="s">
        <v>130</v>
      </c>
      <c r="D217" s="298"/>
      <c r="E217" s="316"/>
      <c r="F217" s="247">
        <f>+INDEX('Budget original'!$A$2:$AO$501,MATCH($A217,'Budget original'!$A$2:$A$501,0),MATCH(F$2,'Budget original'!$A$2:$AO$2,0))</f>
        <v>0</v>
      </c>
      <c r="G217" s="299"/>
      <c r="H217" s="316"/>
      <c r="I217" s="247"/>
      <c r="J217" s="245"/>
      <c r="K217" s="316"/>
      <c r="L217" s="255">
        <f>SUMIFS(BV_Data_An_Cour!$AM:$AM,BV_Data_An_Cour!$AP:$AP,$B217,BV_Data_An_Cour!$AQ:$AQ,$C217,BV_Data_An_Cour!$AR:$AR,$L$2)</f>
        <v>1404.79</v>
      </c>
      <c r="M217" s="245"/>
      <c r="N217" s="295">
        <f t="shared" si="42"/>
        <v>1404.79</v>
      </c>
      <c r="O217" s="245"/>
      <c r="P217" s="316"/>
      <c r="Q217" s="255">
        <f>SUMIFS(BV_Data_An_Prec!$AM:$AM,BV_Data_An_Prec!$AP:$AP,$B217,BV_Data_An_Prec!$AQ:$AQ,$C217,BV_Data_An_Prec!$AR:$AR,$L$2)</f>
        <v>0</v>
      </c>
      <c r="R217" s="245"/>
      <c r="S217" s="295">
        <f t="shared" si="43"/>
        <v>1404.79</v>
      </c>
      <c r="T217" s="41"/>
      <c r="U217" s="38"/>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482</v>
      </c>
      <c r="B218" s="41" t="s">
        <v>157</v>
      </c>
      <c r="C218" s="252" t="s">
        <v>483</v>
      </c>
      <c r="D218" s="296"/>
      <c r="E218" s="41"/>
      <c r="F218" s="253"/>
      <c r="G218" s="297"/>
      <c r="H218" s="41"/>
      <c r="I218" s="253"/>
      <c r="J218" s="252"/>
      <c r="K218" s="41"/>
      <c r="L218" s="271">
        <f>SUMIFS(BV_Data_An_Cour!$AM:$AM,BV_Data_An_Cour!$AP:$AP,$B218,BV_Data_An_Cour!$AQ:$AQ,$C218,BV_Data_An_Cour!$AR:$AR,$L$2)</f>
        <v>4957.3700000000026</v>
      </c>
      <c r="M218" s="252"/>
      <c r="N218" s="275">
        <f t="shared" si="42"/>
        <v>4957.3700000000026</v>
      </c>
      <c r="O218" s="252"/>
      <c r="P218" s="41"/>
      <c r="Q218" s="271">
        <f>SUMIFS(BV_Data_An_Prec!$AM:$AM,BV_Data_An_Prec!$AP:$AP,$B218,BV_Data_An_Prec!$AQ:$AQ,$C218,BV_Data_An_Prec!$AR:$AR,$L$2)</f>
        <v>0</v>
      </c>
      <c r="R218" s="252"/>
      <c r="S218" s="275">
        <f t="shared" si="43"/>
        <v>4957.3700000000026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484</v>
      </c>
      <c r="B219" s="41" t="s">
        <v>157</v>
      </c>
      <c r="C219" s="252" t="s">
        <v>131</v>
      </c>
      <c r="D219" s="296"/>
      <c r="E219" s="41"/>
      <c r="F219" s="253">
        <f>+INDEX('Budget original'!$A$2:$AO$501,MATCH($A219,'Budget original'!$A$2:$A$501,0),MATCH(F$2,'Budget original'!$A$2:$AO$2,0))</f>
        <v>0</v>
      </c>
      <c r="G219" s="297"/>
      <c r="H219" s="41"/>
      <c r="I219" s="253"/>
      <c r="J219" s="252"/>
      <c r="K219" s="41"/>
      <c r="L219" s="255">
        <f>SUMIFS(BV_Data_An_Cour!$AM:$AM,BV_Data_An_Cour!$AP:$AP,$B219,BV_Data_An_Cour!$AQ:$AQ,$C219,BV_Data_An_Cour!$AR:$AR,$L$2)</f>
        <v>0</v>
      </c>
      <c r="M219" s="252"/>
      <c r="N219" s="275">
        <f t="shared" si="42"/>
        <v>0</v>
      </c>
      <c r="O219" s="252"/>
      <c r="P219" s="41"/>
      <c r="Q219" s="255">
        <f>SUMIFS(BV_Data_An_Prec!$AM:$AM,BV_Data_An_Prec!$AP:$AP,$B219,BV_Data_An_Prec!$AQ:$AQ,$C219,BV_Data_An_Prec!$AR:$AR,$L$2)</f>
        <v>0</v>
      </c>
      <c r="R219" s="252"/>
      <c r="S219" s="275">
        <f t="shared" si="43"/>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485</v>
      </c>
      <c r="B220" s="41" t="s">
        <v>157</v>
      </c>
      <c r="C220" s="252" t="s">
        <v>132</v>
      </c>
      <c r="D220" s="296"/>
      <c r="E220" s="41"/>
      <c r="F220" s="253">
        <f>+INDEX('Budget original'!$A$2:$AO$501,MATCH($A220,'Budget original'!$A$2:$A$501,0),MATCH(F$2,'Budget original'!$A$2:$AO$2,0))</f>
        <v>0</v>
      </c>
      <c r="G220" s="297"/>
      <c r="H220" s="41"/>
      <c r="I220" s="253"/>
      <c r="J220" s="252"/>
      <c r="K220" s="41"/>
      <c r="L220" s="255">
        <f>SUMIFS(BV_Data_An_Cour!$AM:$AM,BV_Data_An_Cour!$AP:$AP,$B220,BV_Data_An_Cour!$AQ:$AQ,$C220,BV_Data_An_Cour!$AR:$AR,$L$2)</f>
        <v>2045.8600000000006</v>
      </c>
      <c r="M220" s="252"/>
      <c r="N220" s="275">
        <f t="shared" si="42"/>
        <v>2045.8600000000006</v>
      </c>
      <c r="O220" s="252"/>
      <c r="P220" s="41"/>
      <c r="Q220" s="255">
        <f>SUMIFS(BV_Data_An_Prec!$AM:$AM,BV_Data_An_Prec!$AP:$AP,$B220,BV_Data_An_Prec!$AQ:$AQ,$C220,BV_Data_An_Prec!$AR:$AR,$L$2)</f>
        <v>0</v>
      </c>
      <c r="R220" s="252"/>
      <c r="S220" s="275">
        <f t="shared" si="43"/>
        <v>2045.8600000000006</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486</v>
      </c>
      <c r="B221" s="41" t="s">
        <v>157</v>
      </c>
      <c r="C221" s="252" t="s">
        <v>133</v>
      </c>
      <c r="D221" s="296"/>
      <c r="E221" s="41"/>
      <c r="F221" s="253">
        <f>+INDEX('Budget original'!$A$2:$AO$501,MATCH($A221,'Budget original'!$A$2:$A$501,0),MATCH(F$2,'Budget original'!$A$2:$AO$2,0))</f>
        <v>0</v>
      </c>
      <c r="G221" s="297"/>
      <c r="H221" s="41"/>
      <c r="I221" s="253"/>
      <c r="J221" s="252"/>
      <c r="K221" s="41"/>
      <c r="L221" s="255">
        <f>SUMIFS(BV_Data_An_Cour!$AM:$AM,BV_Data_An_Cour!$AP:$AP,$B221,BV_Data_An_Cour!$AQ:$AQ,$C221,BV_Data_An_Cour!$AR:$AR,$L$2)</f>
        <v>928.75</v>
      </c>
      <c r="M221" s="252"/>
      <c r="N221" s="275">
        <f t="shared" si="42"/>
        <v>928.75</v>
      </c>
      <c r="O221" s="252"/>
      <c r="P221" s="41"/>
      <c r="Q221" s="255">
        <f>SUMIFS(BV_Data_An_Prec!$AM:$AM,BV_Data_An_Prec!$AP:$AP,$B221,BV_Data_An_Prec!$AQ:$AQ,$C221,BV_Data_An_Prec!$AR:$AR,$L$2)</f>
        <v>0</v>
      </c>
      <c r="R221" s="252"/>
      <c r="S221" s="275">
        <f t="shared" si="43"/>
        <v>928.75</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487</v>
      </c>
      <c r="B222" s="41" t="s">
        <v>157</v>
      </c>
      <c r="C222" s="252" t="s">
        <v>134</v>
      </c>
      <c r="D222" s="296"/>
      <c r="E222" s="41"/>
      <c r="F222" s="253">
        <f>+INDEX('Budget original'!$A$2:$AO$501,MATCH($A222,'Budget original'!$A$2:$A$501,0),MATCH(F$2,'Budget original'!$A$2:$AO$2,0))</f>
        <v>0</v>
      </c>
      <c r="G222" s="297"/>
      <c r="H222" s="41"/>
      <c r="I222" s="253"/>
      <c r="J222" s="252"/>
      <c r="K222" s="41"/>
      <c r="L222" s="255">
        <f>SUMIFS(BV_Data_An_Cour!$AM:$AM,BV_Data_An_Cour!$AP:$AP,$B222,BV_Data_An_Cour!$AQ:$AQ,$C222,BV_Data_An_Cour!$AR:$AR,$L$2)</f>
        <v>67.340000000000032</v>
      </c>
      <c r="M222" s="252"/>
      <c r="N222" s="275">
        <f t="shared" si="42"/>
        <v>67.340000000000032</v>
      </c>
      <c r="O222" s="252"/>
      <c r="P222" s="41"/>
      <c r="Q222" s="255">
        <f>SUMIFS(BV_Data_An_Prec!$AM:$AM,BV_Data_An_Prec!$AP:$AP,$B222,BV_Data_An_Prec!$AQ:$AQ,$C222,BV_Data_An_Prec!$AR:$AR,$L$2)</f>
        <v>0</v>
      </c>
      <c r="R222" s="252"/>
      <c r="S222" s="275">
        <f t="shared" si="43"/>
        <v>67.340000000000032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488</v>
      </c>
      <c r="B223" s="41" t="s">
        <v>157</v>
      </c>
      <c r="C223" s="252" t="s">
        <v>135</v>
      </c>
      <c r="D223" s="296"/>
      <c r="E223" s="41"/>
      <c r="F223" s="253">
        <f>+INDEX('Budget original'!$A$2:$AO$501,MATCH($A223,'Budget original'!$A$2:$A$501,0),MATCH(F$2,'Budget original'!$A$2:$AO$2,0))</f>
        <v>0</v>
      </c>
      <c r="G223" s="297"/>
      <c r="H223" s="41"/>
      <c r="I223" s="253"/>
      <c r="J223" s="252"/>
      <c r="K223" s="41"/>
      <c r="L223" s="255">
        <f>SUMIFS(BV_Data_An_Cour!$AM:$AM,BV_Data_An_Cour!$AP:$AP,$B223,BV_Data_An_Cour!$AQ:$AQ,$C223,BV_Data_An_Cour!$AR:$AR,$L$2)</f>
        <v>0</v>
      </c>
      <c r="M223" s="252"/>
      <c r="N223" s="275">
        <f t="shared" si="42"/>
        <v>0</v>
      </c>
      <c r="O223" s="252"/>
      <c r="P223" s="41"/>
      <c r="Q223" s="255">
        <f>SUMIFS(BV_Data_An_Prec!$AM:$AM,BV_Data_An_Prec!$AP:$AP,$B223,BV_Data_An_Prec!$AQ:$AQ,$C223,BV_Data_An_Prec!$AR:$AR,$L$2)</f>
        <v>0</v>
      </c>
      <c r="R223" s="252"/>
      <c r="S223" s="275">
        <f t="shared" si="43"/>
        <v>0</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489</v>
      </c>
      <c r="B224" s="41" t="s">
        <v>157</v>
      </c>
      <c r="C224" s="252" t="s">
        <v>136</v>
      </c>
      <c r="D224" s="296"/>
      <c r="E224" s="41"/>
      <c r="F224" s="253">
        <f>+INDEX('Budget original'!$A$2:$AO$501,MATCH($A224,'Budget original'!$A$2:$A$501,0),MATCH(F$2,'Budget original'!$A$2:$AO$2,0))</f>
        <v>0</v>
      </c>
      <c r="G224" s="297"/>
      <c r="H224" s="41"/>
      <c r="I224" s="253"/>
      <c r="J224" s="252"/>
      <c r="K224" s="41"/>
      <c r="L224" s="255">
        <f>SUMIFS(BV_Data_An_Cour!$AM:$AM,BV_Data_An_Cour!$AP:$AP,$B224,BV_Data_An_Cour!$AQ:$AQ,$C224,BV_Data_An_Cour!$AR:$AR,$L$2)</f>
        <v>500</v>
      </c>
      <c r="M224" s="252"/>
      <c r="N224" s="275">
        <f t="shared" si="42"/>
        <v>500</v>
      </c>
      <c r="O224" s="252"/>
      <c r="P224" s="41"/>
      <c r="Q224" s="255">
        <f>SUMIFS(BV_Data_An_Prec!$AM:$AM,BV_Data_An_Prec!$AP:$AP,$B224,BV_Data_An_Prec!$AQ:$AQ,$C224,BV_Data_An_Prec!$AR:$AR,$L$2)</f>
        <v>0</v>
      </c>
      <c r="R224" s="252"/>
      <c r="S224" s="275">
        <f t="shared" si="43"/>
        <v>500</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490</v>
      </c>
      <c r="B225" s="41" t="s">
        <v>157</v>
      </c>
      <c r="C225" s="252" t="s">
        <v>137</v>
      </c>
      <c r="D225" s="296"/>
      <c r="E225" s="41"/>
      <c r="F225" s="253">
        <f>+INDEX('Budget original'!$A$2:$AO$501,MATCH($A225,'Budget original'!$A$2:$A$501,0),MATCH(F$2,'Budget original'!$A$2:$AO$2,0))</f>
        <v>0</v>
      </c>
      <c r="G225" s="297"/>
      <c r="H225" s="41"/>
      <c r="I225" s="253"/>
      <c r="J225" s="252"/>
      <c r="K225" s="41"/>
      <c r="L225" s="255">
        <f>SUMIFS(BV_Data_An_Cour!$AM:$AM,BV_Data_An_Cour!$AP:$AP,$B225,BV_Data_An_Cour!$AQ:$AQ,$C225,BV_Data_An_Cour!$AR:$AR,$L$2)</f>
        <v>1983</v>
      </c>
      <c r="M225" s="252"/>
      <c r="N225" s="275">
        <f t="shared" si="42"/>
        <v>1983</v>
      </c>
      <c r="O225" s="252"/>
      <c r="P225" s="41"/>
      <c r="Q225" s="255">
        <f>SUMIFS(BV_Data_An_Prec!$AM:$AM,BV_Data_An_Prec!$AP:$AP,$B225,BV_Data_An_Prec!$AQ:$AQ,$C225,BV_Data_An_Prec!$AR:$AR,$L$2)</f>
        <v>0</v>
      </c>
      <c r="R225" s="252"/>
      <c r="S225" s="275">
        <f t="shared" si="43"/>
        <v>1983</v>
      </c>
      <c r="T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
        <v>491</v>
      </c>
      <c r="B226" s="41" t="s">
        <v>157</v>
      </c>
      <c r="C226" s="252" t="s">
        <v>138</v>
      </c>
      <c r="D226" s="296"/>
      <c r="E226" s="41"/>
      <c r="F226" s="253">
        <f>+INDEX('Budget original'!$A$2:$AO$501,MATCH($A226,'Budget original'!$A$2:$A$501,0),MATCH(F$2,'Budget original'!$A$2:$AO$2,0))</f>
        <v>0</v>
      </c>
      <c r="G226" s="297"/>
      <c r="H226" s="41"/>
      <c r="I226" s="253"/>
      <c r="J226" s="252"/>
      <c r="K226" s="41"/>
      <c r="L226" s="255">
        <f>SUMIFS(BV_Data_An_Cour!$AM:$AM,BV_Data_An_Cour!$AP:$AP,$B226,BV_Data_An_Cour!$AQ:$AQ,$C226,BV_Data_An_Cour!$AR:$AR,$L$2)</f>
        <v>0</v>
      </c>
      <c r="M226" s="252"/>
      <c r="N226" s="275">
        <f t="shared" si="42"/>
        <v>0</v>
      </c>
      <c r="O226" s="252"/>
      <c r="P226" s="41"/>
      <c r="Q226" s="255">
        <f>SUMIFS(BV_Data_An_Prec!$AM:$AM,BV_Data_An_Prec!$AP:$AP,$B226,BV_Data_An_Prec!$AQ:$AQ,$C226,BV_Data_An_Prec!$AR:$AR,$L$2)</f>
        <v>0</v>
      </c>
      <c r="R226" s="252"/>
      <c r="S226" s="275">
        <f t="shared" si="43"/>
        <v>0</v>
      </c>
      <c r="T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470</v>
      </c>
      <c r="B227" s="41" t="s">
        <v>157</v>
      </c>
      <c r="C227" s="252" t="s">
        <v>55</v>
      </c>
      <c r="D227" s="296"/>
      <c r="E227" s="41"/>
      <c r="F227" s="253">
        <f>+INDEX('Budget original'!$A$2:$AO$501,MATCH($A227,'Budget original'!$A$2:$A$501,0),MATCH(F$2,'Budget original'!$A$2:$AO$2,0))</f>
        <v>0</v>
      </c>
      <c r="G227" s="297"/>
      <c r="H227" s="41"/>
      <c r="I227" s="253"/>
      <c r="J227" s="252"/>
      <c r="K227" s="41"/>
      <c r="L227" s="255">
        <f>SUMIFS(BV_Data_An_Cour!$AM:$AM,BV_Data_An_Cour!$AP:$AP,$B227,BV_Data_An_Cour!$AQ:$AQ,$C227,BV_Data_An_Cour!$AR:$AR,$L$2)</f>
        <v>0</v>
      </c>
      <c r="M227" s="252"/>
      <c r="N227" s="275">
        <f t="shared" si="42"/>
        <v>0</v>
      </c>
      <c r="O227" s="252"/>
      <c r="P227" s="41"/>
      <c r="Q227" s="255">
        <f>SUMIFS(BV_Data_An_Prec!$AM:$AM,BV_Data_An_Prec!$AP:$AP,$B227,BV_Data_An_Prec!$AQ:$AQ,$C227,BV_Data_An_Prec!$AR:$AR,$L$2)</f>
        <v>0</v>
      </c>
      <c r="R227" s="252"/>
      <c r="S227" s="275">
        <f t="shared" si="43"/>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470</v>
      </c>
      <c r="B228" s="41" t="s">
        <v>157</v>
      </c>
      <c r="C228" s="252" t="s">
        <v>55</v>
      </c>
      <c r="D228" s="296"/>
      <c r="E228" s="41"/>
      <c r="F228" s="253">
        <f>+INDEX('Budget original'!$A$2:$AO$501,MATCH($A228,'Budget original'!$A$2:$A$501,0),MATCH(F$2,'Budget original'!$A$2:$AO$2,0))</f>
        <v>0</v>
      </c>
      <c r="G228" s="297"/>
      <c r="H228" s="41"/>
      <c r="I228" s="253"/>
      <c r="J228" s="252"/>
      <c r="K228" s="41"/>
      <c r="L228" s="255">
        <f>SUMIFS(BV_Data_An_Cour!$AM:$AM,BV_Data_An_Cour!$AP:$AP,$B228,BV_Data_An_Cour!$AQ:$AQ,$C228,BV_Data_An_Cour!$AR:$AR,$L$2)</f>
        <v>0</v>
      </c>
      <c r="M228" s="252"/>
      <c r="N228" s="275">
        <f t="shared" si="42"/>
        <v>0</v>
      </c>
      <c r="O228" s="252"/>
      <c r="P228" s="41"/>
      <c r="Q228" s="255">
        <f>SUMIFS(BV_Data_An_Prec!$AM:$AM,BV_Data_An_Prec!$AP:$AP,$B228,BV_Data_An_Prec!$AQ:$AQ,$C228,BV_Data_An_Prec!$AR:$AR,$L$2)</f>
        <v>0</v>
      </c>
      <c r="R228" s="252"/>
      <c r="S228" s="275">
        <f t="shared" si="43"/>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
        <v>470</v>
      </c>
      <c r="B229" s="41" t="s">
        <v>157</v>
      </c>
      <c r="C229" s="252" t="s">
        <v>55</v>
      </c>
      <c r="D229" s="296"/>
      <c r="E229" s="41"/>
      <c r="F229" s="253">
        <f>+INDEX('Budget original'!$A$2:$AO$501,MATCH($A229,'Budget original'!$A$2:$A$501,0),MATCH(F$2,'Budget original'!$A$2:$AO$2,0))</f>
        <v>0</v>
      </c>
      <c r="G229" s="297"/>
      <c r="H229" s="41"/>
      <c r="I229" s="253"/>
      <c r="J229" s="252"/>
      <c r="K229" s="41"/>
      <c r="L229" s="255">
        <f>SUMIFS(BV_Data_An_Cour!$AM:$AM,BV_Data_An_Cour!$AP:$AP,$B229,BV_Data_An_Cour!$AQ:$AQ,$C229,BV_Data_An_Cour!$AR:$AR,$L$2)</f>
        <v>0</v>
      </c>
      <c r="M229" s="252"/>
      <c r="N229" s="275">
        <f t="shared" si="42"/>
        <v>0</v>
      </c>
      <c r="O229" s="252"/>
      <c r="P229" s="41"/>
      <c r="Q229" s="255">
        <f>SUMIFS(BV_Data_An_Prec!$AM:$AM,BV_Data_An_Prec!$AP:$AP,$B229,BV_Data_An_Prec!$AQ:$AQ,$C229,BV_Data_An_Prec!$AR:$AR,$L$2)</f>
        <v>0</v>
      </c>
      <c r="R229" s="252"/>
      <c r="S229" s="275">
        <f t="shared" si="43"/>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8.5803214305399056E-2</v>
      </c>
      <c r="L230" s="306">
        <f>+SUM(L212:L229)</f>
        <v>15878.760000000004</v>
      </c>
      <c r="M230" s="309"/>
      <c r="N230" s="306">
        <f t="shared" si="42"/>
        <v>15878.760000000004</v>
      </c>
      <c r="O230" s="307" t="s">
        <v>171</v>
      </c>
      <c r="P230" s="305" t="e">
        <f>Q230/Q$195</f>
        <v>#DIV/0!</v>
      </c>
      <c r="Q230" s="306">
        <f>+SUM(Q212:Q229)</f>
        <v>0</v>
      </c>
      <c r="R230" s="309"/>
      <c r="S230" s="306">
        <f t="shared" si="43"/>
        <v>15878.760000000004</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0.54319432271228529</v>
      </c>
      <c r="L232" s="306">
        <f>L211+L230</f>
        <v>100523.65000000002</v>
      </c>
      <c r="M232" s="309"/>
      <c r="N232" s="318">
        <f>L232-F232</f>
        <v>100523.65000000002</v>
      </c>
      <c r="O232" s="307" t="s">
        <v>115</v>
      </c>
      <c r="P232" s="305" t="e">
        <f>Q232/Q$195</f>
        <v>#DIV/0!</v>
      </c>
      <c r="Q232" s="306">
        <f>Q211+Q230</f>
        <v>0</v>
      </c>
      <c r="R232" s="309"/>
      <c r="S232" s="318">
        <f>L232-Q232</f>
        <v>100523.65000000002</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330" t="s">
        <v>147</v>
      </c>
      <c r="D234" s="358"/>
      <c r="E234" s="331"/>
      <c r="F234" s="333">
        <f>F195-F232</f>
        <v>0</v>
      </c>
      <c r="G234" s="359"/>
      <c r="H234" s="331"/>
      <c r="I234" s="333"/>
      <c r="J234" s="330"/>
      <c r="K234" s="332"/>
      <c r="L234" s="333">
        <f>L195-L232</f>
        <v>84536.549999999901</v>
      </c>
      <c r="M234" s="330"/>
      <c r="N234" s="333">
        <f>L234-F234</f>
        <v>84536.549999999901</v>
      </c>
      <c r="O234" s="330"/>
      <c r="P234" s="332"/>
      <c r="Q234" s="333">
        <f>Q195-Q232</f>
        <v>0</v>
      </c>
      <c r="R234" s="330"/>
      <c r="S234" s="333">
        <f>L234-Q234</f>
        <v>84536.549999999901</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37" t="str">
        <f>C1</f>
        <v>Hyundai</v>
      </c>
      <c r="D237" s="231"/>
      <c r="E237" s="231"/>
      <c r="F237" s="231"/>
      <c r="G237" s="231"/>
      <c r="H237" s="36"/>
      <c r="I237" s="36"/>
      <c r="J237" s="36"/>
      <c r="K237" s="9" t="s">
        <v>172</v>
      </c>
      <c r="L237" s="231"/>
      <c r="M237" s="231"/>
      <c r="N237" s="36"/>
      <c r="O237" s="36"/>
      <c r="P237" s="231"/>
      <c r="Q237" s="36"/>
      <c r="R237" s="231"/>
      <c r="S237" s="10" t="str">
        <f>$S$1</f>
        <v>Réalisé, Mai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
        <v>172</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
        <v>172</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
        <v>492</v>
      </c>
      <c r="B242" s="41" t="s">
        <v>172</v>
      </c>
      <c r="C242" s="252" t="s">
        <v>173</v>
      </c>
      <c r="D242" s="398">
        <f>+INDEX('Budget original'!$A$2:$AO$501,MATCH($A242,'Budget original'!$A$2:$A$501,0),MATCH(D$2,'Budget original'!$A$2:$AO$2,0))</f>
        <v>0</v>
      </c>
      <c r="E242" s="290">
        <f>+INDEX('Budget original'!$A$2:$AO$501,MATCH($A242,'Budget original'!$A$2:$A$501,0),MATCH(E$2,'Budget original'!$A$2:$AO$2,0))</f>
        <v>0</v>
      </c>
      <c r="F242" s="290">
        <f>+INDEX('Budget original'!$A$2:$AO$501,MATCH($A242,'Budget original'!$A$2:$A$501,0),MATCH(F$2,'Budget original'!$A$2:$AO$2,0))</f>
        <v>0</v>
      </c>
      <c r="G242" s="320"/>
      <c r="H242" s="290"/>
      <c r="I242" s="290"/>
      <c r="J242" s="276">
        <f>SUMIFS(BV_Data_An_Cour!$AW:$AW,BV_Data_An_Cour!$AP:$AP,$B242,BV_Data_An_Cour!$AQ:$AQ,$C242,BV_Data_An_Cour!$AY:$AY,J$2)</f>
        <v>0</v>
      </c>
      <c r="K242" s="253">
        <f>-SUMIFS(BV_Data_An_Cour!$AM:$AM,BV_Data_An_Cour!$AS:$AS,"Oui",BV_Data_An_Cour!$AP:$AP,$B242,BV_Data_An_Cour!$AQ:$AQ,$C242)</f>
        <v>0</v>
      </c>
      <c r="L242" s="255">
        <f>-SUMIFS(BV_Data_An_Cour!$AM:$AM,BV_Data_An_Cour!$AP:$AP,$B242,BV_Data_An_Cour!$AQ:$AQ,$C242,BV_Data_An_Cour!$AR:$AR,$L$2)</f>
        <v>0</v>
      </c>
      <c r="M242" s="291">
        <f>IFERROR((K242-E242)/E242,0)</f>
        <v>0</v>
      </c>
      <c r="N242" s="275">
        <f>L242-F242</f>
        <v>0</v>
      </c>
      <c r="O242" s="276">
        <f>SUMIFS(BV_Data_An_Prec!$AW:$AW,BV_Data_An_Prec!$AP:$AP,$B242,BV_Data_An_Prec!$AQ:$AQ,$C242,BV_Data_An_Prec!$AY:$AY,O$2)</f>
        <v>0</v>
      </c>
      <c r="P242" s="253">
        <f>-SUMIFS(BV_Data_An_Prec!$AM:$AM,BV_Data_An_Prec!$AS:$AS,"Oui",BV_Data_An_Prec!$AP:$AP,$B242,BV_Data_An_Prec!$AQ:$AQ,$C242)</f>
        <v>0</v>
      </c>
      <c r="Q242" s="255">
        <f>-SUMIFS(BV_Data_An_Prec!$AM:$AM,BV_Data_An_Prec!$AP:$AP,$B242,BV_Data_An_Prec!$AQ:$AQ,$C242,BV_Data_An_Prec!$AR:$AR,$L$2)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
        <v>493</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
        <v>172</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
        <v>494</v>
      </c>
      <c r="B245" s="41" t="s">
        <v>172</v>
      </c>
      <c r="C245" s="240" t="s">
        <v>174</v>
      </c>
      <c r="D245" s="364">
        <f>+INDEX('Budget original'!$A$2:$AO$501,MATCH($A245,'Budget original'!$A$2:$A$501,0),MATCH(D$2,'Budget original'!$A$2:$AO$2,0))</f>
        <v>0</v>
      </c>
      <c r="E245" s="290">
        <f>+INDEX('Budget original'!$A$2:$AO$501,MATCH($A245,'Budget original'!$A$2:$A$501,0),MATCH(E$2,'Budget original'!$A$2:$AO$2,0))</f>
        <v>0</v>
      </c>
      <c r="F245" s="290">
        <f>+INDEX('Budget original'!$A$2:$AO$501,MATCH($A245,'Budget original'!$A$2:$A$501,0),MATCH(F$2,'Budget original'!$A$2:$AO$2,0))</f>
        <v>0</v>
      </c>
      <c r="G245" s="400"/>
      <c r="H245" s="290"/>
      <c r="I245" s="290"/>
      <c r="J245" s="365">
        <f>SUMIFS(BV_Data_An_Cour!$AW:$AW,BV_Data_An_Cour!$AP:$AP,$B245,BV_Data_An_Cour!$AQ:$AQ,$C245,BV_Data_An_Cour!$AY:$AY,J$2)</f>
        <v>0</v>
      </c>
      <c r="K245" s="270">
        <f>-SUMIFS(BV_Data_An_Cour!$AM:$AM,BV_Data_An_Cour!$AS:$AS,"Oui",BV_Data_An_Cour!$AP:$AP,$B245,BV_Data_An_Cour!$AQ:$AQ,$C245)</f>
        <v>0</v>
      </c>
      <c r="L245" s="271">
        <f>-SUMIFS(BV_Data_An_Cour!$AM:$AM,BV_Data_An_Cour!$AP:$AP,$B245,BV_Data_An_Cour!$AQ:$AQ,$C245,BV_Data_An_Cour!$AR:$AR,$L$2)</f>
        <v>0</v>
      </c>
      <c r="M245" s="369">
        <f>IFERROR((K245-E245)/E245,0)</f>
        <v>0</v>
      </c>
      <c r="N245" s="315">
        <f>L245-F245</f>
        <v>0</v>
      </c>
      <c r="O245" s="365">
        <f>SUMIFS(BV_Data_An_Prec!$AW:$AW,BV_Data_An_Prec!$AP:$AP,$B245,BV_Data_An_Prec!$AQ:$AQ,$C245,BV_Data_An_Prec!$AY:$AY,O$2)</f>
        <v>0</v>
      </c>
      <c r="P245" s="270">
        <f>-SUMIFS(BV_Data_An_Prec!$AM:$AM,BV_Data_An_Prec!$AS:$AS,"Oui",BV_Data_An_Prec!$AP:$AP,$B245,BV_Data_An_Prec!$AQ:$AQ,$C245)</f>
        <v>0</v>
      </c>
      <c r="Q245" s="271">
        <f>-SUMIFS(BV_Data_An_Prec!$AM:$AM,BV_Data_An_Prec!$AP:$AP,$B245,BV_Data_An_Prec!$AQ:$AQ,$C245,BV_Data_An_Prec!$AR:$AR,$L$2)</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
        <v>493</v>
      </c>
      <c r="B246" s="41" t="s">
        <v>172</v>
      </c>
      <c r="C246" s="252" t="s">
        <v>161</v>
      </c>
      <c r="D246" s="41"/>
      <c r="E246" s="347"/>
      <c r="F246" s="360" t="e">
        <f>F245/E245</f>
        <v>#DIV/0!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
        <v>172</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
        <v>495</v>
      </c>
      <c r="B248" s="41" t="s">
        <v>172</v>
      </c>
      <c r="C248" s="240" t="s">
        <v>175</v>
      </c>
      <c r="D248" s="364">
        <v>0</v>
      </c>
      <c r="E248" s="290">
        <v>0</v>
      </c>
      <c r="F248" s="290">
        <v>0</v>
      </c>
      <c r="G248" s="365"/>
      <c r="H248" s="290"/>
      <c r="I248" s="290"/>
      <c r="J248" s="365">
        <f>SUMIFS(BV_Data_An_Cour!$AW:$AW,BV_Data_An_Cour!$AP:$AP,$B248,BV_Data_An_Cour!$AQ:$AQ,$C248,BV_Data_An_Cour!$AY:$AY,J$2)</f>
        <v>0</v>
      </c>
      <c r="K248" s="253">
        <f>-SUMIFS(BV_Data_An_Cour!$AM:$AM,BV_Data_An_Cour!$AS:$AS,"Oui",BV_Data_An_Cour!$AP:$AP,$B248,BV_Data_An_Cour!$AQ:$AQ,$C248)</f>
        <v>0</v>
      </c>
      <c r="L248" s="255">
        <f>-SUMIFS(BV_Data_An_Cour!$AM:$AM,BV_Data_An_Cour!$AP:$AP,$B248,BV_Data_An_Cour!$AQ:$AQ,$C248,BV_Data_An_Cour!$AR:$AR,$L$2)</f>
        <v>0</v>
      </c>
      <c r="M248" s="291">
        <f>IFERROR((K248-E248)/E248,0)</f>
        <v>0</v>
      </c>
      <c r="N248" s="315">
        <f>L248-F248</f>
        <v>0</v>
      </c>
      <c r="O248" s="365">
        <f>SUMIFS(BV_Data_An_Prec!$AW:$AW,BV_Data_An_Prec!$AP:$AP,$B248,BV_Data_An_Prec!$AQ:$AQ,$C248,BV_Data_An_Prec!$AY:$AY,O$2)</f>
        <v>0</v>
      </c>
      <c r="P248" s="253">
        <f>-SUMIFS(BV_Data_An_Prec!$AM:$AM,BV_Data_An_Prec!$AS:$AS,"Oui",BV_Data_An_Prec!$AP:$AP,$B248,BV_Data_An_Prec!$AQ:$AQ,$C248)</f>
        <v>0</v>
      </c>
      <c r="Q248" s="255">
        <f>-SUMIFS(BV_Data_An_Prec!$AM:$AM,BV_Data_An_Prec!$AP:$AP,$B248,BV_Data_An_Prec!$AQ:$AQ,$C248,BV_Data_An_Prec!$AR:$AR,$L$2)</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
        <v>493</v>
      </c>
      <c r="B249" s="41" t="s">
        <v>172</v>
      </c>
      <c r="C249" s="252" t="s">
        <v>161</v>
      </c>
      <c r="D249" s="41"/>
      <c r="E249" s="41"/>
      <c r="F249" s="360" t="e">
        <f>F248/E248</f>
        <v>#DIV/0!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c r="A250" s="5" t="s">
        <v>172</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c r="A251" s="5" t="s">
        <v>496</v>
      </c>
      <c r="B251" s="41" t="s">
        <v>172</v>
      </c>
      <c r="C251" s="277" t="s">
        <v>170</v>
      </c>
      <c r="D251" s="278"/>
      <c r="E251" s="278">
        <f>E245+E248+E242</f>
        <v>0</v>
      </c>
      <c r="F251" s="280">
        <f>F245+F248+F242</f>
        <v>0</v>
      </c>
      <c r="G251" s="281"/>
      <c r="H251" s="278"/>
      <c r="I251" s="280"/>
      <c r="J251" s="281"/>
      <c r="K251" s="278">
        <f t="shared" ref="K251:L251" si="44">K245+K248+K242</f>
        <v>0</v>
      </c>
      <c r="L251" s="280">
        <f t="shared" si="44"/>
        <v>0</v>
      </c>
      <c r="M251" s="397" t="e">
        <f>L252-F252</f>
        <v>#DIV/0!</v>
      </c>
      <c r="N251" s="280">
        <f>L251-F251</f>
        <v>0</v>
      </c>
      <c r="O251" s="281"/>
      <c r="P251" s="278">
        <f t="shared" ref="P251:Q251" si="45">P245+P248+P242</f>
        <v>0</v>
      </c>
      <c r="Q251" s="280">
        <f t="shared" si="45"/>
        <v>0</v>
      </c>
      <c r="R251" s="403">
        <f>L252-Q252</f>
        <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c r="A252" s="5" t="s">
        <v>172</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f>IF(P251=0,0,Q251/P251)</f>
        <v>0</v>
      </c>
      <c r="R252" s="285"/>
      <c r="S252" s="286" t="e">
        <f>S251/Q251</f>
        <v>#DIV/0!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c r="A253" s="5" t="s">
        <v>172</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
        <v>497</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
        <v>498</v>
      </c>
      <c r="B255" s="41" t="s">
        <v>172</v>
      </c>
      <c r="C255" s="310" t="s">
        <v>116</v>
      </c>
      <c r="D255" s="41"/>
      <c r="E255" s="41"/>
      <c r="F255" s="253">
        <f>+INDEX('Budget original'!$A$2:$AO$501,MATCH($A255,'Budget original'!$A$2:$A$501,0),MATCH(F$2,'Budget original'!$A$2:$AO$2,0))</f>
        <v>0</v>
      </c>
      <c r="G255" s="252"/>
      <c r="H255" s="41"/>
      <c r="I255" s="253"/>
      <c r="J255" s="252"/>
      <c r="K255" s="41"/>
      <c r="L255" s="255">
        <f>SUMIFS(BV_Data_An_Cour!$AM:$AM,BV_Data_An_Cour!$AP:$AP,$B255,BV_Data_An_Cour!$AQ:$AQ,$C255,BV_Data_An_Cour!$AR:$AR,$L$2)</f>
        <v>0</v>
      </c>
      <c r="M255" s="252"/>
      <c r="N255" s="275">
        <f t="shared" ref="N255:N285" si="46">L255-F255</f>
        <v>0</v>
      </c>
      <c r="O255" s="252"/>
      <c r="P255" s="41"/>
      <c r="Q255" s="255">
        <f>SUMIFS(BV_Data_An_Prec!$AM:$AM,BV_Data_An_Prec!$AP:$AP,$B255,BV_Data_An_Prec!$AQ:$AQ,$C255,BV_Data_An_Prec!$AR:$AR,$L$2)</f>
        <v>0</v>
      </c>
      <c r="R255" s="252"/>
      <c r="S255" s="255">
        <f t="shared" ref="S255:S286" si="47">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
        <v>499</v>
      </c>
      <c r="B256" s="41" t="s">
        <v>172</v>
      </c>
      <c r="C256" s="311" t="s">
        <v>117</v>
      </c>
      <c r="D256" s="296"/>
      <c r="E256" s="41"/>
      <c r="F256" s="247">
        <f>+INDEX('Budget original'!$A$2:$AO$501,MATCH($A256,'Budget original'!$A$2:$A$501,0),MATCH(F$2,'Budget original'!$A$2:$AO$2,0))</f>
        <v>0</v>
      </c>
      <c r="G256" s="297"/>
      <c r="H256" s="41"/>
      <c r="I256" s="247"/>
      <c r="J256" s="252"/>
      <c r="K256" s="41"/>
      <c r="L256" s="255">
        <f>SUMIFS(BV_Data_An_Cour!$AM:$AM,BV_Data_An_Cour!$AP:$AP,$B256,BV_Data_An_Cour!$AQ:$AQ,$C256,BV_Data_An_Cour!$AR:$AR,$L$2)</f>
        <v>0</v>
      </c>
      <c r="M256" s="252"/>
      <c r="N256" s="275">
        <f t="shared" si="46"/>
        <v>0</v>
      </c>
      <c r="O256" s="252"/>
      <c r="P256" s="41"/>
      <c r="Q256" s="255">
        <f>SUMIFS(BV_Data_An_Prec!$AM:$AM,BV_Data_An_Prec!$AP:$AP,$B256,BV_Data_An_Prec!$AQ:$AQ,$C256,BV_Data_An_Prec!$AR:$AR,$L$2)</f>
        <v>0</v>
      </c>
      <c r="R256" s="252"/>
      <c r="S256" s="275">
        <f t="shared" si="47"/>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
        <v>500</v>
      </c>
      <c r="B257" s="41" t="s">
        <v>172</v>
      </c>
      <c r="C257" s="310" t="s">
        <v>118</v>
      </c>
      <c r="D257" s="312"/>
      <c r="E257" s="313"/>
      <c r="F257" s="253">
        <f>+INDEX('Budget original'!$A$2:$AO$501,MATCH($A257,'Budget original'!$A$2:$A$501,0),MATCH(F$2,'Budget original'!$A$2:$AO$2,0))</f>
        <v>0</v>
      </c>
      <c r="G257" s="314"/>
      <c r="H257" s="313"/>
      <c r="I257" s="253"/>
      <c r="J257" s="240"/>
      <c r="K257" s="313"/>
      <c r="L257" s="271">
        <f>SUMIFS(BV_Data_An_Cour!$AM:$AM,BV_Data_An_Cour!$AP:$AP,$B257,BV_Data_An_Cour!$AQ:$AQ,$C257,BV_Data_An_Cour!$AR:$AR,$L$2)</f>
        <v>0</v>
      </c>
      <c r="M257" s="240"/>
      <c r="N257" s="315">
        <f t="shared" si="46"/>
        <v>0</v>
      </c>
      <c r="O257" s="240"/>
      <c r="P257" s="313"/>
      <c r="Q257" s="271">
        <f>SUMIFS(BV_Data_An_Prec!$AM:$AM,BV_Data_An_Prec!$AP:$AP,$B257,BV_Data_An_Prec!$AQ:$AQ,$C257,BV_Data_An_Prec!$AR:$AR,$L$2)</f>
        <v>0</v>
      </c>
      <c r="R257" s="240"/>
      <c r="S257" s="315">
        <f t="shared" si="47"/>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501</v>
      </c>
      <c r="B258" s="41" t="s">
        <v>172</v>
      </c>
      <c r="C258" s="310" t="s">
        <v>119</v>
      </c>
      <c r="D258" s="296"/>
      <c r="E258" s="41"/>
      <c r="F258" s="253">
        <f>+INDEX('Budget original'!$A$2:$AO$501,MATCH($A258,'Budget original'!$A$2:$A$501,0),MATCH(F$2,'Budget original'!$A$2:$AO$2,0))</f>
        <v>0</v>
      </c>
      <c r="G258" s="297"/>
      <c r="H258" s="41"/>
      <c r="I258" s="253"/>
      <c r="J258" s="252"/>
      <c r="K258" s="41"/>
      <c r="L258" s="255">
        <f>SUMIFS(BV_Data_An_Cour!$AM:$AM,BV_Data_An_Cour!$AP:$AP,$B258,BV_Data_An_Cour!$AQ:$AQ,$C258,BV_Data_An_Cour!$AR:$AR,$L$2)</f>
        <v>0</v>
      </c>
      <c r="M258" s="252"/>
      <c r="N258" s="275">
        <f t="shared" si="46"/>
        <v>0</v>
      </c>
      <c r="O258" s="252"/>
      <c r="P258" s="41"/>
      <c r="Q258" s="255">
        <f>SUMIFS(BV_Data_An_Prec!$AM:$AM,BV_Data_An_Prec!$AP:$AP,$B258,BV_Data_An_Prec!$AQ:$AQ,$C258,BV_Data_An_Prec!$AR:$AR,$L$2)</f>
        <v>0</v>
      </c>
      <c r="R258" s="252"/>
      <c r="S258" s="275">
        <f t="shared" si="47"/>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502</v>
      </c>
      <c r="B259" s="41" t="s">
        <v>172</v>
      </c>
      <c r="C259" s="252" t="s">
        <v>55</v>
      </c>
      <c r="D259" s="296"/>
      <c r="E259" s="41"/>
      <c r="F259" s="253">
        <f>+INDEX('Budget original'!$A$2:$AO$501,MATCH($A259,'Budget original'!$A$2:$A$501,0),MATCH(F$2,'Budget original'!$A$2:$AO$2,0))</f>
        <v>0</v>
      </c>
      <c r="G259" s="297"/>
      <c r="H259" s="41"/>
      <c r="I259" s="253"/>
      <c r="J259" s="252"/>
      <c r="K259" s="41"/>
      <c r="L259" s="255">
        <f>SUMIFS(BV_Data_An_Cour!$AM:$AM,BV_Data_An_Cour!$AP:$AP,$B259,BV_Data_An_Cour!$AQ:$AQ,$C259,BV_Data_An_Cour!$AR:$AR,$L$2)</f>
        <v>0</v>
      </c>
      <c r="M259" s="252"/>
      <c r="N259" s="275">
        <f t="shared" si="46"/>
        <v>0</v>
      </c>
      <c r="O259" s="252"/>
      <c r="P259" s="41"/>
      <c r="Q259" s="255">
        <f>SUMIFS(BV_Data_An_Prec!$AM:$AM,BV_Data_An_Prec!$AP:$AP,$B259,BV_Data_An_Prec!$AQ:$AQ,$C259,BV_Data_An_Prec!$AR:$AR,$L$2)</f>
        <v>0</v>
      </c>
      <c r="R259" s="252"/>
      <c r="S259" s="275">
        <f t="shared" si="47"/>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502</v>
      </c>
      <c r="B260" s="41" t="s">
        <v>172</v>
      </c>
      <c r="C260" s="252" t="s">
        <v>55</v>
      </c>
      <c r="D260" s="296"/>
      <c r="E260" s="41"/>
      <c r="F260" s="253">
        <f>+INDEX('Budget original'!$A$2:$AO$501,MATCH($A260,'Budget original'!$A$2:$A$501,0),MATCH(F$2,'Budget original'!$A$2:$AO$2,0))</f>
        <v>0</v>
      </c>
      <c r="G260" s="297"/>
      <c r="H260" s="41"/>
      <c r="I260" s="253"/>
      <c r="J260" s="252"/>
      <c r="K260" s="41"/>
      <c r="L260" s="255">
        <f>SUMIFS(BV_Data_An_Cour!$AM:$AM,BV_Data_An_Cour!$AP:$AP,$B260,BV_Data_An_Cour!$AQ:$AQ,$C260,BV_Data_An_Cour!$AR:$AR,$L$2)</f>
        <v>0</v>
      </c>
      <c r="M260" s="252"/>
      <c r="N260" s="275">
        <f t="shared" si="46"/>
        <v>0</v>
      </c>
      <c r="O260" s="252"/>
      <c r="P260" s="41"/>
      <c r="Q260" s="255">
        <f>SUMIFS(BV_Data_An_Prec!$AM:$AM,BV_Data_An_Prec!$AP:$AP,$B260,BV_Data_An_Prec!$AQ:$AQ,$C260,BV_Data_An_Prec!$AR:$AR,$L$2)</f>
        <v>0</v>
      </c>
      <c r="R260" s="252"/>
      <c r="S260" s="275">
        <f t="shared" si="47"/>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
        <v>502</v>
      </c>
      <c r="B261" s="41" t="s">
        <v>172</v>
      </c>
      <c r="C261" s="252" t="s">
        <v>55</v>
      </c>
      <c r="D261" s="296"/>
      <c r="E261" s="41"/>
      <c r="F261" s="253">
        <f>+INDEX('Budget original'!$A$2:$AO$501,MATCH($A261,'Budget original'!$A$2:$A$501,0),MATCH(F$2,'Budget original'!$A$2:$AO$2,0))</f>
        <v>0</v>
      </c>
      <c r="G261" s="297"/>
      <c r="H261" s="41"/>
      <c r="I261" s="253"/>
      <c r="J261" s="252"/>
      <c r="K261" s="41"/>
      <c r="L261" s="255">
        <f>SUMIFS(BV_Data_An_Cour!$AM:$AM,BV_Data_An_Cour!$AP:$AP,$B261,BV_Data_An_Cour!$AQ:$AQ,$C261,BV_Data_An_Cour!$AR:$AR,$L$2)</f>
        <v>0</v>
      </c>
      <c r="M261" s="252"/>
      <c r="N261" s="275">
        <f t="shared" si="46"/>
        <v>0</v>
      </c>
      <c r="O261" s="252"/>
      <c r="P261" s="41"/>
      <c r="Q261" s="255">
        <f>SUMIFS(BV_Data_An_Prec!$AM:$AM,BV_Data_An_Prec!$AP:$AP,$B261,BV_Data_An_Prec!$AQ:$AQ,$C261,BV_Data_An_Prec!$AR:$AR,$L$2)</f>
        <v>0</v>
      </c>
      <c r="R261" s="252"/>
      <c r="S261" s="275">
        <f t="shared" si="47"/>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
        <v>503</v>
      </c>
      <c r="B262" s="41" t="s">
        <v>172</v>
      </c>
      <c r="C262" s="311" t="s">
        <v>120</v>
      </c>
      <c r="D262" s="296"/>
      <c r="E262" s="41"/>
      <c r="F262" s="247">
        <f>+INDEX('Budget original'!$A$2:$AO$501,MATCH($A262,'Budget original'!$A$2:$A$501,0),MATCH(F$2,'Budget original'!$A$2:$AO$2,0))</f>
        <v>0</v>
      </c>
      <c r="G262" s="297"/>
      <c r="H262" s="41"/>
      <c r="I262" s="247"/>
      <c r="J262" s="252"/>
      <c r="K262" s="41"/>
      <c r="L262" s="255">
        <f>SUMIFS(BV_Data_An_Cour!$AM:$AM,BV_Data_An_Cour!$AP:$AP,$B262,BV_Data_An_Cour!$AQ:$AQ,$C262,BV_Data_An_Cour!$AR:$AR,$L$2)</f>
        <v>0</v>
      </c>
      <c r="M262" s="252"/>
      <c r="N262" s="275">
        <f t="shared" si="46"/>
        <v>0</v>
      </c>
      <c r="O262" s="252"/>
      <c r="P262" s="41"/>
      <c r="Q262" s="255">
        <f>SUMIFS(BV_Data_An_Prec!$AM:$AM,BV_Data_An_Prec!$AP:$AP,$B262,BV_Data_An_Prec!$AQ:$AQ,$C262,BV_Data_An_Prec!$AR:$AR,$L$2)</f>
        <v>0</v>
      </c>
      <c r="R262" s="252"/>
      <c r="S262" s="275">
        <f t="shared" si="47"/>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
        <v>504</v>
      </c>
      <c r="B263" s="41" t="s">
        <v>172</v>
      </c>
      <c r="C263" s="310" t="s">
        <v>121</v>
      </c>
      <c r="D263" s="312"/>
      <c r="E263" s="313"/>
      <c r="F263" s="253">
        <f>+INDEX('Budget original'!$A$2:$AO$501,MATCH($A263,'Budget original'!$A$2:$A$501,0),MATCH(F$2,'Budget original'!$A$2:$AO$2,0))</f>
        <v>0</v>
      </c>
      <c r="G263" s="314"/>
      <c r="H263" s="313"/>
      <c r="I263" s="253"/>
      <c r="J263" s="240"/>
      <c r="K263" s="313"/>
      <c r="L263" s="271">
        <f>SUMIFS(BV_Data_An_Cour!$AM:$AM,BV_Data_An_Cour!$AP:$AP,$B263,BV_Data_An_Cour!$AQ:$AQ,$C263,BV_Data_An_Cour!$AR:$AR,$L$2)</f>
        <v>0</v>
      </c>
      <c r="M263" s="240"/>
      <c r="N263" s="315">
        <f t="shared" si="46"/>
        <v>0</v>
      </c>
      <c r="O263" s="240"/>
      <c r="P263" s="313"/>
      <c r="Q263" s="271">
        <f>SUMIFS(BV_Data_An_Prec!$AM:$AM,BV_Data_An_Prec!$AP:$AP,$B263,BV_Data_An_Prec!$AQ:$AQ,$C263,BV_Data_An_Prec!$AR:$AR,$L$2)</f>
        <v>0</v>
      </c>
      <c r="R263" s="240"/>
      <c r="S263" s="315">
        <f t="shared" si="47"/>
        <v>0</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
        <v>505</v>
      </c>
      <c r="B264" s="41" t="s">
        <v>172</v>
      </c>
      <c r="C264" s="310" t="s">
        <v>122</v>
      </c>
      <c r="D264" s="296"/>
      <c r="E264" s="41"/>
      <c r="F264" s="253">
        <f>+INDEX('Budget original'!$A$2:$AO$501,MATCH($A264,'Budget original'!$A$2:$A$501,0),MATCH(F$2,'Budget original'!$A$2:$AO$2,0))</f>
        <v>0</v>
      </c>
      <c r="G264" s="297"/>
      <c r="H264" s="41"/>
      <c r="I264" s="253"/>
      <c r="J264" s="252"/>
      <c r="K264" s="41"/>
      <c r="L264" s="255">
        <f>SUMIFS(BV_Data_An_Cour!$AM:$AM,BV_Data_An_Cour!$AP:$AP,$B264,BV_Data_An_Cour!$AQ:$AQ,$C264,BV_Data_An_Cour!$AR:$AR,$L$2)</f>
        <v>0</v>
      </c>
      <c r="M264" s="252"/>
      <c r="N264" s="275">
        <f t="shared" si="46"/>
        <v>0</v>
      </c>
      <c r="O264" s="252"/>
      <c r="P264" s="41"/>
      <c r="Q264" s="255">
        <f>SUMIFS(BV_Data_An_Prec!$AM:$AM,BV_Data_An_Prec!$AP:$AP,$B264,BV_Data_An_Prec!$AQ:$AQ,$C264,BV_Data_An_Prec!$AR:$AR,$L$2)</f>
        <v>0</v>
      </c>
      <c r="R264" s="252"/>
      <c r="S264" s="275">
        <f t="shared" si="47"/>
        <v>0</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506</v>
      </c>
      <c r="B265" s="41" t="s">
        <v>172</v>
      </c>
      <c r="C265" s="310" t="s">
        <v>123</v>
      </c>
      <c r="D265" s="296"/>
      <c r="E265" s="41"/>
      <c r="F265" s="253">
        <f>+INDEX('Budget original'!$A$2:$AO$501,MATCH($A265,'Budget original'!$A$2:$A$501,0),MATCH(F$2,'Budget original'!$A$2:$AO$2,0))</f>
        <v>0</v>
      </c>
      <c r="G265" s="297"/>
      <c r="H265" s="41"/>
      <c r="I265" s="253"/>
      <c r="J265" s="252"/>
      <c r="K265" s="41"/>
      <c r="L265" s="255">
        <f>SUMIFS(BV_Data_An_Cour!$AM:$AM,BV_Data_An_Cour!$AP:$AP,$B265,BV_Data_An_Cour!$AQ:$AQ,$C265,BV_Data_An_Cour!$AR:$AR,$L$2)</f>
        <v>0</v>
      </c>
      <c r="M265" s="252"/>
      <c r="N265" s="275">
        <f t="shared" si="46"/>
        <v>0</v>
      </c>
      <c r="O265" s="252"/>
      <c r="P265" s="41"/>
      <c r="Q265" s="255">
        <f>SUMIFS(BV_Data_An_Prec!$AM:$AM,BV_Data_An_Prec!$AP:$AP,$B265,BV_Data_An_Prec!$AQ:$AQ,$C265,BV_Data_An_Prec!$AR:$AR,$L$2)</f>
        <v>0</v>
      </c>
      <c r="R265" s="252"/>
      <c r="S265" s="275">
        <f t="shared" si="47"/>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
        <v>502</v>
      </c>
      <c r="B266" s="41" t="s">
        <v>172</v>
      </c>
      <c r="C266" s="252" t="s">
        <v>55</v>
      </c>
      <c r="D266" s="298"/>
      <c r="E266" s="316"/>
      <c r="F266" s="253">
        <f>+INDEX('Budget original'!$A$2:$AO$501,MATCH($A266,'Budget original'!$A$2:$A$501,0),MATCH(F$2,'Budget original'!$A$2:$AO$2,0))</f>
        <v>0</v>
      </c>
      <c r="G266" s="299"/>
      <c r="H266" s="316"/>
      <c r="I266" s="253"/>
      <c r="J266" s="245"/>
      <c r="K266" s="316"/>
      <c r="L266" s="255">
        <f>SUMIFS(BV_Data_An_Cour!$AM:$AM,BV_Data_An_Cour!$AP:$AP,$B266,BV_Data_An_Cour!$AQ:$AQ,$C266,BV_Data_An_Cour!$AR:$AR,$L$2)</f>
        <v>0</v>
      </c>
      <c r="M266" s="245"/>
      <c r="N266" s="295">
        <f t="shared" si="46"/>
        <v>0</v>
      </c>
      <c r="O266" s="245"/>
      <c r="P266" s="316"/>
      <c r="Q266" s="255">
        <f>SUMIFS(BV_Data_An_Prec!$AM:$AM,BV_Data_An_Prec!$AP:$AP,$B266,BV_Data_An_Prec!$AQ:$AQ,$C266,BV_Data_An_Prec!$AR:$AR,$L$2)</f>
        <v>0</v>
      </c>
      <c r="R266" s="245"/>
      <c r="S266" s="295">
        <f t="shared" si="47"/>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
        <v>507</v>
      </c>
      <c r="B267" s="41" t="s">
        <v>172</v>
      </c>
      <c r="C267" s="303" t="s">
        <v>124</v>
      </c>
      <c r="D267" s="304" t="s">
        <v>115</v>
      </c>
      <c r="E267" s="305" t="e">
        <f>F267/F$251</f>
        <v>#DIV/0!</v>
      </c>
      <c r="F267" s="306">
        <f>+SUM(F255:F266)</f>
        <v>0</v>
      </c>
      <c r="G267" s="307"/>
      <c r="H267" s="305"/>
      <c r="I267" s="306"/>
      <c r="J267" s="307" t="s">
        <v>115</v>
      </c>
      <c r="K267" s="305">
        <f>IF(L251=0,0,L267/L$251)</f>
        <v>0</v>
      </c>
      <c r="L267" s="306">
        <f>+SUM(L255:L266)</f>
        <v>0</v>
      </c>
      <c r="M267" s="353"/>
      <c r="N267" s="318">
        <f t="shared" si="46"/>
        <v>0</v>
      </c>
      <c r="O267" s="307" t="s">
        <v>115</v>
      </c>
      <c r="P267" s="305">
        <f>IF(Q251=0,0,Q267/Q$251)</f>
        <v>0</v>
      </c>
      <c r="Q267" s="306">
        <f>+SUM(Q255:Q266)</f>
        <v>0</v>
      </c>
      <c r="R267" s="353"/>
      <c r="S267" s="318">
        <f t="shared" si="47"/>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
        <v>508</v>
      </c>
      <c r="B268" s="41" t="s">
        <v>172</v>
      </c>
      <c r="C268" s="404" t="s">
        <v>125</v>
      </c>
      <c r="D268" s="296"/>
      <c r="E268" s="41"/>
      <c r="F268" s="253">
        <f>+INDEX('Budget original'!$A$2:$AO$501,MATCH($A268,'Budget original'!$A$2:$A$501,0),MATCH(F$2,'Budget original'!$A$2:$AO$2,0))</f>
        <v>0</v>
      </c>
      <c r="G268" s="297"/>
      <c r="H268" s="41"/>
      <c r="I268" s="253"/>
      <c r="J268" s="252"/>
      <c r="K268" s="41"/>
      <c r="L268" s="255">
        <f>SUMIFS(BV_Data_An_Cour!$AM:$AM,BV_Data_An_Cour!$AP:$AP,$B268,BV_Data_An_Cour!$AQ:$AQ,$C268,BV_Data_An_Cour!$AR:$AR,$L$2)</f>
        <v>0</v>
      </c>
      <c r="M268" s="252"/>
      <c r="N268" s="275">
        <f t="shared" si="46"/>
        <v>0</v>
      </c>
      <c r="O268" s="252"/>
      <c r="P268" s="41"/>
      <c r="Q268" s="255">
        <f>SUMIFS(BV_Data_An_Prec!$AM:$AM,BV_Data_An_Prec!$AP:$AP,$B268,BV_Data_An_Prec!$AQ:$AQ,$C268,BV_Data_An_Prec!$AR:$AR,$L$2)</f>
        <v>0</v>
      </c>
      <c r="R268" s="252"/>
      <c r="S268" s="275">
        <f t="shared" si="47"/>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
        <v>509</v>
      </c>
      <c r="B269" s="41" t="s">
        <v>172</v>
      </c>
      <c r="C269" s="310" t="s">
        <v>126</v>
      </c>
      <c r="D269" s="296"/>
      <c r="E269" s="41"/>
      <c r="F269" s="253">
        <f>+INDEX('Budget original'!$A$2:$AO$501,MATCH($A269,'Budget original'!$A$2:$A$501,0),MATCH(F$2,'Budget original'!$A$2:$AO$2,0))</f>
        <v>0</v>
      </c>
      <c r="G269" s="297"/>
      <c r="H269" s="41"/>
      <c r="I269" s="253"/>
      <c r="J269" s="252"/>
      <c r="K269" s="41"/>
      <c r="L269" s="255">
        <f>SUMIFS(BV_Data_An_Cour!$AM:$AM,BV_Data_An_Cour!$AP:$AP,$B269,BV_Data_An_Cour!$AQ:$AQ,$C269,BV_Data_An_Cour!$AR:$AR,$L$2)</f>
        <v>0</v>
      </c>
      <c r="M269" s="252"/>
      <c r="N269" s="275">
        <f t="shared" si="46"/>
        <v>0</v>
      </c>
      <c r="O269" s="252"/>
      <c r="P269" s="41"/>
      <c r="Q269" s="255">
        <f>SUMIFS(BV_Data_An_Prec!$AM:$AM,BV_Data_An_Prec!$AP:$AP,$B269,BV_Data_An_Prec!$AQ:$AQ,$C269,BV_Data_An_Prec!$AR:$AR,$L$2)</f>
        <v>0</v>
      </c>
      <c r="R269" s="252"/>
      <c r="S269" s="275">
        <f t="shared" si="47"/>
        <v>0</v>
      </c>
      <c r="T269" s="41"/>
      <c r="U269" s="877"/>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
        <v>510</v>
      </c>
      <c r="B270" s="41" t="s">
        <v>172</v>
      </c>
      <c r="C270" s="311" t="s">
        <v>127</v>
      </c>
      <c r="D270" s="298"/>
      <c r="E270" s="316"/>
      <c r="F270" s="247">
        <f>+INDEX('Budget original'!$A$2:$AO$501,MATCH($A270,'Budget original'!$A$2:$A$501,0),MATCH(F$2,'Budget original'!$A$2:$AO$2,0))</f>
        <v>0</v>
      </c>
      <c r="G270" s="299"/>
      <c r="H270" s="316"/>
      <c r="I270" s="247"/>
      <c r="J270" s="245"/>
      <c r="K270" s="316"/>
      <c r="L270" s="255">
        <f>SUMIFS(BV_Data_An_Cour!$AM:$AM,BV_Data_An_Cour!$AP:$AP,$B270,BV_Data_An_Cour!$AQ:$AQ,$C270,BV_Data_An_Cour!$AR:$AR,$L$2)</f>
        <v>0</v>
      </c>
      <c r="M270" s="245"/>
      <c r="N270" s="295">
        <f t="shared" si="46"/>
        <v>0</v>
      </c>
      <c r="O270" s="245"/>
      <c r="P270" s="316"/>
      <c r="Q270" s="255">
        <f>SUMIFS(BV_Data_An_Prec!$AM:$AM,BV_Data_An_Prec!$AP:$AP,$B270,BV_Data_An_Prec!$AQ:$AQ,$C270,BV_Data_An_Prec!$AR:$AR,$L$2)</f>
        <v>0</v>
      </c>
      <c r="R270" s="245"/>
      <c r="S270" s="295">
        <f t="shared" si="47"/>
        <v>0</v>
      </c>
      <c r="T270" s="41"/>
      <c r="U270" s="41" t="s">
        <v>333</v>
      </c>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
        <v>511</v>
      </c>
      <c r="B271" s="41" t="s">
        <v>172</v>
      </c>
      <c r="C271" s="310" t="s">
        <v>128</v>
      </c>
      <c r="D271" s="296"/>
      <c r="E271" s="41"/>
      <c r="F271" s="253">
        <f>+INDEX('Budget original'!$A$2:$AO$501,MATCH($A271,'Budget original'!$A$2:$A$501,0),MATCH(F$2,'Budget original'!$A$2:$AO$2,0))</f>
        <v>0</v>
      </c>
      <c r="G271" s="297"/>
      <c r="H271" s="41"/>
      <c r="I271" s="253"/>
      <c r="J271" s="252"/>
      <c r="K271" s="41"/>
      <c r="L271" s="271">
        <f>SUMIFS(BV_Data_An_Cour!$AM:$AM,BV_Data_An_Cour!$AP:$AP,$B271,BV_Data_An_Cour!$AQ:$AQ,$C271,BV_Data_An_Cour!$AR:$AR,$L$2)</f>
        <v>0</v>
      </c>
      <c r="M271" s="252"/>
      <c r="N271" s="275">
        <f t="shared" si="46"/>
        <v>0</v>
      </c>
      <c r="O271" s="252"/>
      <c r="P271" s="41"/>
      <c r="Q271" s="271">
        <f>SUMIFS(BV_Data_An_Prec!$AM:$AM,BV_Data_An_Prec!$AP:$AP,$B271,BV_Data_An_Prec!$AQ:$AQ,$C271,BV_Data_An_Prec!$AR:$AR,$L$2)</f>
        <v>0</v>
      </c>
      <c r="R271" s="252"/>
      <c r="S271" s="275">
        <f t="shared" si="47"/>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
        <v>512</v>
      </c>
      <c r="B272" s="41" t="s">
        <v>172</v>
      </c>
      <c r="C272" s="310" t="s">
        <v>129</v>
      </c>
      <c r="D272" s="296"/>
      <c r="E272" s="41"/>
      <c r="F272" s="253">
        <f>+INDEX('Budget original'!$A$2:$AO$501,MATCH($A272,'Budget original'!$A$2:$A$501,0),MATCH(F$2,'Budget original'!$A$2:$AO$2,0))</f>
        <v>0</v>
      </c>
      <c r="G272" s="297"/>
      <c r="H272" s="41"/>
      <c r="I272" s="253"/>
      <c r="J272" s="252"/>
      <c r="K272" s="41"/>
      <c r="L272" s="255">
        <f>SUMIFS(BV_Data_An_Cour!$AM:$AM,BV_Data_An_Cour!$AP:$AP,$B272,BV_Data_An_Cour!$AQ:$AQ,$C272,BV_Data_An_Cour!$AR:$AR,$L$2)</f>
        <v>0</v>
      </c>
      <c r="M272" s="252"/>
      <c r="N272" s="275">
        <f t="shared" si="46"/>
        <v>0</v>
      </c>
      <c r="O272" s="252"/>
      <c r="P272" s="41"/>
      <c r="Q272" s="255">
        <f>SUMIFS(BV_Data_An_Prec!$AM:$AM,BV_Data_An_Prec!$AP:$AP,$B272,BV_Data_An_Prec!$AQ:$AQ,$C272,BV_Data_An_Prec!$AR:$AR,$L$2)</f>
        <v>0</v>
      </c>
      <c r="R272" s="252"/>
      <c r="S272" s="275">
        <f t="shared" si="47"/>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
        <v>513</v>
      </c>
      <c r="B273" s="41" t="s">
        <v>172</v>
      </c>
      <c r="C273" s="310" t="s">
        <v>130</v>
      </c>
      <c r="D273" s="298"/>
      <c r="E273" s="316"/>
      <c r="F273" s="247">
        <f>+INDEX('Budget original'!$A$2:$AO$501,MATCH($A273,'Budget original'!$A$2:$A$501,0),MATCH(F$2,'Budget original'!$A$2:$AO$2,0))</f>
        <v>0</v>
      </c>
      <c r="G273" s="299"/>
      <c r="H273" s="316"/>
      <c r="I273" s="247"/>
      <c r="J273" s="245"/>
      <c r="K273" s="316"/>
      <c r="L273" s="255">
        <f>SUMIFS(BV_Data_An_Cour!$AM:$AM,BV_Data_An_Cour!$AP:$AP,$B273,BV_Data_An_Cour!$AQ:$AQ,$C273,BV_Data_An_Cour!$AR:$AR,$L$2)</f>
        <v>0</v>
      </c>
      <c r="M273" s="245"/>
      <c r="N273" s="295">
        <f t="shared" si="46"/>
        <v>0</v>
      </c>
      <c r="O273" s="245"/>
      <c r="P273" s="316"/>
      <c r="Q273" s="255">
        <f>SUMIFS(BV_Data_An_Prec!$AM:$AM,BV_Data_An_Prec!$AP:$AP,$B273,BV_Data_An_Prec!$AQ:$AQ,$C273,BV_Data_An_Prec!$AR:$AR,$L$2)</f>
        <v>0</v>
      </c>
      <c r="R273" s="245"/>
      <c r="S273" s="295">
        <f t="shared" si="47"/>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
        <v>514</v>
      </c>
      <c r="B274" s="41" t="s">
        <v>172</v>
      </c>
      <c r="C274" s="404" t="s">
        <v>483</v>
      </c>
      <c r="D274" s="296"/>
      <c r="E274" s="41"/>
      <c r="F274" s="253"/>
      <c r="G274" s="297"/>
      <c r="H274" s="41"/>
      <c r="I274" s="253"/>
      <c r="J274" s="252"/>
      <c r="K274" s="41"/>
      <c r="L274" s="271">
        <f>SUMIFS(BV_Data_An_Cour!$AM:$AM,BV_Data_An_Cour!$AP:$AP,$B274,BV_Data_An_Cour!$AQ:$AQ,$C274,BV_Data_An_Cour!$AR:$AR,$L$2)</f>
        <v>0</v>
      </c>
      <c r="M274" s="252"/>
      <c r="N274" s="275">
        <f t="shared" si="46"/>
        <v>0</v>
      </c>
      <c r="O274" s="252"/>
      <c r="P274" s="41"/>
      <c r="Q274" s="271">
        <f>SUMIFS(BV_Data_An_Prec!$AM:$AM,BV_Data_An_Prec!$AP:$AP,$B274,BV_Data_An_Prec!$AQ:$AQ,$C274,BV_Data_An_Prec!$AR:$AR,$L$2)</f>
        <v>0</v>
      </c>
      <c r="R274" s="252"/>
      <c r="S274" s="275">
        <f t="shared" si="47"/>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
        <v>515</v>
      </c>
      <c r="B275" s="41" t="s">
        <v>172</v>
      </c>
      <c r="C275" s="310" t="s">
        <v>131</v>
      </c>
      <c r="D275" s="296"/>
      <c r="E275" s="41"/>
      <c r="F275" s="253">
        <f>+INDEX('Budget original'!$A$2:$AO$501,MATCH($A275,'Budget original'!$A$2:$A$501,0),MATCH(F$2,'Budget original'!$A$2:$AO$2,0))</f>
        <v>0</v>
      </c>
      <c r="G275" s="297"/>
      <c r="H275" s="41"/>
      <c r="I275" s="253"/>
      <c r="J275" s="252"/>
      <c r="K275" s="41"/>
      <c r="L275" s="255">
        <f>SUMIFS(BV_Data_An_Cour!$AM:$AM,BV_Data_An_Cour!$AP:$AP,$B275,BV_Data_An_Cour!$AQ:$AQ,$C275,BV_Data_An_Cour!$AR:$AR,$L$2)</f>
        <v>0</v>
      </c>
      <c r="M275" s="252"/>
      <c r="N275" s="275">
        <f t="shared" si="46"/>
        <v>0</v>
      </c>
      <c r="O275" s="252"/>
      <c r="P275" s="41"/>
      <c r="Q275" s="255">
        <f>SUMIFS(BV_Data_An_Prec!$AM:$AM,BV_Data_An_Prec!$AP:$AP,$B275,BV_Data_An_Prec!$AQ:$AQ,$C275,BV_Data_An_Prec!$AR:$AR,$L$2)</f>
        <v>0</v>
      </c>
      <c r="R275" s="252"/>
      <c r="S275" s="275">
        <f t="shared" si="47"/>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
        <v>516</v>
      </c>
      <c r="B276" s="41" t="s">
        <v>172</v>
      </c>
      <c r="C276" s="310" t="s">
        <v>132</v>
      </c>
      <c r="D276" s="296"/>
      <c r="E276" s="41"/>
      <c r="F276" s="253">
        <f>+INDEX('Budget original'!$A$2:$AO$501,MATCH($A276,'Budget original'!$A$2:$A$501,0),MATCH(F$2,'Budget original'!$A$2:$AO$2,0))</f>
        <v>0</v>
      </c>
      <c r="G276" s="297"/>
      <c r="H276" s="41"/>
      <c r="I276" s="253"/>
      <c r="J276" s="252"/>
      <c r="K276" s="41"/>
      <c r="L276" s="255">
        <f>SUMIFS(BV_Data_An_Cour!$AM:$AM,BV_Data_An_Cour!$AP:$AP,$B276,BV_Data_An_Cour!$AQ:$AQ,$C276,BV_Data_An_Cour!$AR:$AR,$L$2)</f>
        <v>0</v>
      </c>
      <c r="M276" s="252"/>
      <c r="N276" s="275">
        <f t="shared" si="46"/>
        <v>0</v>
      </c>
      <c r="O276" s="252"/>
      <c r="P276" s="41"/>
      <c r="Q276" s="255">
        <f>SUMIFS(BV_Data_An_Prec!$AM:$AM,BV_Data_An_Prec!$AP:$AP,$B276,BV_Data_An_Prec!$AQ:$AQ,$C276,BV_Data_An_Prec!$AR:$AR,$L$2)</f>
        <v>0</v>
      </c>
      <c r="R276" s="252"/>
      <c r="S276" s="275">
        <f t="shared" si="47"/>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
        <v>517</v>
      </c>
      <c r="B277" s="41" t="s">
        <v>172</v>
      </c>
      <c r="C277" s="310" t="s">
        <v>133</v>
      </c>
      <c r="D277" s="296"/>
      <c r="E277" s="41"/>
      <c r="F277" s="253">
        <f>+INDEX('Budget original'!$A$2:$AO$501,MATCH($A277,'Budget original'!$A$2:$A$501,0),MATCH(F$2,'Budget original'!$A$2:$AO$2,0))</f>
        <v>0</v>
      </c>
      <c r="G277" s="297"/>
      <c r="H277" s="41"/>
      <c r="I277" s="253"/>
      <c r="J277" s="252"/>
      <c r="K277" s="41"/>
      <c r="L277" s="255">
        <f>SUMIFS(BV_Data_An_Cour!$AM:$AM,BV_Data_An_Cour!$AP:$AP,$B277,BV_Data_An_Cour!$AQ:$AQ,$C277,BV_Data_An_Cour!$AR:$AR,$L$2)</f>
        <v>0</v>
      </c>
      <c r="M277" s="252"/>
      <c r="N277" s="275">
        <f t="shared" si="46"/>
        <v>0</v>
      </c>
      <c r="O277" s="252"/>
      <c r="P277" s="41"/>
      <c r="Q277" s="255">
        <f>SUMIFS(BV_Data_An_Prec!$AM:$AM,BV_Data_An_Prec!$AP:$AP,$B277,BV_Data_An_Prec!$AQ:$AQ,$C277,BV_Data_An_Prec!$AR:$AR,$L$2)</f>
        <v>0</v>
      </c>
      <c r="R277" s="252"/>
      <c r="S277" s="275">
        <f t="shared" si="47"/>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
        <v>518</v>
      </c>
      <c r="B278" s="41" t="s">
        <v>172</v>
      </c>
      <c r="C278" s="310" t="s">
        <v>134</v>
      </c>
      <c r="D278" s="296"/>
      <c r="E278" s="41"/>
      <c r="F278" s="253">
        <f>+INDEX('Budget original'!$A$2:$AO$501,MATCH($A278,'Budget original'!$A$2:$A$501,0),MATCH(F$2,'Budget original'!$A$2:$AO$2,0))</f>
        <v>0</v>
      </c>
      <c r="G278" s="297"/>
      <c r="H278" s="41"/>
      <c r="I278" s="253"/>
      <c r="J278" s="252"/>
      <c r="K278" s="41"/>
      <c r="L278" s="255">
        <f>SUMIFS(BV_Data_An_Cour!$AM:$AM,BV_Data_An_Cour!$AP:$AP,$B278,BV_Data_An_Cour!$AQ:$AQ,$C278,BV_Data_An_Cour!$AR:$AR,$L$2)</f>
        <v>0</v>
      </c>
      <c r="M278" s="252"/>
      <c r="N278" s="275">
        <f t="shared" si="46"/>
        <v>0</v>
      </c>
      <c r="O278" s="252"/>
      <c r="P278" s="41"/>
      <c r="Q278" s="255">
        <f>SUMIFS(BV_Data_An_Prec!$AM:$AM,BV_Data_An_Prec!$AP:$AP,$B278,BV_Data_An_Prec!$AQ:$AQ,$C278,BV_Data_An_Prec!$AR:$AR,$L$2)</f>
        <v>0</v>
      </c>
      <c r="R278" s="252"/>
      <c r="S278" s="275">
        <f t="shared" si="47"/>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
        <v>519</v>
      </c>
      <c r="B279" s="41" t="s">
        <v>172</v>
      </c>
      <c r="C279" s="310" t="s">
        <v>135</v>
      </c>
      <c r="D279" s="296"/>
      <c r="E279" s="41"/>
      <c r="F279" s="253">
        <f>+INDEX('Budget original'!$A$2:$AO$501,MATCH($A279,'Budget original'!$A$2:$A$501,0),MATCH(F$2,'Budget original'!$A$2:$AO$2,0))</f>
        <v>0</v>
      </c>
      <c r="G279" s="297"/>
      <c r="H279" s="41"/>
      <c r="I279" s="253"/>
      <c r="J279" s="252"/>
      <c r="K279" s="41"/>
      <c r="L279" s="255">
        <f>SUMIFS(BV_Data_An_Cour!$AM:$AM,BV_Data_An_Cour!$AP:$AP,$B279,BV_Data_An_Cour!$AQ:$AQ,$C279,BV_Data_An_Cour!$AR:$AR,$L$2)</f>
        <v>0</v>
      </c>
      <c r="M279" s="252"/>
      <c r="N279" s="275">
        <f t="shared" si="46"/>
        <v>0</v>
      </c>
      <c r="O279" s="252"/>
      <c r="P279" s="41"/>
      <c r="Q279" s="255">
        <f>SUMIFS(BV_Data_An_Prec!$AM:$AM,BV_Data_An_Prec!$AP:$AP,$B279,BV_Data_An_Prec!$AQ:$AQ,$C279,BV_Data_An_Prec!$AR:$AR,$L$2)</f>
        <v>0</v>
      </c>
      <c r="R279" s="252"/>
      <c r="S279" s="275">
        <f t="shared" si="47"/>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
        <v>520</v>
      </c>
      <c r="B280" s="41" t="s">
        <v>172</v>
      </c>
      <c r="C280" s="310" t="s">
        <v>136</v>
      </c>
      <c r="D280" s="296"/>
      <c r="E280" s="41"/>
      <c r="F280" s="253">
        <f>+INDEX('Budget original'!$A$2:$AO$501,MATCH($A280,'Budget original'!$A$2:$A$501,0),MATCH(F$2,'Budget original'!$A$2:$AO$2,0))</f>
        <v>0</v>
      </c>
      <c r="G280" s="297"/>
      <c r="H280" s="41"/>
      <c r="I280" s="253"/>
      <c r="J280" s="252"/>
      <c r="K280" s="41"/>
      <c r="L280" s="255">
        <f>SUMIFS(BV_Data_An_Cour!$AM:$AM,BV_Data_An_Cour!$AP:$AP,$B280,BV_Data_An_Cour!$AQ:$AQ,$C280,BV_Data_An_Cour!$AR:$AR,$L$2)</f>
        <v>0</v>
      </c>
      <c r="M280" s="252"/>
      <c r="N280" s="275">
        <f t="shared" si="46"/>
        <v>0</v>
      </c>
      <c r="O280" s="252"/>
      <c r="P280" s="41"/>
      <c r="Q280" s="255">
        <f>SUMIFS(BV_Data_An_Prec!$AM:$AM,BV_Data_An_Prec!$AP:$AP,$B280,BV_Data_An_Prec!$AQ:$AQ,$C280,BV_Data_An_Prec!$AR:$AR,$L$2)</f>
        <v>0</v>
      </c>
      <c r="R280" s="252"/>
      <c r="S280" s="275">
        <f t="shared" si="47"/>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
        <v>521</v>
      </c>
      <c r="B281" s="41" t="s">
        <v>172</v>
      </c>
      <c r="C281" s="310" t="s">
        <v>137</v>
      </c>
      <c r="D281" s="296"/>
      <c r="E281" s="41"/>
      <c r="F281" s="253">
        <f>+INDEX('Budget original'!$A$2:$AO$501,MATCH($A281,'Budget original'!$A$2:$A$501,0),MATCH(F$2,'Budget original'!$A$2:$AO$2,0))</f>
        <v>0</v>
      </c>
      <c r="G281" s="297"/>
      <c r="H281" s="41"/>
      <c r="I281" s="253"/>
      <c r="J281" s="252"/>
      <c r="K281" s="41"/>
      <c r="L281" s="255">
        <f>SUMIFS(BV_Data_An_Cour!$AM:$AM,BV_Data_An_Cour!$AP:$AP,$B281,BV_Data_An_Cour!$AQ:$AQ,$C281,BV_Data_An_Cour!$AR:$AR,$L$2)</f>
        <v>0</v>
      </c>
      <c r="M281" s="252"/>
      <c r="N281" s="275">
        <f t="shared" si="46"/>
        <v>0</v>
      </c>
      <c r="O281" s="252"/>
      <c r="P281" s="41"/>
      <c r="Q281" s="255">
        <f>SUMIFS(BV_Data_An_Prec!$AM:$AM,BV_Data_An_Prec!$AP:$AP,$B281,BV_Data_An_Prec!$AQ:$AQ,$C281,BV_Data_An_Prec!$AR:$AR,$L$2)</f>
        <v>0</v>
      </c>
      <c r="R281" s="252"/>
      <c r="S281" s="275">
        <f t="shared" si="47"/>
        <v>0</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522</v>
      </c>
      <c r="B282" s="41" t="s">
        <v>172</v>
      </c>
      <c r="C282" s="310" t="s">
        <v>138</v>
      </c>
      <c r="D282" s="296"/>
      <c r="E282" s="41"/>
      <c r="F282" s="253">
        <f>+INDEX('Budget original'!$A$2:$AO$501,MATCH($A282,'Budget original'!$A$2:$A$501,0),MATCH(F$2,'Budget original'!$A$2:$AO$2,0))</f>
        <v>0</v>
      </c>
      <c r="G282" s="297"/>
      <c r="H282" s="41"/>
      <c r="I282" s="253"/>
      <c r="J282" s="252"/>
      <c r="K282" s="41"/>
      <c r="L282" s="255">
        <f>SUMIFS(BV_Data_An_Cour!$AM:$AM,BV_Data_An_Cour!$AP:$AP,$B282,BV_Data_An_Cour!$AQ:$AQ,$C282,BV_Data_An_Cour!$AR:$AR,$L$2)</f>
        <v>0</v>
      </c>
      <c r="M282" s="252"/>
      <c r="N282" s="275">
        <f t="shared" si="46"/>
        <v>0</v>
      </c>
      <c r="O282" s="252"/>
      <c r="P282" s="41"/>
      <c r="Q282" s="255">
        <f>SUMIFS(BV_Data_An_Prec!$AM:$AM,BV_Data_An_Prec!$AP:$AP,$B282,BV_Data_An_Prec!$AQ:$AQ,$C282,BV_Data_An_Prec!$AR:$AR,$L$2)</f>
        <v>0</v>
      </c>
      <c r="R282" s="252"/>
      <c r="S282" s="275">
        <f t="shared" si="47"/>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502</v>
      </c>
      <c r="B283" s="41" t="s">
        <v>172</v>
      </c>
      <c r="C283" s="310" t="s">
        <v>55</v>
      </c>
      <c r="D283" s="296"/>
      <c r="E283" s="41"/>
      <c r="F283" s="253">
        <f>+INDEX('Budget original'!$A$2:$AO$501,MATCH($A283,'Budget original'!$A$2:$A$501,0),MATCH(F$2,'Budget original'!$A$2:$AO$2,0))</f>
        <v>0</v>
      </c>
      <c r="G283" s="297"/>
      <c r="H283" s="41"/>
      <c r="I283" s="253"/>
      <c r="J283" s="252"/>
      <c r="K283" s="41"/>
      <c r="L283" s="255">
        <f>SUMIFS(BV_Data_An_Cour!$AM:$AM,BV_Data_An_Cour!$AP:$AP,$B283,BV_Data_An_Cour!$AQ:$AQ,$C283,BV_Data_An_Cour!$AR:$AR,$L$2)</f>
        <v>0</v>
      </c>
      <c r="M283" s="252"/>
      <c r="N283" s="275">
        <f t="shared" si="46"/>
        <v>0</v>
      </c>
      <c r="O283" s="252"/>
      <c r="P283" s="41"/>
      <c r="Q283" s="255">
        <f>SUMIFS(BV_Data_An_Prec!$AM:$AM,BV_Data_An_Prec!$AP:$AP,$B283,BV_Data_An_Prec!$AQ:$AQ,$C283,BV_Data_An_Prec!$AR:$AR,$L$2)</f>
        <v>0</v>
      </c>
      <c r="R283" s="252"/>
      <c r="S283" s="275">
        <f t="shared" si="47"/>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502</v>
      </c>
      <c r="B284" s="41" t="s">
        <v>172</v>
      </c>
      <c r="C284" s="310" t="s">
        <v>55</v>
      </c>
      <c r="D284" s="296"/>
      <c r="E284" s="41"/>
      <c r="F284" s="253">
        <f>+INDEX('Budget original'!$A$2:$AO$501,MATCH($A284,'Budget original'!$A$2:$A$501,0),MATCH(F$2,'Budget original'!$A$2:$AO$2,0))</f>
        <v>0</v>
      </c>
      <c r="G284" s="297"/>
      <c r="H284" s="41"/>
      <c r="I284" s="253"/>
      <c r="J284" s="252"/>
      <c r="K284" s="41"/>
      <c r="L284" s="255">
        <f>SUMIFS(BV_Data_An_Cour!$AM:$AM,BV_Data_An_Cour!$AP:$AP,$B284,BV_Data_An_Cour!$AQ:$AQ,$C284,BV_Data_An_Cour!$AR:$AR,$L$2)</f>
        <v>0</v>
      </c>
      <c r="M284" s="252"/>
      <c r="N284" s="275">
        <f t="shared" si="46"/>
        <v>0</v>
      </c>
      <c r="O284" s="252"/>
      <c r="P284" s="41"/>
      <c r="Q284" s="255">
        <f>SUMIFS(BV_Data_An_Prec!$AM:$AM,BV_Data_An_Prec!$AP:$AP,$B284,BV_Data_An_Prec!$AQ:$AQ,$C284,BV_Data_An_Prec!$AR:$AR,$L$2)</f>
        <v>0</v>
      </c>
      <c r="R284" s="252"/>
      <c r="S284" s="275">
        <f t="shared" si="47"/>
        <v>0</v>
      </c>
      <c r="T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
        <v>502</v>
      </c>
      <c r="B285" s="41" t="s">
        <v>172</v>
      </c>
      <c r="C285" s="310" t="s">
        <v>55</v>
      </c>
      <c r="D285" s="296"/>
      <c r="E285" s="41"/>
      <c r="F285" s="253">
        <f>+INDEX('Budget original'!$A$2:$AO$501,MATCH($A285,'Budget original'!$A$2:$A$501,0),MATCH(F$2,'Budget original'!$A$2:$AO$2,0))</f>
        <v>0</v>
      </c>
      <c r="G285" s="297"/>
      <c r="H285" s="41"/>
      <c r="I285" s="253"/>
      <c r="J285" s="252"/>
      <c r="K285" s="41"/>
      <c r="L285" s="255">
        <f>SUMIFS(BV_Data_An_Cour!$AM:$AM,BV_Data_An_Cour!$AP:$AP,$B285,BV_Data_An_Cour!$AQ:$AQ,$C285,BV_Data_An_Cour!$AR:$AR,$L$2)</f>
        <v>0</v>
      </c>
      <c r="M285" s="252"/>
      <c r="N285" s="275">
        <f t="shared" si="46"/>
        <v>0</v>
      </c>
      <c r="O285" s="252"/>
      <c r="P285" s="41"/>
      <c r="Q285" s="255">
        <f>SUMIFS(BV_Data_An_Prec!$AM:$AM,BV_Data_An_Prec!$AP:$AP,$B285,BV_Data_An_Prec!$AQ:$AQ,$C285,BV_Data_An_Prec!$AR:$AR,$L$2)</f>
        <v>0</v>
      </c>
      <c r="R285" s="252"/>
      <c r="S285" s="275">
        <f t="shared" si="47"/>
        <v>0</v>
      </c>
      <c r="T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t="e">
        <f>F286/F$245</f>
        <v>#DIV/0!</v>
      </c>
      <c r="F286" s="306">
        <f>+SUM(F268:F285)</f>
        <v>0</v>
      </c>
      <c r="G286" s="307"/>
      <c r="H286" s="305"/>
      <c r="I286" s="306"/>
      <c r="J286" s="307" t="s">
        <v>115</v>
      </c>
      <c r="K286" s="305" t="e">
        <f>L286/L$251</f>
        <v>#DIV/0!</v>
      </c>
      <c r="L286" s="306">
        <f>+SUM(L268:L285)</f>
        <v>0</v>
      </c>
      <c r="M286" s="309"/>
      <c r="N286" s="306">
        <f>+SUM(N268:N285)</f>
        <v>0</v>
      </c>
      <c r="O286" s="307" t="s">
        <v>115</v>
      </c>
      <c r="P286" s="305" t="e">
        <f>Q286/Q$251</f>
        <v>#DIV/0!</v>
      </c>
      <c r="Q286" s="306">
        <f>+SUM(Q268:Q285)</f>
        <v>0</v>
      </c>
      <c r="R286" s="309"/>
      <c r="S286" s="306">
        <f t="shared" si="47"/>
        <v>0</v>
      </c>
      <c r="T286" s="1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t="e">
        <f>F288/F$245</f>
        <v>#DIV/0!</v>
      </c>
      <c r="F288" s="306">
        <f>F267+F286</f>
        <v>0</v>
      </c>
      <c r="G288" s="307"/>
      <c r="H288" s="305"/>
      <c r="I288" s="306"/>
      <c r="J288" s="307" t="s">
        <v>115</v>
      </c>
      <c r="K288" s="305" t="e">
        <f>L288/L$251</f>
        <v>#DIV/0!</v>
      </c>
      <c r="L288" s="306">
        <f>L267+L286</f>
        <v>0</v>
      </c>
      <c r="M288" s="309"/>
      <c r="N288" s="318">
        <f>L288-F288</f>
        <v>0</v>
      </c>
      <c r="O288" s="307" t="s">
        <v>115</v>
      </c>
      <c r="P288" s="305" t="e">
        <f>Q288/Q$251</f>
        <v>#DIV/0!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29.25" hidden="1" customHeigh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37" t="str">
        <f>C1</f>
        <v>Hyundai</v>
      </c>
      <c r="D292" s="231"/>
      <c r="E292" s="231"/>
      <c r="F292" s="231"/>
      <c r="G292" s="231"/>
      <c r="H292" s="36"/>
      <c r="I292" s="36"/>
      <c r="J292" s="36"/>
      <c r="K292" s="9" t="s">
        <v>176</v>
      </c>
      <c r="L292" s="231"/>
      <c r="M292" s="231"/>
      <c r="N292" s="36"/>
      <c r="O292" s="36"/>
      <c r="P292" s="231"/>
      <c r="Q292" s="36"/>
      <c r="R292" s="231"/>
      <c r="S292" s="10" t="str">
        <f>$S$1</f>
        <v>Réalisé, Mai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176</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524</v>
      </c>
      <c r="B296" s="41" t="s">
        <v>176</v>
      </c>
      <c r="C296" s="1040" t="s">
        <v>178</v>
      </c>
      <c r="D296" s="290">
        <f>+INDEX('Budget original'!$A$2:$AO$501,MATCH($A296,'Budget original'!$A$2:$A$501,0),MATCH(D$2,'Budget original'!$A$2:$AO$2,0))</f>
        <v>0</v>
      </c>
      <c r="E296" s="351">
        <f>IF(D296=0,0,F296/D296)</f>
        <v>0</v>
      </c>
      <c r="F296" s="275">
        <f>+INDEX('Budget original'!$A$2:$AO$501,MATCH($A296,'Budget original'!$A$2:$A$501,0),MATCH(F$2,'Budget original'!$A$2:$AO$2,0))</f>
        <v>0</v>
      </c>
      <c r="G296" s="290"/>
      <c r="H296" s="351"/>
      <c r="I296" s="275"/>
      <c r="J296" s="253">
        <f>-SUMIFS(BV_Data_An_Cour!$AM:$AM,BV_Data_An_Cour!$AS:$AS,"Oui",BV_Data_An_Cour!$AP:$AP,$B296,BV_Data_An_Cour!$AQ:$AQ,$C296)</f>
        <v>106106.47000000003</v>
      </c>
      <c r="K296" s="351">
        <f t="shared" ref="K296:K305" si="48">IF(J296&lt;=0,0,L296/J296)</f>
        <v>0.3524021673701897</v>
      </c>
      <c r="L296" s="275">
        <f>-SUMIFS(BV_Data_An_Cour!$AM:$AM,BV_Data_An_Cour!$AP:$AP,$B296,BV_Data_An_Cour!$AQ:$AQ,$C296,BV_Data_An_Cour!$AR:$AR,$L$2)</f>
        <v>37392.150000000023</v>
      </c>
      <c r="M296" s="291" t="e">
        <f t="shared" ref="M296:M302" si="49">(+J296-D296)/D296</f>
        <v>#DIV/0!</v>
      </c>
      <c r="N296" s="275">
        <f t="shared" ref="N296:N305" si="50">L296-F296</f>
        <v>37392.150000000023</v>
      </c>
      <c r="O296" s="253">
        <f>-SUMIFS(BV_Data_An_Prec!$AM:$AM,BV_Data_An_Prec!$AS:$AS,"Oui",BV_Data_An_Prec!$AP:$AP,$B296,BV_Data_An_Prec!$AQ:$AQ,$C296)</f>
        <v>0</v>
      </c>
      <c r="P296" s="351">
        <f t="shared" ref="P296:P305" si="51">IF(O296&lt;=0,0,Q296/O296)</f>
        <v>0</v>
      </c>
      <c r="Q296" s="275">
        <f>-SUMIFS(BV_Data_An_Prec!$AM:$AM,BV_Data_An_Prec!$AP:$AP,$B296,BV_Data_An_Prec!$AQ:$AQ,$C296,BV_Data_An_Prec!$AR:$AR,$L$2)</f>
        <v>0</v>
      </c>
      <c r="R296" s="291">
        <f t="shared" ref="R296:R305" si="52">IF(O296=0,0,(J296-O296)/O296)</f>
        <v>0</v>
      </c>
      <c r="S296" s="275">
        <f t="shared" ref="S296:S305" si="53">L296-Q296</f>
        <v>37392.150000000023</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525</v>
      </c>
      <c r="B297" s="41" t="s">
        <v>176</v>
      </c>
      <c r="C297" s="1040" t="s">
        <v>179</v>
      </c>
      <c r="D297" s="290">
        <f>+INDEX('Budget original'!$A$2:$AO$501,MATCH($A297,'Budget original'!$A$2:$A$501,0),MATCH(D$2,'Budget original'!$A$2:$AO$2,0))</f>
        <v>0</v>
      </c>
      <c r="E297" s="351">
        <f t="shared" ref="E297:E304" si="54">IF(D297=0,0,F297/D297)</f>
        <v>0</v>
      </c>
      <c r="F297" s="275">
        <f>+INDEX('Budget original'!$A$2:$AO$501,MATCH($A297,'Budget original'!$A$2:$A$501,0),MATCH(F$2,'Budget original'!$A$2:$AO$2,0))</f>
        <v>0</v>
      </c>
      <c r="G297" s="290"/>
      <c r="H297" s="351"/>
      <c r="I297" s="275"/>
      <c r="J297" s="253">
        <f>-SUMIFS(BV_Data_An_Cour!$AM:$AM,BV_Data_An_Cour!$AS:$AS,"Oui",BV_Data_An_Cour!$AP:$AP,$B297,BV_Data_An_Cour!$AQ:$AQ,$C297)</f>
        <v>0</v>
      </c>
      <c r="K297" s="351">
        <f t="shared" si="48"/>
        <v>0</v>
      </c>
      <c r="L297" s="275">
        <f>-SUMIFS(BV_Data_An_Cour!$AM:$AM,BV_Data_An_Cour!$AP:$AP,$B297,BV_Data_An_Cour!$AQ:$AQ,$C297,BV_Data_An_Cour!$AR:$AR,$L$2)</f>
        <v>0</v>
      </c>
      <c r="M297" s="291" t="e">
        <f t="shared" si="49"/>
        <v>#DIV/0!</v>
      </c>
      <c r="N297" s="275">
        <f t="shared" si="50"/>
        <v>0</v>
      </c>
      <c r="O297" s="253">
        <f>-SUMIFS(BV_Data_An_Prec!$AM:$AM,BV_Data_An_Prec!$AS:$AS,"Oui",BV_Data_An_Prec!$AP:$AP,$B297,BV_Data_An_Prec!$AQ:$AQ,$C297)</f>
        <v>0</v>
      </c>
      <c r="P297" s="351">
        <f t="shared" si="51"/>
        <v>0</v>
      </c>
      <c r="Q297" s="275">
        <f>-SUMIFS(BV_Data_An_Prec!$AM:$AM,BV_Data_An_Prec!$AP:$AP,$B297,BV_Data_An_Prec!$AQ:$AQ,$C297,BV_Data_An_Prec!$AR:$AR,$L$2)</f>
        <v>0</v>
      </c>
      <c r="R297" s="291">
        <f t="shared" si="52"/>
        <v>0</v>
      </c>
      <c r="S297" s="275">
        <f t="shared" si="53"/>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526</v>
      </c>
      <c r="B298" s="41" t="s">
        <v>176</v>
      </c>
      <c r="C298" s="1040" t="s">
        <v>180</v>
      </c>
      <c r="D298" s="290">
        <f>+INDEX('Budget original'!$A$2:$AO$501,MATCH($A298,'Budget original'!$A$2:$A$501,0),MATCH(D$2,'Budget original'!$A$2:$AO$2,0))</f>
        <v>0</v>
      </c>
      <c r="E298" s="351">
        <f t="shared" si="54"/>
        <v>0</v>
      </c>
      <c r="F298" s="275">
        <f>+INDEX('Budget original'!$A$2:$AO$501,MATCH($A298,'Budget original'!$A$2:$A$501,0),MATCH(F$2,'Budget original'!$A$2:$AO$2,0))</f>
        <v>0</v>
      </c>
      <c r="G298" s="290"/>
      <c r="H298" s="351"/>
      <c r="I298" s="275"/>
      <c r="J298" s="253">
        <f>-SUMIFS(BV_Data_An_Cour!$AM:$AM,BV_Data_An_Cour!$AS:$AS,"Oui",BV_Data_An_Cour!$AP:$AP,$B298,BV_Data_An_Cour!$AQ:$AQ,$C298)</f>
        <v>83015</v>
      </c>
      <c r="K298" s="351">
        <f t="shared" si="48"/>
        <v>0.2235165933867371</v>
      </c>
      <c r="L298" s="275">
        <f>-SUMIFS(BV_Data_An_Cour!$AM:$AM,BV_Data_An_Cour!$AP:$AP,$B298,BV_Data_An_Cour!$AQ:$AQ,$C298,BV_Data_An_Cour!$AR:$AR,$L$2)</f>
        <v>18555.229999999981</v>
      </c>
      <c r="M298" s="291" t="e">
        <f t="shared" si="49"/>
        <v>#DIV/0!</v>
      </c>
      <c r="N298" s="275">
        <f t="shared" si="50"/>
        <v>18555.229999999981</v>
      </c>
      <c r="O298" s="253">
        <f>-SUMIFS(BV_Data_An_Prec!$AM:$AM,BV_Data_An_Prec!$AS:$AS,"Oui",BV_Data_An_Prec!$AP:$AP,$B298,BV_Data_An_Prec!$AQ:$AQ,$C298)</f>
        <v>0</v>
      </c>
      <c r="P298" s="351">
        <f t="shared" si="51"/>
        <v>0</v>
      </c>
      <c r="Q298" s="275">
        <f>-SUMIFS(BV_Data_An_Prec!$AM:$AM,BV_Data_An_Prec!$AP:$AP,$B298,BV_Data_An_Prec!$AQ:$AQ,$C298,BV_Data_An_Prec!$AR:$AR,$L$2)</f>
        <v>0</v>
      </c>
      <c r="R298" s="291">
        <f t="shared" si="52"/>
        <v>0</v>
      </c>
      <c r="S298" s="275">
        <f t="shared" si="53"/>
        <v>18555.229999999981</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527</v>
      </c>
      <c r="B299" s="41" t="s">
        <v>176</v>
      </c>
      <c r="C299" s="1040" t="s">
        <v>181</v>
      </c>
      <c r="D299" s="290">
        <f>+INDEX('Budget original'!$A$2:$AO$501,MATCH($A299,'Budget original'!$A$2:$A$501,0),MATCH(D$2,'Budget original'!$A$2:$AO$2,0))</f>
        <v>0</v>
      </c>
      <c r="E299" s="351">
        <f t="shared" si="54"/>
        <v>0</v>
      </c>
      <c r="F299" s="275">
        <f>+INDEX('Budget original'!$A$2:$AO$501,MATCH($A299,'Budget original'!$A$2:$A$501,0),MATCH(F$2,'Budget original'!$A$2:$AO$2,0))</f>
        <v>0</v>
      </c>
      <c r="G299" s="290"/>
      <c r="H299" s="351"/>
      <c r="I299" s="275"/>
      <c r="J299" s="253">
        <f>-SUMIFS(BV_Data_An_Cour!$AM:$AM,BV_Data_An_Cour!$AS:$AS,"Oui",BV_Data_An_Cour!$AP:$AP,$B299,BV_Data_An_Cour!$AQ:$AQ,$C299)</f>
        <v>9113.11</v>
      </c>
      <c r="K299" s="351">
        <f t="shared" si="48"/>
        <v>0.26479983232946835</v>
      </c>
      <c r="L299" s="275">
        <f>-SUMIFS(BV_Data_An_Cour!$AM:$AM,BV_Data_An_Cour!$AP:$AP,$B299,BV_Data_An_Cour!$AQ:$AQ,$C299,BV_Data_An_Cour!$AR:$AR,$L$2)</f>
        <v>2413.1500000000015</v>
      </c>
      <c r="M299" s="291" t="e">
        <f t="shared" si="49"/>
        <v>#DIV/0!</v>
      </c>
      <c r="N299" s="275">
        <f t="shared" si="50"/>
        <v>2413.1500000000015</v>
      </c>
      <c r="O299" s="253">
        <f>-SUMIFS(BV_Data_An_Prec!$AM:$AM,BV_Data_An_Prec!$AS:$AS,"Oui",BV_Data_An_Prec!$AP:$AP,$B299,BV_Data_An_Prec!$AQ:$AQ,$C299)</f>
        <v>0</v>
      </c>
      <c r="P299" s="351">
        <f t="shared" si="51"/>
        <v>0</v>
      </c>
      <c r="Q299" s="275">
        <f>-SUMIFS(BV_Data_An_Prec!$AM:$AM,BV_Data_An_Prec!$AP:$AP,$B299,BV_Data_An_Prec!$AQ:$AQ,$C299,BV_Data_An_Prec!$AR:$AR,$L$2)</f>
        <v>0</v>
      </c>
      <c r="R299" s="291">
        <f t="shared" si="52"/>
        <v>0</v>
      </c>
      <c r="S299" s="275">
        <f t="shared" si="53"/>
        <v>2413.1500000000015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528</v>
      </c>
      <c r="B300" s="41" t="s">
        <v>176</v>
      </c>
      <c r="C300" s="1040" t="s">
        <v>182</v>
      </c>
      <c r="D300" s="290">
        <f>+INDEX('Budget original'!$A$2:$AO$501,MATCH($A300,'Budget original'!$A$2:$A$501,0),MATCH(D$2,'Budget original'!$A$2:$AO$2,0))</f>
        <v>0</v>
      </c>
      <c r="E300" s="351">
        <f t="shared" si="54"/>
        <v>0</v>
      </c>
      <c r="F300" s="275">
        <f>+INDEX('Budget original'!$A$2:$AO$501,MATCH($A300,'Budget original'!$A$2:$A$501,0),MATCH(F$2,'Budget original'!$A$2:$AO$2,0))</f>
        <v>0</v>
      </c>
      <c r="G300" s="290"/>
      <c r="H300" s="351"/>
      <c r="I300" s="275"/>
      <c r="J300" s="253">
        <f>-SUMIFS(BV_Data_An_Cour!$AM:$AM,BV_Data_An_Cour!$AS:$AS,"Oui",BV_Data_An_Cour!$AP:$AP,$B300,BV_Data_An_Cour!$AQ:$AQ,$C300)</f>
        <v>23406.740000000009</v>
      </c>
      <c r="K300" s="351">
        <f t="shared" si="48"/>
        <v>0.35278641963810448</v>
      </c>
      <c r="L300" s="275">
        <f>-SUMIFS(BV_Data_An_Cour!$AM:$AM,BV_Data_An_Cour!$AP:$AP,$B300,BV_Data_An_Cour!$AQ:$AQ,$C300,BV_Data_An_Cour!$AR:$AR,$L$2)</f>
        <v>8257.580000000009</v>
      </c>
      <c r="M300" s="291" t="e">
        <f t="shared" si="49"/>
        <v>#DIV/0!</v>
      </c>
      <c r="N300" s="275">
        <f t="shared" si="50"/>
        <v>8257.580000000009</v>
      </c>
      <c r="O300" s="253">
        <f>-SUMIFS(BV_Data_An_Prec!$AM:$AM,BV_Data_An_Prec!$AS:$AS,"Oui",BV_Data_An_Prec!$AP:$AP,$B300,BV_Data_An_Prec!$AQ:$AQ,$C300)</f>
        <v>0</v>
      </c>
      <c r="P300" s="351">
        <f t="shared" si="51"/>
        <v>0</v>
      </c>
      <c r="Q300" s="275">
        <f>-SUMIFS(BV_Data_An_Prec!$AM:$AM,BV_Data_An_Prec!$AP:$AP,$B300,BV_Data_An_Prec!$AQ:$AQ,$C300,BV_Data_An_Prec!$AR:$AR,$L$2)</f>
        <v>0</v>
      </c>
      <c r="R300" s="291">
        <f t="shared" si="52"/>
        <v>0</v>
      </c>
      <c r="S300" s="275">
        <f t="shared" si="53"/>
        <v>8257.580000000009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
        <v>529</v>
      </c>
      <c r="B301" s="41" t="s">
        <v>176</v>
      </c>
      <c r="C301" s="1040" t="s">
        <v>183</v>
      </c>
      <c r="D301" s="290">
        <f>+INDEX('Budget original'!$A$2:$AO$501,MATCH($A301,'Budget original'!$A$2:$A$501,0),MATCH(D$2,'Budget original'!$A$2:$AO$2,0))</f>
        <v>0</v>
      </c>
      <c r="E301" s="351">
        <f t="shared" si="54"/>
        <v>0</v>
      </c>
      <c r="F301" s="275">
        <f>+INDEX('Budget original'!$A$2:$AO$501,MATCH($A301,'Budget original'!$A$2:$A$501,0),MATCH(F$2,'Budget original'!$A$2:$AO$2,0))</f>
        <v>0</v>
      </c>
      <c r="G301" s="290"/>
      <c r="H301" s="351"/>
      <c r="I301" s="275"/>
      <c r="J301" s="253">
        <f>-SUMIFS(BV_Data_An_Cour!$AM:$AM,BV_Data_An_Cour!$AS:$AS,"Oui",BV_Data_An_Cour!$AP:$AP,$B301,BV_Data_An_Cour!$AQ:$AQ,$C301)</f>
        <v>332808.04999999981</v>
      </c>
      <c r="K301" s="351">
        <f t="shared" si="48"/>
        <v>0.17547910875352896</v>
      </c>
      <c r="L301" s="275">
        <f>-SUMIFS(BV_Data_An_Cour!$AM:$AM,BV_Data_An_Cour!$AP:$AP,$B301,BV_Data_An_Cour!$AQ:$AQ,$C301,BV_Data_An_Cour!$AR:$AR,$L$2)</f>
        <v>58400.85999999987</v>
      </c>
      <c r="M301" s="291" t="e">
        <f t="shared" si="49"/>
        <v>#DIV/0!</v>
      </c>
      <c r="N301" s="275">
        <f t="shared" si="50"/>
        <v>58400.85999999987</v>
      </c>
      <c r="O301" s="253">
        <f>-SUMIFS(BV_Data_An_Prec!$AM:$AM,BV_Data_An_Prec!$AS:$AS,"Oui",BV_Data_An_Prec!$AP:$AP,$B301,BV_Data_An_Prec!$AQ:$AQ,$C301)</f>
        <v>0</v>
      </c>
      <c r="P301" s="351">
        <f t="shared" si="51"/>
        <v>0</v>
      </c>
      <c r="Q301" s="275">
        <f>-SUMIFS(BV_Data_An_Prec!$AM:$AM,BV_Data_An_Prec!$AP:$AP,$B301,BV_Data_An_Prec!$AQ:$AQ,$C301,BV_Data_An_Prec!$AR:$AR,$L$2)</f>
        <v>0</v>
      </c>
      <c r="R301" s="291">
        <f t="shared" si="52"/>
        <v>0</v>
      </c>
      <c r="S301" s="275">
        <f t="shared" si="53"/>
        <v>58400.85999999987</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
        <v>530</v>
      </c>
      <c r="B302" s="41" t="s">
        <v>176</v>
      </c>
      <c r="C302" s="1040" t="s">
        <v>55</v>
      </c>
      <c r="D302" s="290">
        <f>+INDEX('Budget original'!$A$2:$AO$501,MATCH($A302,'Budget original'!$A$2:$A$501,0),MATCH(D$2,'Budget original'!$A$2:$AO$2,0))</f>
        <v>0</v>
      </c>
      <c r="E302" s="351">
        <f>IF(D302=0,0,F302/D302)</f>
        <v>0</v>
      </c>
      <c r="F302" s="275">
        <f>+INDEX('Budget original'!$A$2:$AO$501,MATCH($A302,'Budget original'!$A$2:$A$501,0),MATCH(F$2,'Budget original'!$A$2:$AO$2,0))</f>
        <v>0</v>
      </c>
      <c r="G302" s="290"/>
      <c r="H302" s="351"/>
      <c r="I302" s="275"/>
      <c r="J302" s="253">
        <f>-SUMIFS(BV_Data_An_Cour!$AM:$AM,BV_Data_An_Cour!$AS:$AS,"Oui",BV_Data_An_Cour!$AP:$AP,$B302,BV_Data_An_Cour!$AQ:$AQ,$C302)</f>
        <v>0</v>
      </c>
      <c r="K302" s="351">
        <f t="shared" si="48"/>
        <v>0</v>
      </c>
      <c r="L302" s="275">
        <f>-SUMIFS(BV_Data_An_Cour!$AM:$AM,BV_Data_An_Cour!$AP:$AP,$B302,BV_Data_An_Cour!$AQ:$AQ,$C302,BV_Data_An_Cour!$AR:$AR,$L$2)</f>
        <v>0</v>
      </c>
      <c r="M302" s="291" t="e">
        <f t="shared" si="49"/>
        <v>#DIV/0!</v>
      </c>
      <c r="N302" s="275">
        <f t="shared" si="50"/>
        <v>0</v>
      </c>
      <c r="O302" s="253">
        <f>-SUMIFS(BV_Data_An_Prec!$AM:$AM,BV_Data_An_Prec!$AS:$AS,"Oui",BV_Data_An_Prec!$AP:$AP,$B302,BV_Data_An_Prec!$AQ:$AQ,$C302)</f>
        <v>0</v>
      </c>
      <c r="P302" s="351">
        <f t="shared" si="51"/>
        <v>0</v>
      </c>
      <c r="Q302" s="275">
        <f>-SUMIFS(BV_Data_An_Prec!$AM:$AM,BV_Data_An_Prec!$AP:$AP,$B302,BV_Data_An_Prec!$AQ:$AQ,$C302,BV_Data_An_Prec!$AR:$AR,$L$2)</f>
        <v>0</v>
      </c>
      <c r="R302" s="291">
        <f t="shared" si="52"/>
        <v>0</v>
      </c>
      <c r="S302" s="275">
        <f t="shared" si="53"/>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531</v>
      </c>
      <c r="B303" s="41" t="s">
        <v>176</v>
      </c>
      <c r="C303" s="1040" t="s">
        <v>184</v>
      </c>
      <c r="D303" s="290">
        <f>+INDEX('Budget original'!$A$2:$AO$501,MATCH($A303,'Budget original'!$A$2:$A$501,0),MATCH(D$2,'Budget original'!$A$2:$AO$2,0))</f>
        <v>0</v>
      </c>
      <c r="E303" s="351">
        <f t="shared" si="54"/>
        <v>0</v>
      </c>
      <c r="F303" s="275">
        <f>+INDEX('Budget original'!$A$2:$AO$501,MATCH($A303,'Budget original'!$A$2:$A$501,0),MATCH(F$2,'Budget original'!$A$2:$AO$2,0))</f>
        <v>0</v>
      </c>
      <c r="G303" s="290"/>
      <c r="H303" s="351"/>
      <c r="I303" s="275"/>
      <c r="J303" s="253">
        <f>-SUMIFS(BV_Data_An_Cour!$AM:$AM,BV_Data_An_Cour!$AS:$AS,"Oui",BV_Data_An_Cour!$AP:$AP,$B303,BV_Data_An_Cour!$AQ:$AQ,$C303)</f>
        <v>0</v>
      </c>
      <c r="K303" s="351">
        <f t="shared" si="48"/>
        <v>0</v>
      </c>
      <c r="L303" s="275">
        <f>-SUMIFS(BV_Data_An_Cour!$AM:$AM,BV_Data_An_Cour!$AP:$AP,$B303,BV_Data_An_Cour!$AQ:$AQ,$C303,BV_Data_An_Cour!$AR:$AR,$L$2)</f>
        <v>6827.0699999999924</v>
      </c>
      <c r="M303" s="291"/>
      <c r="N303" s="275">
        <f t="shared" si="50"/>
        <v>6827.0699999999924</v>
      </c>
      <c r="O303" s="253">
        <f>-SUMIFS(BV_Data_An_Prec!$AM:$AM,BV_Data_An_Prec!$AS:$AS,"Oui",BV_Data_An_Prec!$AP:$AP,$B303,BV_Data_An_Prec!$AQ:$AQ,$C303)</f>
        <v>0</v>
      </c>
      <c r="P303" s="351">
        <f t="shared" si="51"/>
        <v>0</v>
      </c>
      <c r="Q303" s="275">
        <f>-SUMIFS(BV_Data_An_Prec!$AM:$AM,BV_Data_An_Prec!$AP:$AP,$B303,BV_Data_An_Prec!$AQ:$AQ,$C303,BV_Data_An_Prec!$AR:$AR,$L$2)</f>
        <v>0</v>
      </c>
      <c r="R303" s="291">
        <f t="shared" si="52"/>
        <v>0</v>
      </c>
      <c r="S303" s="275">
        <f t="shared" si="53"/>
        <v>6827.0699999999924</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532</v>
      </c>
      <c r="B304" s="41" t="s">
        <v>176</v>
      </c>
      <c r="C304" s="1041" t="s">
        <v>185</v>
      </c>
      <c r="D304" s="290">
        <f>+INDEX('Budget original'!$A$2:$AO$501,MATCH($A304,'Budget original'!$A$2:$A$501,0),MATCH(D$2,'Budget original'!$A$2:$AO$2,0))</f>
        <v>0</v>
      </c>
      <c r="E304" s="351">
        <f t="shared" si="54"/>
        <v>0</v>
      </c>
      <c r="F304" s="275">
        <f>+INDEX('Budget original'!$A$2:$AO$501,MATCH($A304,'Budget original'!$A$2:$A$501,0),MATCH(F$2,'Budget original'!$A$2:$AO$2,0))</f>
        <v>0</v>
      </c>
      <c r="G304" s="290"/>
      <c r="H304" s="351"/>
      <c r="I304" s="275"/>
      <c r="J304" s="253">
        <f>-SUMIFS(BV_Data_An_Cour!$AM:$AM,BV_Data_An_Cour!$AS:$AS,"Oui",BV_Data_An_Cour!$AP:$AP,$B304,BV_Data_An_Cour!$AQ:$AQ,$C304)</f>
        <v>0</v>
      </c>
      <c r="K304" s="351">
        <f t="shared" si="48"/>
        <v>0</v>
      </c>
      <c r="L304" s="275">
        <f>-SUMIFS(BV_Data_An_Cour!$AM:$AM,BV_Data_An_Cour!$AP:$AP,$B304,BV_Data_An_Cour!$AQ:$AQ,$C304,BV_Data_An_Cour!$AR:$AR,$L$2)</f>
        <v>0</v>
      </c>
      <c r="M304" s="291"/>
      <c r="N304" s="275">
        <f t="shared" si="50"/>
        <v>0</v>
      </c>
      <c r="O304" s="253">
        <f>-SUMIFS(BV_Data_An_Prec!$AM:$AM,BV_Data_An_Prec!$AS:$AS,"Oui",BV_Data_An_Prec!$AP:$AP,$B304,BV_Data_An_Prec!$AQ:$AQ,$C304)</f>
        <v>0</v>
      </c>
      <c r="P304" s="351">
        <f t="shared" si="51"/>
        <v>0</v>
      </c>
      <c r="Q304" s="275">
        <f>-SUMIFS(BV_Data_An_Prec!$AM:$AM,BV_Data_An_Prec!$AP:$AP,$B304,BV_Data_An_Prec!$AQ:$AQ,$C304,BV_Data_An_Prec!$AR:$AR,$L$2)</f>
        <v>0</v>
      </c>
      <c r="R304" s="291">
        <f t="shared" si="52"/>
        <v>0</v>
      </c>
      <c r="S304" s="275">
        <f t="shared" si="53"/>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533</v>
      </c>
      <c r="B305" s="41" t="s">
        <v>176</v>
      </c>
      <c r="C305" s="1042" t="s">
        <v>186</v>
      </c>
      <c r="D305" s="388">
        <f>SUM(D296:D304)</f>
        <v>0</v>
      </c>
      <c r="E305" s="405">
        <f>IF(D305&lt;=0,0,F305/D305)</f>
        <v>0</v>
      </c>
      <c r="F305" s="390">
        <f>SUM(F296:F304)</f>
        <v>0</v>
      </c>
      <c r="G305" s="388"/>
      <c r="H305" s="405"/>
      <c r="I305" s="390"/>
      <c r="J305" s="388">
        <f t="shared" ref="J305" si="55">SUM(J296:J304)</f>
        <v>554449.36999999988</v>
      </c>
      <c r="K305" s="405">
        <f t="shared" si="48"/>
        <v>0.23779635641032451</v>
      </c>
      <c r="L305" s="390">
        <f>SUM(L296:L304)</f>
        <v>131846.03999999986</v>
      </c>
      <c r="M305" s="406" t="e">
        <f>(+J305-D305)/D305</f>
        <v>#DIV/0!</v>
      </c>
      <c r="N305" s="390">
        <f t="shared" si="50"/>
        <v>131846.03999999986</v>
      </c>
      <c r="O305" s="388">
        <f t="shared" ref="O305" si="56">SUM(O296:O304)</f>
        <v>0</v>
      </c>
      <c r="P305" s="405">
        <f t="shared" si="51"/>
        <v>0</v>
      </c>
      <c r="Q305" s="390">
        <f>SUM(Q296:Q304)</f>
        <v>0</v>
      </c>
      <c r="R305" s="406">
        <f t="shared" si="52"/>
        <v>0</v>
      </c>
      <c r="S305" s="390">
        <f t="shared" si="53"/>
        <v>131846.03999999986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176</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176</v>
      </c>
      <c r="B307" s="41" t="s">
        <v>176</v>
      </c>
      <c r="C307" s="1041"/>
      <c r="D307" s="316"/>
      <c r="E307" s="316"/>
      <c r="F307" s="407"/>
      <c r="G307" s="245"/>
      <c r="H307" s="316"/>
      <c r="I307" s="407"/>
      <c r="J307" s="245"/>
      <c r="K307" s="316"/>
      <c r="L307" s="407"/>
      <c r="M307" s="245"/>
      <c r="N307" s="368"/>
      <c r="O307" s="245"/>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534</v>
      </c>
      <c r="B308" s="41" t="s">
        <v>176</v>
      </c>
      <c r="C308" s="1040" t="s">
        <v>187</v>
      </c>
      <c r="D308" s="290">
        <f>+INDEX('Budget original'!$A$2:$AO$501,MATCH($A308,'Budget original'!$A$2:$A$501,0),MATCH(D$2,'Budget original'!$A$2:$AO$2,0))</f>
        <v>0</v>
      </c>
      <c r="E308" s="351">
        <f>IF(D308=0,0,F308/D308)</f>
        <v>0</v>
      </c>
      <c r="F308" s="315">
        <f>+INDEX('Budget original'!$A$2:$AO$501,MATCH($A308,'Budget original'!$A$2:$A$501,0),MATCH(F$2,'Budget original'!$A$2:$AO$2,0))</f>
        <v>0</v>
      </c>
      <c r="G308" s="290"/>
      <c r="H308" s="351"/>
      <c r="I308" s="315"/>
      <c r="J308" s="253">
        <f>-SUMIFS(BV_Data_An_Cour!$AM:$AM,BV_Data_An_Cour!$AS:$AS,"Oui",BV_Data_An_Cour!$AP:$AP,$B308,BV_Data_An_Cour!$AQ:$AQ,$C308)</f>
        <v>40167.010000000009</v>
      </c>
      <c r="K308" s="351">
        <f t="shared" ref="K308:K310" si="57">IF(J308&lt;=0,0,L308/J308)</f>
        <v>0.23242307555379446</v>
      </c>
      <c r="L308" s="315">
        <f>-SUMIFS(BV_Data_An_Cour!$AM:$AM,BV_Data_An_Cour!$AP:$AP,$B308,BV_Data_An_Cour!$AQ:$AQ,$C308,BV_Data_An_Cour!$AR:$AR,$L$2)</f>
        <v>9335.7400000000198</v>
      </c>
      <c r="M308" s="291" t="e">
        <f>(+J308-D308)/D308</f>
        <v>#DIV/0!</v>
      </c>
      <c r="N308" s="275">
        <f>L308-F308</f>
        <v>9335.7400000000198</v>
      </c>
      <c r="O308" s="253">
        <f>-SUMIFS(BV_Data_An_Prec!$AM:$AM,BV_Data_An_Prec!$AS:$AS,"Oui",BV_Data_An_Prec!$AP:$AP,$B308,BV_Data_An_Prec!$AQ:$AQ,$C308)</f>
        <v>0</v>
      </c>
      <c r="P308" s="351">
        <f t="shared" ref="P308:P310" si="58">IF(O308&lt;=0,0,Q308/O308)</f>
        <v>0</v>
      </c>
      <c r="Q308" s="315">
        <f>-SUMIFS(BV_Data_An_Prec!$AM:$AM,BV_Data_An_Prec!$AP:$AP,$B308,BV_Data_An_Prec!$AQ:$AQ,$C308,BV_Data_An_Prec!$AR:$AR,$L$2)</f>
        <v>0</v>
      </c>
      <c r="R308" s="291">
        <f t="shared" ref="R308:R310" si="59">IF(O308=0,0,(J308-O308)/O308)</f>
        <v>0</v>
      </c>
      <c r="S308" s="275">
        <f t="shared" ref="S308:S310" si="60">L308-Q308</f>
        <v>9335.7400000000198</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535</v>
      </c>
      <c r="B309" s="41" t="s">
        <v>176</v>
      </c>
      <c r="C309" s="1041" t="s">
        <v>188</v>
      </c>
      <c r="D309" s="290">
        <f>+INDEX('Budget original'!$A$2:$AO$501,MATCH($A309,'Budget original'!$A$2:$A$501,0),MATCH(D$2,'Budget original'!$A$2:$AO$2,0))</f>
        <v>0</v>
      </c>
      <c r="E309" s="351">
        <f>IF(D309=0,0,F309/D309)</f>
        <v>0</v>
      </c>
      <c r="F309" s="295">
        <f>+INDEX('Budget original'!$A$2:$AO$501,MATCH($A309,'Budget original'!$A$2:$A$501,0),MATCH(F$2,'Budget original'!$A$2:$AO$2,0))</f>
        <v>0</v>
      </c>
      <c r="G309" s="290"/>
      <c r="H309" s="351"/>
      <c r="I309" s="295"/>
      <c r="J309" s="253">
        <f>-SUMIFS(BV_Data_An_Cour!$AM:$AM,BV_Data_An_Cour!$AS:$AS,"Oui",BV_Data_An_Cour!$AP:$AP,$B309,BV_Data_An_Cour!$AQ:$AQ,$C309)</f>
        <v>26562.430000000004</v>
      </c>
      <c r="K309" s="351">
        <f t="shared" si="57"/>
        <v>0.26147833613114474</v>
      </c>
      <c r="L309" s="295">
        <f>-SUMIFS(BV_Data_An_Cour!$AM:$AM,BV_Data_An_Cour!$AP:$AP,$B309,BV_Data_An_Cour!$AQ:$AQ,$C309,BV_Data_An_Cour!$AR:$AR,$L$2)</f>
        <v>6945.5000000000036</v>
      </c>
      <c r="M309" s="291" t="e">
        <f>(+J309-D309)/D309</f>
        <v>#DIV/0!</v>
      </c>
      <c r="N309" s="275">
        <f>L309-F309</f>
        <v>6945.5000000000036</v>
      </c>
      <c r="O309" s="253">
        <f>-SUMIFS(BV_Data_An_Prec!$AM:$AM,BV_Data_An_Prec!$AS:$AS,"Oui",BV_Data_An_Prec!$AP:$AP,$B309,BV_Data_An_Prec!$AQ:$AQ,$C309)</f>
        <v>0</v>
      </c>
      <c r="P309" s="351">
        <f t="shared" si="58"/>
        <v>0</v>
      </c>
      <c r="Q309" s="295">
        <f>-SUMIFS(BV_Data_An_Prec!$AM:$AM,BV_Data_An_Prec!$AP:$AP,$B309,BV_Data_An_Prec!$AQ:$AQ,$C309,BV_Data_An_Prec!$AR:$AR,$L$2)</f>
        <v>0</v>
      </c>
      <c r="R309" s="291">
        <f t="shared" si="59"/>
        <v>0</v>
      </c>
      <c r="S309" s="275">
        <f t="shared" si="60"/>
        <v>6945.5000000000036</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536</v>
      </c>
      <c r="B310" s="41" t="s">
        <v>176</v>
      </c>
      <c r="C310" s="269" t="s">
        <v>189</v>
      </c>
      <c r="D310" s="388">
        <f>D305+D308+D309</f>
        <v>0</v>
      </c>
      <c r="E310" s="405">
        <f>IF(D310&lt;=0,0,F310/D310)</f>
        <v>0</v>
      </c>
      <c r="F310" s="390">
        <f>F305+F308+F309</f>
        <v>0</v>
      </c>
      <c r="G310" s="391"/>
      <c r="H310" s="405"/>
      <c r="I310" s="390"/>
      <c r="J310" s="391">
        <f t="shared" ref="J310" si="61">J305+J308+J309</f>
        <v>621178.80999999994</v>
      </c>
      <c r="K310" s="405">
        <f t="shared" si="57"/>
        <v>0.23846157920293498</v>
      </c>
      <c r="L310" s="390">
        <f>L305+L308+L309</f>
        <v>148127.27999999988</v>
      </c>
      <c r="M310" s="406" t="e">
        <f>(+J310-D310)/D310</f>
        <v>#DIV/0!</v>
      </c>
      <c r="N310" s="390">
        <f>L310-F310</f>
        <v>148127.27999999988</v>
      </c>
      <c r="O310" s="391">
        <f t="shared" ref="O310" si="62">O305+O308+O309</f>
        <v>0</v>
      </c>
      <c r="P310" s="405">
        <f t="shared" si="58"/>
        <v>0</v>
      </c>
      <c r="Q310" s="390">
        <f>Q305+Q308+Q309</f>
        <v>0</v>
      </c>
      <c r="R310" s="406">
        <f t="shared" si="59"/>
        <v>0</v>
      </c>
      <c r="S310" s="390">
        <f t="shared" si="60"/>
        <v>148127.27999999988</v>
      </c>
      <c r="T310" s="41"/>
      <c r="U310" s="290"/>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176</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176</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537</v>
      </c>
      <c r="B313" s="41" t="s">
        <v>176</v>
      </c>
      <c r="C313" s="245" t="s">
        <v>190</v>
      </c>
      <c r="D313" s="293">
        <f>+INDEX('Budget original'!$A$2:$AO$501,MATCH($A313,'Budget original'!$A$2:$A$501,0),MATCH(D$2,'Budget original'!$A$2:$AO$2,0))</f>
        <v>0</v>
      </c>
      <c r="E313" s="352">
        <f>IF(D313=0,0,F313/D313)</f>
        <v>0</v>
      </c>
      <c r="F313" s="295">
        <f>+INDEX('Budget original'!$A$2:$AO$501,MATCH($A313,'Budget original'!$A$2:$A$501,0),MATCH(F$2,'Budget original'!$A$2:$AO$2,0))</f>
        <v>0</v>
      </c>
      <c r="G313" s="363"/>
      <c r="H313" s="352"/>
      <c r="I313" s="295"/>
      <c r="J313" s="266">
        <f>-SUMIFS(BV_Data_An_Cour!$AM:$AM,BV_Data_An_Cour!$AS:$AS,"Oui",BV_Data_An_Cour!$AP:$AP,$B313,BV_Data_An_Cour!$AQ:$AQ,$C313)</f>
        <v>0</v>
      </c>
      <c r="K313" s="352">
        <f>IF(J313&lt;=0,0,L313/J313)</f>
        <v>0</v>
      </c>
      <c r="L313" s="247">
        <f>-SUMIFS(BV_Data_An_Cour!$AM:$AM,BV_Data_An_Cour!$AP:$AP,$B313,BV_Data_An_Cour!$AQ:$AQ,$C313,BV_Data_An_Cour!$AR:$AR,$L$2)</f>
        <v>0</v>
      </c>
      <c r="M313" s="352">
        <f>IF(F313=0,0,(+L313-F313)/F313)</f>
        <v>0</v>
      </c>
      <c r="N313" s="295">
        <f>L313-F313</f>
        <v>0</v>
      </c>
      <c r="O313" s="266">
        <f>-SUMIFS(BV_Data_An_Prec!$AM:$AM,BV_Data_An_Prec!$AS:$AS,"Oui",BV_Data_An_Prec!$AP:$AP,$B313,BV_Data_An_Prec!$AQ:$AQ,$C313)</f>
        <v>0</v>
      </c>
      <c r="P313" s="352">
        <f>IF(O313&lt;=0,0,Q313/O313)</f>
        <v>0</v>
      </c>
      <c r="Q313" s="247">
        <f>-SUMIFS(BV_Data_An_Prec!$AM:$AM,BV_Data_An_Prec!$AP:$AP,$B313,BV_Data_An_Prec!$AQ:$AQ,$C313,BV_Data_An_Prec!$AR:$AR,$L$2)</f>
        <v>0</v>
      </c>
      <c r="R313" s="352">
        <f>IF(S313=0,0,(+O313-K313)/K313)</f>
        <v>0</v>
      </c>
      <c r="S313" s="295">
        <f>L313-Q313</f>
        <v>0</v>
      </c>
      <c r="T313" s="41"/>
      <c r="U313" s="290"/>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
        <v>176</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
        <v>538</v>
      </c>
      <c r="B315" s="41" t="s">
        <v>176</v>
      </c>
      <c r="C315" s="277" t="s">
        <v>191</v>
      </c>
      <c r="D315" s="278">
        <f>D310+D313</f>
        <v>0</v>
      </c>
      <c r="E315" s="408">
        <f>IF(D315&lt;=0,0,F315/D315)</f>
        <v>0</v>
      </c>
      <c r="F315" s="280">
        <f>F310+F313</f>
        <v>0</v>
      </c>
      <c r="G315" s="281"/>
      <c r="H315" s="408"/>
      <c r="I315" s="280"/>
      <c r="J315" s="281">
        <f t="shared" ref="J315" si="63">J310+J313</f>
        <v>621178.80999999994</v>
      </c>
      <c r="K315" s="408">
        <f>IF(J315&lt;=0,0,L315/J315)</f>
        <v>0.23846157920293498</v>
      </c>
      <c r="L315" s="280">
        <f>L310+L313</f>
        <v>148127.27999999988</v>
      </c>
      <c r="M315" s="409" t="e">
        <f>(+J315-D315)/D315</f>
        <v>#DIV/0!</v>
      </c>
      <c r="N315" s="410">
        <f>L315-F315</f>
        <v>148127.27999999988</v>
      </c>
      <c r="O315" s="281">
        <f t="shared" ref="O315" si="64">O310+O313</f>
        <v>0</v>
      </c>
      <c r="P315" s="408">
        <f>IF(O315&lt;=0,0,Q315/O315)</f>
        <v>0</v>
      </c>
      <c r="Q315" s="280">
        <f>Q310+Q313</f>
        <v>0</v>
      </c>
      <c r="R315" s="409">
        <f>IF(O315=0,0,(J315-O315)/O315)</f>
        <v>0</v>
      </c>
      <c r="S315" s="410">
        <f>L315-Q315</f>
        <v>148127.27999999988</v>
      </c>
      <c r="T315" s="41"/>
      <c r="U315" s="290"/>
      <c r="V315" s="290"/>
      <c r="W315" s="290"/>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
        <v>176</v>
      </c>
      <c r="B316" s="41" t="s">
        <v>176</v>
      </c>
      <c r="C316" s="330"/>
      <c r="D316" s="411"/>
      <c r="E316" s="412"/>
      <c r="F316" s="333"/>
      <c r="G316" s="413"/>
      <c r="H316" s="412"/>
      <c r="I316" s="333"/>
      <c r="J316" s="413"/>
      <c r="K316" s="412"/>
      <c r="L316" s="770" t="e">
        <f>L315/F315</f>
        <v>#DIV/0!</v>
      </c>
      <c r="M316" s="414"/>
      <c r="N316" s="286" t="e">
        <f>N315/F315</f>
        <v>#DIV/0!</v>
      </c>
      <c r="O316" s="413"/>
      <c r="P316" s="412"/>
      <c r="Q316" s="770">
        <f>Q315/L315</f>
        <v>0</v>
      </c>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
        <v>176</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539</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540</v>
      </c>
      <c r="B319" s="41" t="s">
        <v>176</v>
      </c>
      <c r="C319" s="310" t="s">
        <v>116</v>
      </c>
      <c r="D319" s="41"/>
      <c r="E319" s="41"/>
      <c r="F319" s="253">
        <f>+INDEX('Budget original'!$A$2:$AO$501,MATCH($A319,'Budget original'!$A$2:$A$501,0),MATCH(F$2,'Budget original'!$A$2:$AO$2,0))</f>
        <v>0</v>
      </c>
      <c r="G319" s="252"/>
      <c r="H319" s="41"/>
      <c r="I319" s="253"/>
      <c r="J319" s="252"/>
      <c r="K319" s="41"/>
      <c r="L319" s="255">
        <f>SUMIFS(BV_Data_An_Cour!$AM:$AM,BV_Data_An_Cour!$AP:$AP,$B319,BV_Data_An_Cour!$AQ:$AQ,$C319,BV_Data_An_Cour!$AR:$AR,$L$2)</f>
        <v>5798.34</v>
      </c>
      <c r="M319" s="252"/>
      <c r="N319" s="255">
        <f t="shared" ref="N319:N349" si="65">L319-F319</f>
        <v>5798.34</v>
      </c>
      <c r="O319" s="252"/>
      <c r="P319" s="41"/>
      <c r="Q319" s="255">
        <f>SUMIFS(BV_Data_An_Prec!$AM:$AM,BV_Data_An_Prec!$AP:$AP,$B319,BV_Data_An_Prec!$AQ:$AQ,$C319,BV_Data_An_Prec!$AR:$AR,$L$2)</f>
        <v>0</v>
      </c>
      <c r="R319" s="252"/>
      <c r="S319" s="255">
        <f t="shared" ref="S319:S349" si="66">L319-Q319</f>
        <v>5798.34</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541</v>
      </c>
      <c r="B320" s="41" t="s">
        <v>176</v>
      </c>
      <c r="C320" s="311" t="s">
        <v>117</v>
      </c>
      <c r="D320" s="296"/>
      <c r="E320" s="41"/>
      <c r="F320" s="247">
        <f>+INDEX('Budget original'!$A$2:$AO$501,MATCH($A320,'Budget original'!$A$2:$A$501,0),MATCH(F$2,'Budget original'!$A$2:$AO$2,0))</f>
        <v>0</v>
      </c>
      <c r="G320" s="297"/>
      <c r="H320" s="41"/>
      <c r="I320" s="247"/>
      <c r="J320" s="252"/>
      <c r="K320" s="41"/>
      <c r="L320" s="255">
        <f>SUMIFS(BV_Data_An_Cour!$AM:$AM,BV_Data_An_Cour!$AP:$AP,$B320,BV_Data_An_Cour!$AQ:$AQ,$C320,BV_Data_An_Cour!$AR:$AR,$L$2)</f>
        <v>0</v>
      </c>
      <c r="M320" s="252"/>
      <c r="N320" s="255">
        <f t="shared" si="65"/>
        <v>0</v>
      </c>
      <c r="O320" s="252"/>
      <c r="P320" s="41"/>
      <c r="Q320" s="255">
        <f>SUMIFS(BV_Data_An_Prec!$AM:$AM,BV_Data_An_Prec!$AP:$AP,$B320,BV_Data_An_Prec!$AQ:$AQ,$C320,BV_Data_An_Prec!$AR:$AR,$L$2)</f>
        <v>0</v>
      </c>
      <c r="R320" s="252"/>
      <c r="S320" s="275">
        <f t="shared" si="66"/>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542</v>
      </c>
      <c r="B321" s="41" t="s">
        <v>176</v>
      </c>
      <c r="C321" s="310" t="s">
        <v>118</v>
      </c>
      <c r="D321" s="312"/>
      <c r="E321" s="313"/>
      <c r="F321" s="253">
        <f>+INDEX('Budget original'!$A$2:$AO$501,MATCH($A321,'Budget original'!$A$2:$A$501,0),MATCH(F$2,'Budget original'!$A$2:$AO$2,0))</f>
        <v>0</v>
      </c>
      <c r="G321" s="314"/>
      <c r="H321" s="313"/>
      <c r="I321" s="253"/>
      <c r="J321" s="240"/>
      <c r="K321" s="313"/>
      <c r="L321" s="271">
        <f>SUMIFS(BV_Data_An_Cour!$AM:$AM,BV_Data_An_Cour!$AP:$AP,$B321,BV_Data_An_Cour!$AQ:$AQ,$C321,BV_Data_An_Cour!$AR:$AR,$L$2)</f>
        <v>20034.040000000008</v>
      </c>
      <c r="M321" s="240"/>
      <c r="N321" s="271">
        <f t="shared" si="65"/>
        <v>20034.040000000008</v>
      </c>
      <c r="O321" s="240"/>
      <c r="P321" s="313"/>
      <c r="Q321" s="271">
        <f>SUMIFS(BV_Data_An_Prec!$AM:$AM,BV_Data_An_Prec!$AP:$AP,$B321,BV_Data_An_Prec!$AQ:$AQ,$C321,BV_Data_An_Prec!$AR:$AR,$L$2)</f>
        <v>0</v>
      </c>
      <c r="R321" s="240"/>
      <c r="S321" s="315">
        <f t="shared" si="66"/>
        <v>20034.040000000008</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
        <v>543</v>
      </c>
      <c r="B322" s="41" t="s">
        <v>176</v>
      </c>
      <c r="C322" s="310" t="s">
        <v>119</v>
      </c>
      <c r="D322" s="296"/>
      <c r="E322" s="41"/>
      <c r="F322" s="253">
        <f>+INDEX('Budget original'!$A$2:$AO$501,MATCH($A322,'Budget original'!$A$2:$A$501,0),MATCH(F$2,'Budget original'!$A$2:$AO$2,0))</f>
        <v>0</v>
      </c>
      <c r="G322" s="297"/>
      <c r="H322" s="41"/>
      <c r="I322" s="253"/>
      <c r="J322" s="252"/>
      <c r="K322" s="41"/>
      <c r="L322" s="255">
        <f>SUMIFS(BV_Data_An_Cour!$AM:$AM,BV_Data_An_Cour!$AP:$AP,$B322,BV_Data_An_Cour!$AQ:$AQ,$C322,BV_Data_An_Cour!$AR:$AR,$L$2)</f>
        <v>0</v>
      </c>
      <c r="M322" s="252"/>
      <c r="N322" s="255">
        <f t="shared" si="65"/>
        <v>0</v>
      </c>
      <c r="O322" s="252"/>
      <c r="P322" s="41"/>
      <c r="Q322" s="255">
        <f>SUMIFS(BV_Data_An_Prec!$AM:$AM,BV_Data_An_Prec!$AP:$AP,$B322,BV_Data_An_Prec!$AQ:$AQ,$C322,BV_Data_An_Prec!$AR:$AR,$L$2)</f>
        <v>0</v>
      </c>
      <c r="R322" s="252"/>
      <c r="S322" s="275">
        <f t="shared" si="66"/>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530</v>
      </c>
      <c r="B323" s="41" t="s">
        <v>176</v>
      </c>
      <c r="C323" s="252" t="s">
        <v>55</v>
      </c>
      <c r="D323" s="296"/>
      <c r="E323" s="41"/>
      <c r="F323" s="253">
        <f>+INDEX('Budget original'!$A$2:$AO$501,MATCH($A323,'Budget original'!$A$2:$A$501,0),MATCH(F$2,'Budget original'!$A$2:$AO$2,0))</f>
        <v>0</v>
      </c>
      <c r="G323" s="297"/>
      <c r="H323" s="41"/>
      <c r="I323" s="253"/>
      <c r="J323" s="252"/>
      <c r="K323" s="41"/>
      <c r="L323" s="255">
        <f>SUMIFS(BV_Data_An_Cour!$AM:$AM,BV_Data_An_Cour!$AP:$AP,$B323,BV_Data_An_Cour!$AQ:$AQ,$C323,BV_Data_An_Cour!$AR:$AR,$L$2)</f>
        <v>0</v>
      </c>
      <c r="M323" s="252"/>
      <c r="N323" s="255">
        <f t="shared" si="65"/>
        <v>0</v>
      </c>
      <c r="O323" s="252"/>
      <c r="P323" s="41"/>
      <c r="Q323" s="255">
        <f>SUMIFS(BV_Data_An_Prec!$AM:$AM,BV_Data_An_Prec!$AP:$AP,$B323,BV_Data_An_Prec!$AQ:$AQ,$C323,BV_Data_An_Prec!$AR:$AR,$L$2)</f>
        <v>0</v>
      </c>
      <c r="R323" s="252"/>
      <c r="S323" s="275">
        <f t="shared" si="66"/>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530</v>
      </c>
      <c r="B324" s="41" t="s">
        <v>176</v>
      </c>
      <c r="C324" s="252" t="s">
        <v>55</v>
      </c>
      <c r="D324" s="296"/>
      <c r="E324" s="41"/>
      <c r="F324" s="253">
        <f>+INDEX('Budget original'!$A$2:$AO$501,MATCH($A324,'Budget original'!$A$2:$A$501,0),MATCH(F$2,'Budget original'!$A$2:$AO$2,0))</f>
        <v>0</v>
      </c>
      <c r="G324" s="297"/>
      <c r="H324" s="41"/>
      <c r="I324" s="253"/>
      <c r="J324" s="252"/>
      <c r="K324" s="41"/>
      <c r="L324" s="255">
        <f>SUMIFS(BV_Data_An_Cour!$AM:$AM,BV_Data_An_Cour!$AP:$AP,$B324,BV_Data_An_Cour!$AQ:$AQ,$C324,BV_Data_An_Cour!$AR:$AR,$L$2)</f>
        <v>0</v>
      </c>
      <c r="M324" s="252"/>
      <c r="N324" s="255">
        <f t="shared" si="65"/>
        <v>0</v>
      </c>
      <c r="O324" s="252"/>
      <c r="P324" s="41"/>
      <c r="Q324" s="255">
        <f>SUMIFS(BV_Data_An_Prec!$AM:$AM,BV_Data_An_Prec!$AP:$AP,$B324,BV_Data_An_Prec!$AQ:$AQ,$C324,BV_Data_An_Prec!$AR:$AR,$L$2)</f>
        <v>0</v>
      </c>
      <c r="R324" s="252"/>
      <c r="S324" s="275">
        <f t="shared" si="66"/>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
        <v>530</v>
      </c>
      <c r="B325" s="41" t="s">
        <v>176</v>
      </c>
      <c r="C325" s="252" t="s">
        <v>55</v>
      </c>
      <c r="D325" s="296"/>
      <c r="E325" s="41"/>
      <c r="F325" s="253">
        <f>+INDEX('Budget original'!$A$2:$AO$501,MATCH($A325,'Budget original'!$A$2:$A$501,0),MATCH(F$2,'Budget original'!$A$2:$AO$2,0))</f>
        <v>0</v>
      </c>
      <c r="G325" s="297"/>
      <c r="H325" s="41"/>
      <c r="I325" s="253"/>
      <c r="J325" s="252"/>
      <c r="K325" s="41"/>
      <c r="L325" s="255">
        <f>SUMIFS(BV_Data_An_Cour!$AM:$AM,BV_Data_An_Cour!$AP:$AP,$B325,BV_Data_An_Cour!$AQ:$AQ,$C325,BV_Data_An_Cour!$AR:$AR,$L$2)</f>
        <v>0</v>
      </c>
      <c r="M325" s="252"/>
      <c r="N325" s="255">
        <f t="shared" si="65"/>
        <v>0</v>
      </c>
      <c r="O325" s="252"/>
      <c r="P325" s="41"/>
      <c r="Q325" s="255">
        <f>SUMIFS(BV_Data_An_Prec!$AM:$AM,BV_Data_An_Prec!$AP:$AP,$B325,BV_Data_An_Prec!$AQ:$AQ,$C325,BV_Data_An_Prec!$AR:$AR,$L$2)</f>
        <v>0</v>
      </c>
      <c r="R325" s="252"/>
      <c r="S325" s="275">
        <f t="shared" si="66"/>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544</v>
      </c>
      <c r="B326" s="41" t="s">
        <v>176</v>
      </c>
      <c r="C326" s="311" t="s">
        <v>120</v>
      </c>
      <c r="D326" s="296"/>
      <c r="E326" s="41"/>
      <c r="F326" s="247">
        <f>+INDEX('Budget original'!$A$2:$AO$501,MATCH($A326,'Budget original'!$A$2:$A$501,0),MATCH(F$2,'Budget original'!$A$2:$AO$2,0))</f>
        <v>0</v>
      </c>
      <c r="G326" s="297"/>
      <c r="H326" s="41"/>
      <c r="I326" s="247"/>
      <c r="J326" s="252"/>
      <c r="K326" s="41"/>
      <c r="L326" s="255">
        <f>SUMIFS(BV_Data_An_Cour!$AM:$AM,BV_Data_An_Cour!$AP:$AP,$B326,BV_Data_An_Cour!$AQ:$AQ,$C326,BV_Data_An_Cour!$AR:$AR,$L$2)</f>
        <v>3221.1299999999992</v>
      </c>
      <c r="M326" s="252"/>
      <c r="N326" s="255">
        <f t="shared" si="65"/>
        <v>3221.1299999999992</v>
      </c>
      <c r="O326" s="252"/>
      <c r="P326" s="41"/>
      <c r="Q326" s="255">
        <f>SUMIFS(BV_Data_An_Prec!$AM:$AM,BV_Data_An_Prec!$AP:$AP,$B326,BV_Data_An_Prec!$AQ:$AQ,$C326,BV_Data_An_Prec!$AR:$AR,$L$2)</f>
        <v>0</v>
      </c>
      <c r="R326" s="252"/>
      <c r="S326" s="275">
        <f t="shared" si="66"/>
        <v>3221.1299999999992</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545</v>
      </c>
      <c r="B327" s="41" t="s">
        <v>176</v>
      </c>
      <c r="C327" s="310" t="s">
        <v>121</v>
      </c>
      <c r="D327" s="312"/>
      <c r="E327" s="313"/>
      <c r="F327" s="253">
        <f>+INDEX('Budget original'!$A$2:$AO$501,MATCH($A327,'Budget original'!$A$2:$A$501,0),MATCH(F$2,'Budget original'!$A$2:$AO$2,0))</f>
        <v>0</v>
      </c>
      <c r="G327" s="314"/>
      <c r="H327" s="313"/>
      <c r="I327" s="253"/>
      <c r="J327" s="240"/>
      <c r="K327" s="313"/>
      <c r="L327" s="271">
        <f>SUMIFS(BV_Data_An_Cour!$AM:$AM,BV_Data_An_Cour!$AP:$AP,$B327,BV_Data_An_Cour!$AQ:$AQ,$C327,BV_Data_An_Cour!$AR:$AR,$L$2)</f>
        <v>4197.5799999999981</v>
      </c>
      <c r="M327" s="240"/>
      <c r="N327" s="271">
        <f t="shared" si="65"/>
        <v>4197.5799999999981</v>
      </c>
      <c r="O327" s="240"/>
      <c r="P327" s="313"/>
      <c r="Q327" s="271">
        <f>SUMIFS(BV_Data_An_Prec!$AM:$AM,BV_Data_An_Prec!$AP:$AP,$B327,BV_Data_An_Prec!$AQ:$AQ,$C327,BV_Data_An_Prec!$AR:$AR,$L$2)</f>
        <v>0</v>
      </c>
      <c r="R327" s="240"/>
      <c r="S327" s="315">
        <f t="shared" si="66"/>
        <v>4197.5799999999981</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546</v>
      </c>
      <c r="B328" s="41" t="s">
        <v>176</v>
      </c>
      <c r="C328" s="310" t="s">
        <v>122</v>
      </c>
      <c r="D328" s="296"/>
      <c r="E328" s="41"/>
      <c r="F328" s="253">
        <f>+INDEX('Budget original'!$A$2:$AO$501,MATCH($A328,'Budget original'!$A$2:$A$501,0),MATCH(F$2,'Budget original'!$A$2:$AO$2,0))</f>
        <v>0</v>
      </c>
      <c r="G328" s="297"/>
      <c r="H328" s="41"/>
      <c r="I328" s="253"/>
      <c r="J328" s="252"/>
      <c r="K328" s="41"/>
      <c r="L328" s="255">
        <f>SUMIFS(BV_Data_An_Cour!$AM:$AM,BV_Data_An_Cour!$AP:$AP,$B328,BV_Data_An_Cour!$AQ:$AQ,$C328,BV_Data_An_Cour!$AR:$AR,$L$2)</f>
        <v>414.45000000000005</v>
      </c>
      <c r="M328" s="252"/>
      <c r="N328" s="255">
        <f t="shared" si="65"/>
        <v>414.45000000000005</v>
      </c>
      <c r="O328" s="252"/>
      <c r="P328" s="41"/>
      <c r="Q328" s="255">
        <f>SUMIFS(BV_Data_An_Prec!$AM:$AM,BV_Data_An_Prec!$AP:$AP,$B328,BV_Data_An_Prec!$AQ:$AQ,$C328,BV_Data_An_Prec!$AR:$AR,$L$2)</f>
        <v>0</v>
      </c>
      <c r="R328" s="252"/>
      <c r="S328" s="275">
        <f t="shared" si="66"/>
        <v>414.45000000000005</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
        <v>547</v>
      </c>
      <c r="B329" s="41" t="s">
        <v>176</v>
      </c>
      <c r="C329" s="310" t="s">
        <v>123</v>
      </c>
      <c r="D329" s="296"/>
      <c r="E329" s="41"/>
      <c r="F329" s="253">
        <f>+INDEX('Budget original'!$A$2:$AO$501,MATCH($A329,'Budget original'!$A$2:$A$501,0),MATCH(F$2,'Budget original'!$A$2:$AO$2,0))</f>
        <v>0</v>
      </c>
      <c r="G329" s="297"/>
      <c r="H329" s="41"/>
      <c r="I329" s="253"/>
      <c r="J329" s="252"/>
      <c r="K329" s="41"/>
      <c r="L329" s="255">
        <f>SUMIFS(BV_Data_An_Cour!$AM:$AM,BV_Data_An_Cour!$AP:$AP,$B329,BV_Data_An_Cour!$AQ:$AQ,$C329,BV_Data_An_Cour!$AR:$AR,$L$2)</f>
        <v>0</v>
      </c>
      <c r="M329" s="252"/>
      <c r="N329" s="255">
        <f t="shared" si="65"/>
        <v>0</v>
      </c>
      <c r="O329" s="252"/>
      <c r="P329" s="41"/>
      <c r="Q329" s="255">
        <f>SUMIFS(BV_Data_An_Prec!$AM:$AM,BV_Data_An_Prec!$AP:$AP,$B329,BV_Data_An_Prec!$AQ:$AQ,$C329,BV_Data_An_Prec!$AR:$AR,$L$2)</f>
        <v>0</v>
      </c>
      <c r="R329" s="252"/>
      <c r="S329" s="275">
        <f t="shared" si="66"/>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
        <v>530</v>
      </c>
      <c r="B330" s="41" t="s">
        <v>176</v>
      </c>
      <c r="C330" s="252" t="s">
        <v>55</v>
      </c>
      <c r="D330" s="298"/>
      <c r="E330" s="316"/>
      <c r="F330" s="253">
        <f>+INDEX('Budget original'!$A$2:$AO$501,MATCH($A330,'Budget original'!$A$2:$A$501,0),MATCH(F$2,'Budget original'!$A$2:$AO$2,0))</f>
        <v>0</v>
      </c>
      <c r="G330" s="299"/>
      <c r="H330" s="316"/>
      <c r="I330" s="253"/>
      <c r="J330" s="245"/>
      <c r="K330" s="316"/>
      <c r="L330" s="255">
        <f>SUMIFS(BV_Data_An_Cour!$AM:$AM,BV_Data_An_Cour!$AP:$AP,$B330,BV_Data_An_Cour!$AQ:$AQ,$C330,BV_Data_An_Cour!$AR:$AR,$L$2)</f>
        <v>0</v>
      </c>
      <c r="M330" s="245"/>
      <c r="N330" s="295">
        <f t="shared" si="65"/>
        <v>0</v>
      </c>
      <c r="O330" s="245"/>
      <c r="P330" s="316"/>
      <c r="Q330" s="255">
        <f>SUMIFS(BV_Data_An_Prec!$AM:$AM,BV_Data_An_Prec!$AP:$AP,$B330,BV_Data_An_Prec!$AQ:$AQ,$C330,BV_Data_An_Prec!$AR:$AR,$L$2)</f>
        <v>0</v>
      </c>
      <c r="R330" s="245"/>
      <c r="S330" s="295">
        <f t="shared" si="66"/>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548</v>
      </c>
      <c r="B331" s="41" t="s">
        <v>176</v>
      </c>
      <c r="C331" s="303" t="s">
        <v>124</v>
      </c>
      <c r="D331" s="304" t="s">
        <v>115</v>
      </c>
      <c r="E331" s="305" t="e">
        <f>F331/F$315</f>
        <v>#DIV/0!</v>
      </c>
      <c r="F331" s="306">
        <f>+SUM(F319:F330)</f>
        <v>0</v>
      </c>
      <c r="G331" s="307"/>
      <c r="H331" s="305"/>
      <c r="I331" s="306"/>
      <c r="J331" s="307" t="s">
        <v>115</v>
      </c>
      <c r="K331" s="305">
        <f>L331/L$315</f>
        <v>0.22727440887323411</v>
      </c>
      <c r="L331" s="306">
        <f>+SUM(L319:L330)</f>
        <v>33665.540000000008</v>
      </c>
      <c r="M331" s="353"/>
      <c r="N331" s="318">
        <f t="shared" si="65"/>
        <v>33665.540000000008</v>
      </c>
      <c r="O331" s="307" t="s">
        <v>115</v>
      </c>
      <c r="P331" s="305" t="e">
        <f>Q331/Q$315</f>
        <v>#DIV/0!</v>
      </c>
      <c r="Q331" s="306">
        <f>+SUM(Q319:Q330)</f>
        <v>0</v>
      </c>
      <c r="R331" s="353"/>
      <c r="S331" s="318">
        <f t="shared" si="66"/>
        <v>33665.540000000008</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
        <v>549</v>
      </c>
      <c r="B332" s="41" t="s">
        <v>176</v>
      </c>
      <c r="C332" s="404" t="s">
        <v>125</v>
      </c>
      <c r="D332" s="296"/>
      <c r="E332" s="41"/>
      <c r="F332" s="253">
        <f>+INDEX('Budget original'!$A$2:$AO$501,MATCH($A332,'Budget original'!$A$2:$A$501,0),MATCH(F$2,'Budget original'!$A$2:$AO$2,0))</f>
        <v>0</v>
      </c>
      <c r="G332" s="297"/>
      <c r="H332" s="41"/>
      <c r="I332" s="253"/>
      <c r="J332" s="252"/>
      <c r="K332" s="41"/>
      <c r="L332" s="275">
        <f>SUMIFS(BV_Data_An_Cour!$AM:$AM,BV_Data_An_Cour!$AP:$AP,$B332,BV_Data_An_Cour!$AQ:$AQ,$C332,BV_Data_An_Cour!$AR:$AR,$L$2)</f>
        <v>10954.159999999996</v>
      </c>
      <c r="M332" s="252"/>
      <c r="N332" s="275">
        <f t="shared" si="65"/>
        <v>10954.159999999996</v>
      </c>
      <c r="O332" s="252"/>
      <c r="P332" s="41"/>
      <c r="Q332" s="275">
        <f>SUMIFS(BV_Data_An_Prec!$AM:$AM,BV_Data_An_Prec!$AP:$AP,$B332,BV_Data_An_Prec!$AQ:$AQ,$C332,BV_Data_An_Prec!$AR:$AR,$L$2)</f>
        <v>0</v>
      </c>
      <c r="R332" s="252"/>
      <c r="S332" s="275">
        <f t="shared" si="66"/>
        <v>10954.159999999996</v>
      </c>
      <c r="T332" s="41"/>
      <c r="U332" s="41"/>
      <c r="V332" s="41"/>
      <c r="W332" s="290"/>
      <c r="X332" s="41"/>
      <c r="Y332" s="41"/>
      <c r="Z332" s="41"/>
      <c r="AA332" s="41"/>
      <c r="AB332" s="41"/>
      <c r="AC332" s="41"/>
      <c r="AD332" s="41"/>
      <c r="AE332" s="41"/>
      <c r="AF332" s="41"/>
      <c r="AG332" s="41"/>
      <c r="AH332" s="41"/>
      <c r="AI332" s="41"/>
      <c r="AJ332" s="41"/>
      <c r="AK332" s="41"/>
      <c r="AL332" s="41"/>
      <c r="AM332" s="41"/>
      <c r="AN332" s="41"/>
    </row>
    <row r="333" spans="1:40" ht="15.75" customHeight="1">
      <c r="A333" s="5" t="s">
        <v>550</v>
      </c>
      <c r="B333" s="41" t="s">
        <v>176</v>
      </c>
      <c r="C333" s="310" t="s">
        <v>126</v>
      </c>
      <c r="D333" s="296"/>
      <c r="E333" s="41"/>
      <c r="F333" s="253">
        <f>+INDEX('Budget original'!$A$2:$AO$501,MATCH($A333,'Budget original'!$A$2:$A$501,0),MATCH(F$2,'Budget original'!$A$2:$AO$2,0))</f>
        <v>0</v>
      </c>
      <c r="G333" s="297"/>
      <c r="H333" s="41"/>
      <c r="I333" s="253"/>
      <c r="J333" s="252"/>
      <c r="K333" s="41"/>
      <c r="L333" s="275">
        <f>SUMIFS(BV_Data_An_Cour!$AM:$AM,BV_Data_An_Cour!$AP:$AP,$B333,BV_Data_An_Cour!$AQ:$AQ,$C333,BV_Data_An_Cour!$AR:$AR,$L$2)</f>
        <v>0</v>
      </c>
      <c r="M333" s="252"/>
      <c r="N333" s="275">
        <f t="shared" si="65"/>
        <v>0</v>
      </c>
      <c r="O333" s="252"/>
      <c r="P333" s="41"/>
      <c r="Q333" s="275">
        <f>SUMIFS(BV_Data_An_Prec!$AM:$AM,BV_Data_An_Prec!$AP:$AP,$B333,BV_Data_An_Prec!$AQ:$AQ,$C333,BV_Data_An_Prec!$AR:$AR,$L$2)</f>
        <v>0</v>
      </c>
      <c r="R333" s="252"/>
      <c r="S333" s="275">
        <f t="shared" si="66"/>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551</v>
      </c>
      <c r="B334" s="41" t="s">
        <v>176</v>
      </c>
      <c r="C334" s="311" t="s">
        <v>127</v>
      </c>
      <c r="D334" s="298"/>
      <c r="E334" s="316"/>
      <c r="F334" s="247">
        <f>+INDEX('Budget original'!$A$2:$AO$501,MATCH($A334,'Budget original'!$A$2:$A$501,0),MATCH(F$2,'Budget original'!$A$2:$AO$2,0))</f>
        <v>0</v>
      </c>
      <c r="G334" s="299"/>
      <c r="H334" s="316"/>
      <c r="I334" s="247"/>
      <c r="J334" s="245"/>
      <c r="K334" s="316"/>
      <c r="L334" s="295">
        <f>SUMIFS(BV_Data_An_Cour!$AM:$AM,BV_Data_An_Cour!$AP:$AP,$B334,BV_Data_An_Cour!$AQ:$AQ,$C334,BV_Data_An_Cour!$AR:$AR,$L$2)</f>
        <v>304.89999999999998</v>
      </c>
      <c r="M334" s="245"/>
      <c r="N334" s="295">
        <f t="shared" si="65"/>
        <v>304.89999999999998</v>
      </c>
      <c r="O334" s="245"/>
      <c r="P334" s="316"/>
      <c r="Q334" s="295">
        <f>SUMIFS(BV_Data_An_Prec!$AM:$AM,BV_Data_An_Prec!$AP:$AP,$B334,BV_Data_An_Prec!$AQ:$AQ,$C334,BV_Data_An_Prec!$AR:$AR,$L$2)</f>
        <v>0</v>
      </c>
      <c r="R334" s="245"/>
      <c r="S334" s="295">
        <f t="shared" si="66"/>
        <v>304.89999999999998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552</v>
      </c>
      <c r="B335" s="41" t="s">
        <v>176</v>
      </c>
      <c r="C335" s="310" t="s">
        <v>128</v>
      </c>
      <c r="D335" s="296"/>
      <c r="E335" s="41"/>
      <c r="F335" s="253">
        <f>+INDEX('Budget original'!$A$2:$AO$501,MATCH($A335,'Budget original'!$A$2:$A$501,0),MATCH(F$2,'Budget original'!$A$2:$AO$2,0))</f>
        <v>0</v>
      </c>
      <c r="G335" s="297"/>
      <c r="H335" s="41"/>
      <c r="I335" s="253"/>
      <c r="J335" s="252"/>
      <c r="K335" s="41"/>
      <c r="L335" s="275">
        <f>SUMIFS(BV_Data_An_Cour!$AM:$AM,BV_Data_An_Cour!$AP:$AP,$B335,BV_Data_An_Cour!$AQ:$AQ,$C335,BV_Data_An_Cour!$AR:$AR,$L$2)</f>
        <v>1517.8099999999995</v>
      </c>
      <c r="M335" s="252"/>
      <c r="N335" s="275">
        <f t="shared" si="65"/>
        <v>1517.8099999999995</v>
      </c>
      <c r="O335" s="252"/>
      <c r="P335" s="41"/>
      <c r="Q335" s="275">
        <f>SUMIFS(BV_Data_An_Prec!$AM:$AM,BV_Data_An_Prec!$AP:$AP,$B335,BV_Data_An_Prec!$AQ:$AQ,$C335,BV_Data_An_Prec!$AR:$AR,$L$2)</f>
        <v>0</v>
      </c>
      <c r="R335" s="252"/>
      <c r="S335" s="275">
        <f t="shared" si="66"/>
        <v>1517.8099999999995</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553</v>
      </c>
      <c r="B336" s="41" t="s">
        <v>176</v>
      </c>
      <c r="C336" s="310" t="s">
        <v>129</v>
      </c>
      <c r="D336" s="296"/>
      <c r="E336" s="41"/>
      <c r="F336" s="253">
        <f>+INDEX('Budget original'!$A$2:$AO$501,MATCH($A336,'Budget original'!$A$2:$A$501,0),MATCH(F$2,'Budget original'!$A$2:$AO$2,0))</f>
        <v>0</v>
      </c>
      <c r="G336" s="297"/>
      <c r="H336" s="41"/>
      <c r="I336" s="253"/>
      <c r="J336" s="252"/>
      <c r="K336" s="41"/>
      <c r="L336" s="275">
        <f>SUMIFS(BV_Data_An_Cour!$AM:$AM,BV_Data_An_Cour!$AP:$AP,$B336,BV_Data_An_Cour!$AQ:$AQ,$C336,BV_Data_An_Cour!$AR:$AR,$L$2)</f>
        <v>693.58999999999969</v>
      </c>
      <c r="M336" s="252"/>
      <c r="N336" s="275">
        <f t="shared" si="65"/>
        <v>693.58999999999969</v>
      </c>
      <c r="O336" s="252"/>
      <c r="P336" s="41"/>
      <c r="Q336" s="275">
        <f>SUMIFS(BV_Data_An_Prec!$AM:$AM,BV_Data_An_Prec!$AP:$AP,$B336,BV_Data_An_Prec!$AQ:$AQ,$C336,BV_Data_An_Prec!$AR:$AR,$L$2)</f>
        <v>0</v>
      </c>
      <c r="R336" s="252"/>
      <c r="S336" s="275">
        <f t="shared" si="66"/>
        <v>693.58999999999969</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554</v>
      </c>
      <c r="B337" s="41" t="s">
        <v>176</v>
      </c>
      <c r="C337" s="311" t="s">
        <v>130</v>
      </c>
      <c r="D337" s="298"/>
      <c r="E337" s="316"/>
      <c r="F337" s="247">
        <f>+INDEX('Budget original'!$A$2:$AO$501,MATCH($A337,'Budget original'!$A$2:$A$501,0),MATCH(F$2,'Budget original'!$A$2:$AO$2,0))</f>
        <v>0</v>
      </c>
      <c r="G337" s="299"/>
      <c r="H337" s="316"/>
      <c r="I337" s="247"/>
      <c r="J337" s="245"/>
      <c r="K337" s="316"/>
      <c r="L337" s="295">
        <f>SUMIFS(BV_Data_An_Cour!$AM:$AM,BV_Data_An_Cour!$AP:$AP,$B337,BV_Data_An_Cour!$AQ:$AQ,$C337,BV_Data_An_Cour!$AR:$AR,$L$2)</f>
        <v>17705.430000000008</v>
      </c>
      <c r="M337" s="245"/>
      <c r="N337" s="295">
        <f t="shared" si="65"/>
        <v>17705.430000000008</v>
      </c>
      <c r="O337" s="245"/>
      <c r="P337" s="316"/>
      <c r="Q337" s="295">
        <f>SUMIFS(BV_Data_An_Prec!$AM:$AM,BV_Data_An_Prec!$AP:$AP,$B337,BV_Data_An_Prec!$AQ:$AQ,$C337,BV_Data_An_Prec!$AR:$AR,$L$2)</f>
        <v>0</v>
      </c>
      <c r="R337" s="245"/>
      <c r="S337" s="295">
        <f t="shared" si="66"/>
        <v>17705.430000000008</v>
      </c>
      <c r="T337" s="41"/>
      <c r="U337" s="1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555</v>
      </c>
      <c r="B338" s="41" t="s">
        <v>176</v>
      </c>
      <c r="C338" s="310" t="s">
        <v>483</v>
      </c>
      <c r="D338" s="296"/>
      <c r="E338" s="41"/>
      <c r="F338" s="253"/>
      <c r="G338" s="297"/>
      <c r="H338" s="41"/>
      <c r="I338" s="253"/>
      <c r="J338" s="252"/>
      <c r="K338" s="41"/>
      <c r="L338" s="275">
        <f>SUMIFS(BV_Data_An_Cour!$AM:$AM,BV_Data_An_Cour!$AP:$AP,$B338,BV_Data_An_Cour!$AQ:$AQ,$C338,BV_Data_An_Cour!$AR:$AR,$L$2)</f>
        <v>0</v>
      </c>
      <c r="M338" s="252"/>
      <c r="N338" s="275">
        <f t="shared" si="65"/>
        <v>0</v>
      </c>
      <c r="O338" s="252"/>
      <c r="P338" s="41"/>
      <c r="Q338" s="275">
        <f>SUMIFS(BV_Data_An_Prec!$AM:$AM,BV_Data_An_Prec!$AP:$AP,$B338,BV_Data_An_Prec!$AQ:$AQ,$C338,BV_Data_An_Prec!$AR:$AR,$L$2)</f>
        <v>0</v>
      </c>
      <c r="R338" s="252"/>
      <c r="S338" s="275">
        <f t="shared" si="66"/>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556</v>
      </c>
      <c r="B339" s="41" t="s">
        <v>176</v>
      </c>
      <c r="C339" s="310" t="s">
        <v>131</v>
      </c>
      <c r="D339" s="296"/>
      <c r="E339" s="41"/>
      <c r="F339" s="253">
        <f>+INDEX('Budget original'!$A$2:$AO$501,MATCH($A339,'Budget original'!$A$2:$A$501,0),MATCH(F$2,'Budget original'!$A$2:$AO$2,0))</f>
        <v>0</v>
      </c>
      <c r="G339" s="297"/>
      <c r="H339" s="41"/>
      <c r="I339" s="253"/>
      <c r="J339" s="252"/>
      <c r="K339" s="41"/>
      <c r="L339" s="275">
        <f>SUMIFS(BV_Data_An_Cour!$AM:$AM,BV_Data_An_Cour!$AP:$AP,$B339,BV_Data_An_Cour!$AQ:$AQ,$C339,BV_Data_An_Cour!$AR:$AR,$L$2)</f>
        <v>0</v>
      </c>
      <c r="M339" s="252"/>
      <c r="N339" s="275">
        <f t="shared" si="65"/>
        <v>0</v>
      </c>
      <c r="O339" s="252"/>
      <c r="P339" s="41"/>
      <c r="Q339" s="275">
        <f>SUMIFS(BV_Data_An_Prec!$AM:$AM,BV_Data_An_Prec!$AP:$AP,$B339,BV_Data_An_Prec!$AQ:$AQ,$C339,BV_Data_An_Prec!$AR:$AR,$L$2)</f>
        <v>0</v>
      </c>
      <c r="R339" s="252"/>
      <c r="S339" s="275">
        <f t="shared" si="66"/>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557</v>
      </c>
      <c r="B340" s="41" t="s">
        <v>176</v>
      </c>
      <c r="C340" s="310" t="s">
        <v>132</v>
      </c>
      <c r="D340" s="296"/>
      <c r="E340" s="41"/>
      <c r="F340" s="253">
        <f>+INDEX('Budget original'!$A$2:$AO$501,MATCH($A340,'Budget original'!$A$2:$A$501,0),MATCH(F$2,'Budget original'!$A$2:$AO$2,0))</f>
        <v>0</v>
      </c>
      <c r="G340" s="297"/>
      <c r="H340" s="41"/>
      <c r="I340" s="253"/>
      <c r="J340" s="252"/>
      <c r="K340" s="41"/>
      <c r="L340" s="275">
        <f>SUMIFS(BV_Data_An_Cour!$AM:$AM,BV_Data_An_Cour!$AP:$AP,$B340,BV_Data_An_Cour!$AQ:$AQ,$C340,BV_Data_An_Cour!$AR:$AR,$L$2)</f>
        <v>0</v>
      </c>
      <c r="M340" s="252"/>
      <c r="N340" s="275">
        <f t="shared" si="65"/>
        <v>0</v>
      </c>
      <c r="O340" s="252"/>
      <c r="P340" s="41"/>
      <c r="Q340" s="275">
        <f>SUMIFS(BV_Data_An_Prec!$AM:$AM,BV_Data_An_Prec!$AP:$AP,$B340,BV_Data_An_Prec!$AQ:$AQ,$C340,BV_Data_An_Prec!$AR:$AR,$L$2)</f>
        <v>0</v>
      </c>
      <c r="R340" s="252"/>
      <c r="S340" s="275">
        <f t="shared" si="66"/>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558</v>
      </c>
      <c r="B341" s="41" t="s">
        <v>176</v>
      </c>
      <c r="C341" s="310" t="s">
        <v>133</v>
      </c>
      <c r="D341" s="296"/>
      <c r="E341" s="41"/>
      <c r="F341" s="253">
        <f>+INDEX('Budget original'!$A$2:$AO$501,MATCH($A341,'Budget original'!$A$2:$A$501,0),MATCH(F$2,'Budget original'!$A$2:$AO$2,0))</f>
        <v>0</v>
      </c>
      <c r="G341" s="297"/>
      <c r="H341" s="41"/>
      <c r="I341" s="253"/>
      <c r="J341" s="252"/>
      <c r="K341" s="41"/>
      <c r="L341" s="275">
        <f>SUMIFS(BV_Data_An_Cour!$AM:$AM,BV_Data_An_Cour!$AP:$AP,$B341,BV_Data_An_Cour!$AQ:$AQ,$C341,BV_Data_An_Cour!$AR:$AR,$L$2)</f>
        <v>809.79</v>
      </c>
      <c r="M341" s="252"/>
      <c r="N341" s="275">
        <f t="shared" si="65"/>
        <v>809.79</v>
      </c>
      <c r="O341" s="252"/>
      <c r="P341" s="41"/>
      <c r="Q341" s="275">
        <f>SUMIFS(BV_Data_An_Prec!$AM:$AM,BV_Data_An_Prec!$AP:$AP,$B341,BV_Data_An_Prec!$AQ:$AQ,$C341,BV_Data_An_Prec!$AR:$AR,$L$2)</f>
        <v>0</v>
      </c>
      <c r="R341" s="252"/>
      <c r="S341" s="275">
        <f t="shared" si="66"/>
        <v>809.79</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559</v>
      </c>
      <c r="B342" s="41" t="s">
        <v>176</v>
      </c>
      <c r="C342" s="310" t="s">
        <v>134</v>
      </c>
      <c r="D342" s="296"/>
      <c r="E342" s="41"/>
      <c r="F342" s="253">
        <f>+INDEX('Budget original'!$A$2:$AO$501,MATCH($A342,'Budget original'!$A$2:$A$501,0),MATCH(F$2,'Budget original'!$A$2:$AO$2,0))</f>
        <v>0</v>
      </c>
      <c r="G342" s="297"/>
      <c r="H342" s="41"/>
      <c r="I342" s="253"/>
      <c r="J342" s="252"/>
      <c r="K342" s="41"/>
      <c r="L342" s="275">
        <f>SUMIFS(BV_Data_An_Cour!$AM:$AM,BV_Data_An_Cour!$AP:$AP,$B342,BV_Data_An_Cour!$AQ:$AQ,$C342,BV_Data_An_Cour!$AR:$AR,$L$2)</f>
        <v>52.350000000000023</v>
      </c>
      <c r="M342" s="252"/>
      <c r="N342" s="275">
        <f t="shared" si="65"/>
        <v>52.350000000000023</v>
      </c>
      <c r="O342" s="252"/>
      <c r="P342" s="41"/>
      <c r="Q342" s="275">
        <f>SUMIFS(BV_Data_An_Prec!$AM:$AM,BV_Data_An_Prec!$AP:$AP,$B342,BV_Data_An_Prec!$AQ:$AQ,$C342,BV_Data_An_Prec!$AR:$AR,$L$2)</f>
        <v>0</v>
      </c>
      <c r="R342" s="252"/>
      <c r="S342" s="275">
        <f t="shared" si="66"/>
        <v>52.350000000000023</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560</v>
      </c>
      <c r="B343" s="41" t="s">
        <v>176</v>
      </c>
      <c r="C343" s="310" t="s">
        <v>135</v>
      </c>
      <c r="D343" s="296"/>
      <c r="E343" s="41"/>
      <c r="F343" s="253">
        <f>+INDEX('Budget original'!$A$2:$AO$501,MATCH($A343,'Budget original'!$A$2:$A$501,0),MATCH(F$2,'Budget original'!$A$2:$AO$2,0))</f>
        <v>0</v>
      </c>
      <c r="G343" s="297"/>
      <c r="H343" s="41"/>
      <c r="I343" s="253"/>
      <c r="J343" s="252"/>
      <c r="K343" s="41"/>
      <c r="L343" s="275">
        <f>SUMIFS(BV_Data_An_Cour!$AM:$AM,BV_Data_An_Cour!$AP:$AP,$B343,BV_Data_An_Cour!$AQ:$AQ,$C343,BV_Data_An_Cour!$AR:$AR,$L$2)</f>
        <v>0</v>
      </c>
      <c r="M343" s="252"/>
      <c r="N343" s="275">
        <f t="shared" si="65"/>
        <v>0</v>
      </c>
      <c r="O343" s="252"/>
      <c r="P343" s="41"/>
      <c r="Q343" s="275">
        <f>SUMIFS(BV_Data_An_Prec!$AM:$AM,BV_Data_An_Prec!$AP:$AP,$B343,BV_Data_An_Prec!$AQ:$AQ,$C343,BV_Data_An_Prec!$AR:$AR,$L$2)</f>
        <v>0</v>
      </c>
      <c r="R343" s="252"/>
      <c r="S343" s="275">
        <f t="shared" si="66"/>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561</v>
      </c>
      <c r="B344" s="41" t="s">
        <v>176</v>
      </c>
      <c r="C344" s="310" t="s">
        <v>136</v>
      </c>
      <c r="D344" s="296"/>
      <c r="E344" s="41"/>
      <c r="F344" s="253">
        <f>+INDEX('Budget original'!$A$2:$AO$501,MATCH($A344,'Budget original'!$A$2:$A$501,0),MATCH(F$2,'Budget original'!$A$2:$AO$2,0))</f>
        <v>0</v>
      </c>
      <c r="G344" s="297"/>
      <c r="H344" s="41"/>
      <c r="I344" s="253"/>
      <c r="J344" s="252"/>
      <c r="K344" s="41"/>
      <c r="L344" s="275">
        <f>SUMIFS(BV_Data_An_Cour!$AM:$AM,BV_Data_An_Cour!$AP:$AP,$B344,BV_Data_An_Cour!$AQ:$AQ,$C344,BV_Data_An_Cour!$AR:$AR,$L$2)</f>
        <v>0</v>
      </c>
      <c r="M344" s="252"/>
      <c r="N344" s="275">
        <f t="shared" si="65"/>
        <v>0</v>
      </c>
      <c r="O344" s="252"/>
      <c r="P344" s="41"/>
      <c r="Q344" s="275">
        <f>SUMIFS(BV_Data_An_Prec!$AM:$AM,BV_Data_An_Prec!$AP:$AP,$B344,BV_Data_An_Prec!$AQ:$AQ,$C344,BV_Data_An_Prec!$AR:$AR,$L$2)</f>
        <v>0</v>
      </c>
      <c r="R344" s="252"/>
      <c r="S344" s="275">
        <f t="shared" si="66"/>
        <v>0</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562</v>
      </c>
      <c r="B345" s="41" t="s">
        <v>176</v>
      </c>
      <c r="C345" s="310" t="s">
        <v>137</v>
      </c>
      <c r="D345" s="296"/>
      <c r="E345" s="41"/>
      <c r="F345" s="253">
        <f>+INDEX('Budget original'!$A$2:$AO$501,MATCH($A345,'Budget original'!$A$2:$A$501,0),MATCH(F$2,'Budget original'!$A$2:$AO$2,0))</f>
        <v>0</v>
      </c>
      <c r="G345" s="297"/>
      <c r="H345" s="41"/>
      <c r="I345" s="253"/>
      <c r="J345" s="252"/>
      <c r="K345" s="41"/>
      <c r="L345" s="275">
        <f>SUMIFS(BV_Data_An_Cour!$AM:$AM,BV_Data_An_Cour!$AP:$AP,$B345,BV_Data_An_Cour!$AQ:$AQ,$C345,BV_Data_An_Cour!$AR:$AR,$L$2)</f>
        <v>0</v>
      </c>
      <c r="M345" s="252"/>
      <c r="N345" s="275">
        <f t="shared" si="65"/>
        <v>0</v>
      </c>
      <c r="O345" s="252"/>
      <c r="P345" s="41"/>
      <c r="Q345" s="275">
        <f>SUMIFS(BV_Data_An_Prec!$AM:$AM,BV_Data_An_Prec!$AP:$AP,$B345,BV_Data_An_Prec!$AQ:$AQ,$C345,BV_Data_An_Prec!$AR:$AR,$L$2)</f>
        <v>0</v>
      </c>
      <c r="R345" s="252"/>
      <c r="S345" s="275">
        <f t="shared" si="66"/>
        <v>0</v>
      </c>
      <c r="T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
        <v>563</v>
      </c>
      <c r="B346" s="41" t="s">
        <v>176</v>
      </c>
      <c r="C346" s="310" t="s">
        <v>138</v>
      </c>
      <c r="D346" s="296"/>
      <c r="E346" s="41"/>
      <c r="F346" s="253">
        <f>+INDEX('Budget original'!$A$2:$AO$501,MATCH($A346,'Budget original'!$A$2:$A$501,0),MATCH(F$2,'Budget original'!$A$2:$AO$2,0))</f>
        <v>0</v>
      </c>
      <c r="G346" s="297"/>
      <c r="H346" s="41"/>
      <c r="I346" s="253"/>
      <c r="J346" s="252"/>
      <c r="K346" s="41"/>
      <c r="L346" s="275">
        <f>SUMIFS(BV_Data_An_Cour!$AM:$AM,BV_Data_An_Cour!$AP:$AP,$B346,BV_Data_An_Cour!$AQ:$AQ,$C346,BV_Data_An_Cour!$AR:$AR,$L$2)</f>
        <v>0</v>
      </c>
      <c r="M346" s="252"/>
      <c r="N346" s="275">
        <f t="shared" si="65"/>
        <v>0</v>
      </c>
      <c r="O346" s="252"/>
      <c r="P346" s="41"/>
      <c r="Q346" s="275">
        <f>SUMIFS(BV_Data_An_Prec!$AM:$AM,BV_Data_An_Prec!$AP:$AP,$B346,BV_Data_An_Prec!$AQ:$AQ,$C346,BV_Data_An_Prec!$AR:$AR,$L$2)</f>
        <v>0</v>
      </c>
      <c r="R346" s="252"/>
      <c r="S346" s="275">
        <f t="shared" si="66"/>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530</v>
      </c>
      <c r="B347" s="41" t="s">
        <v>176</v>
      </c>
      <c r="C347" s="310" t="s">
        <v>55</v>
      </c>
      <c r="D347" s="296"/>
      <c r="E347" s="41"/>
      <c r="F347" s="253">
        <f>+INDEX('Budget original'!$A$2:$AO$501,MATCH($A347,'Budget original'!$A$2:$A$501,0),MATCH(F$2,'Budget original'!$A$2:$AO$2,0))</f>
        <v>0</v>
      </c>
      <c r="G347" s="297"/>
      <c r="H347" s="41"/>
      <c r="I347" s="253"/>
      <c r="J347" s="252"/>
      <c r="K347" s="41"/>
      <c r="L347" s="255">
        <f>SUMIFS(BV_Data_An_Cour!$AM:$AM,BV_Data_An_Cour!$AP:$AP,$B347,BV_Data_An_Cour!$AQ:$AQ,$C347,BV_Data_An_Cour!$AR:$AR,$L$2)</f>
        <v>0</v>
      </c>
      <c r="M347" s="252"/>
      <c r="N347" s="275">
        <f t="shared" si="65"/>
        <v>0</v>
      </c>
      <c r="O347" s="252"/>
      <c r="P347" s="41"/>
      <c r="Q347" s="255">
        <f>SUMIFS(BV_Data_An_Prec!$AM:$AM,BV_Data_An_Prec!$AP:$AP,$B347,BV_Data_An_Prec!$AQ:$AQ,$C347,BV_Data_An_Prec!$AR:$AR,$L$2)</f>
        <v>0</v>
      </c>
      <c r="R347" s="252"/>
      <c r="S347" s="275">
        <f t="shared" si="66"/>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530</v>
      </c>
      <c r="B348" s="41" t="s">
        <v>176</v>
      </c>
      <c r="C348" s="310" t="s">
        <v>55</v>
      </c>
      <c r="D348" s="296"/>
      <c r="E348" s="41"/>
      <c r="F348" s="253">
        <f>+INDEX('Budget original'!$A$2:$AO$501,MATCH($A348,'Budget original'!$A$2:$A$501,0),MATCH(F$2,'Budget original'!$A$2:$AO$2,0))</f>
        <v>0</v>
      </c>
      <c r="G348" s="297"/>
      <c r="H348" s="41"/>
      <c r="I348" s="253"/>
      <c r="J348" s="252"/>
      <c r="K348" s="41"/>
      <c r="L348" s="255">
        <f>SUMIFS(BV_Data_An_Cour!$AM:$AM,BV_Data_An_Cour!$AP:$AP,$B348,BV_Data_An_Cour!$AQ:$AQ,$C348,BV_Data_An_Cour!$AR:$AR,$L$2)</f>
        <v>0</v>
      </c>
      <c r="M348" s="252"/>
      <c r="N348" s="275">
        <f t="shared" si="65"/>
        <v>0</v>
      </c>
      <c r="O348" s="252"/>
      <c r="P348" s="41"/>
      <c r="Q348" s="255">
        <f>SUMIFS(BV_Data_An_Prec!$AM:$AM,BV_Data_An_Prec!$AP:$AP,$B348,BV_Data_An_Prec!$AQ:$AQ,$C348,BV_Data_An_Prec!$AR:$AR,$L$2)</f>
        <v>0</v>
      </c>
      <c r="R348" s="252"/>
      <c r="S348" s="275">
        <f t="shared" si="66"/>
        <v>0</v>
      </c>
      <c r="T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
        <v>530</v>
      </c>
      <c r="B349" s="41" t="s">
        <v>176</v>
      </c>
      <c r="C349" s="310" t="s">
        <v>55</v>
      </c>
      <c r="D349" s="296"/>
      <c r="E349" s="41"/>
      <c r="F349" s="253">
        <f>+INDEX('Budget original'!$A$2:$AO$501,MATCH($A349,'Budget original'!$A$2:$A$501,0),MATCH(F$2,'Budget original'!$A$2:$AO$2,0))</f>
        <v>0</v>
      </c>
      <c r="G349" s="297"/>
      <c r="H349" s="41"/>
      <c r="I349" s="253"/>
      <c r="J349" s="252"/>
      <c r="K349" s="41"/>
      <c r="L349" s="255">
        <f>SUMIFS(BV_Data_An_Cour!$AM:$AM,BV_Data_An_Cour!$AP:$AP,$B349,BV_Data_An_Cour!$AQ:$AQ,$C349,BV_Data_An_Cour!$AR:$AR,$L$2)</f>
        <v>0</v>
      </c>
      <c r="M349" s="252"/>
      <c r="N349" s="275">
        <f t="shared" si="65"/>
        <v>0</v>
      </c>
      <c r="O349" s="252"/>
      <c r="P349" s="41"/>
      <c r="Q349" s="255">
        <f>SUMIFS(BV_Data_An_Prec!$AM:$AM,BV_Data_An_Prec!$AP:$AP,$B349,BV_Data_An_Prec!$AQ:$AQ,$C349,BV_Data_An_Prec!$AR:$AR,$L$2)</f>
        <v>0</v>
      </c>
      <c r="R349" s="252"/>
      <c r="S349" s="275">
        <f t="shared" si="66"/>
        <v>0</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0.21628716871058476</v>
      </c>
      <c r="L350" s="306">
        <f>+SUM(L332:L349)</f>
        <v>32038.030000000002</v>
      </c>
      <c r="M350" s="309"/>
      <c r="N350" s="306">
        <f>+SUM(N332:N349)</f>
        <v>32038.030000000002</v>
      </c>
      <c r="O350" s="307" t="s">
        <v>115</v>
      </c>
      <c r="P350" s="305" t="e">
        <f>Q350/Q$315</f>
        <v>#DIV/0!</v>
      </c>
      <c r="Q350" s="306">
        <f>+SUM(Q332:Q349)</f>
        <v>0</v>
      </c>
      <c r="R350" s="309"/>
      <c r="S350" s="306">
        <f>+SUM(S332:S349)</f>
        <v>32038.030000000002</v>
      </c>
      <c r="T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0.44356157758381887</v>
      </c>
      <c r="L352" s="306">
        <f>L331+L350</f>
        <v>65703.570000000007</v>
      </c>
      <c r="M352" s="309"/>
      <c r="N352" s="318">
        <f>L352-F352</f>
        <v>65703.570000000007</v>
      </c>
      <c r="O352" s="307" t="s">
        <v>115</v>
      </c>
      <c r="P352" s="305" t="e">
        <f>Q352/Q$315</f>
        <v>#DIV/0!</v>
      </c>
      <c r="Q352" s="306">
        <f>Q331+Q350</f>
        <v>0</v>
      </c>
      <c r="R352" s="309"/>
      <c r="S352" s="318">
        <f>L352-Q352</f>
        <v>65703.570000000007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24" customHeight="1" thickBot="1">
      <c r="B354" s="3"/>
      <c r="C354" s="330" t="s">
        <v>147</v>
      </c>
      <c r="D354" s="358"/>
      <c r="E354" s="331"/>
      <c r="F354" s="333">
        <f>F315-F352</f>
        <v>0</v>
      </c>
      <c r="G354" s="359"/>
      <c r="H354" s="331"/>
      <c r="I354" s="333"/>
      <c r="J354" s="330"/>
      <c r="K354" s="332"/>
      <c r="L354" s="333">
        <f>L315-L352</f>
        <v>82423.709999999875</v>
      </c>
      <c r="M354" s="330"/>
      <c r="N354" s="333">
        <f>L354-F354</f>
        <v>82423.709999999875</v>
      </c>
      <c r="O354" s="330"/>
      <c r="P354" s="332"/>
      <c r="Q354" s="333">
        <f>Q315-Q352</f>
        <v>0</v>
      </c>
      <c r="R354" s="330"/>
      <c r="S354" s="333">
        <f>L354-Q354</f>
        <v>82423.709999999875</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317"/>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37" t="str">
        <f>+C292</f>
        <v>Hyundai</v>
      </c>
      <c r="D357" s="231"/>
      <c r="E357" s="231"/>
      <c r="F357" s="231"/>
      <c r="G357" s="231"/>
      <c r="H357" s="36"/>
      <c r="I357" s="36"/>
      <c r="J357" s="36"/>
      <c r="K357" s="9" t="s">
        <v>192</v>
      </c>
      <c r="L357" s="231"/>
      <c r="M357" s="231"/>
      <c r="N357" s="36"/>
      <c r="O357" s="36"/>
      <c r="P357" s="231"/>
      <c r="Q357" s="36"/>
      <c r="R357" s="231"/>
      <c r="S357" s="10" t="str">
        <f>$S$1</f>
        <v>Réalisé, Mai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58"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
        <v>192</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
        <v>564</v>
      </c>
      <c r="B361" s="41" t="s">
        <v>192</v>
      </c>
      <c r="C361" s="277" t="s">
        <v>192</v>
      </c>
      <c r="D361" s="419">
        <f>+INDEX('Budget original'!$A$2:$AO$501,MATCH($A361,'Budget original'!$A$2:$A$501,0),MATCH(D$2,'Budget original'!$A$2:$AO$2,0))</f>
        <v>0</v>
      </c>
      <c r="E361" s="420">
        <f>IFERROR(F361/D361,0)</f>
        <v>0</v>
      </c>
      <c r="F361" s="421">
        <f>+INDEX('Budget original'!$A$2:$AO$501,MATCH($A361,'Budget original'!$A$2:$A$501,0),MATCH(F$2,'Budget original'!$A$2:$AO$2,0))</f>
        <v>0</v>
      </c>
      <c r="G361" s="419"/>
      <c r="H361" s="420"/>
      <c r="I361" s="419"/>
      <c r="J361" s="422">
        <f>-SUMIFS(BV_Data_An_Cour!$AM:$AM,BV_Data_An_Cour!$AS:$AS,"Oui",BV_Data_An_Cour!$AP:$AP,$B361,BV_Data_An_Cour!$AQ:$AQ,$C361)</f>
        <v>0</v>
      </c>
      <c r="K361" s="408">
        <f>IF(J361&lt;=0,0,L361/J361)</f>
        <v>0</v>
      </c>
      <c r="L361" s="423">
        <f>-SUMIFS(BV_Data_An_Cour!$AM:$AM,BV_Data_An_Cour!$AS:$AS,"Oui",BV_Data_An_Cour!$AP:$AP,$B361,BV_Data_An_Cour!$AQ:$AQ,$C361)</f>
        <v>0</v>
      </c>
      <c r="M361" s="409"/>
      <c r="N361" s="410"/>
      <c r="O361" s="422">
        <f>-SUMIFS(BV_Data_An_Prec!$AM:$AM,BV_Data_An_Prec!$AS:$AS,"Oui",BV_Data_An_Prec!$AP:$AP,$B361,BV_Data_An_Prec!$AQ:$AQ,$C361)</f>
        <v>0</v>
      </c>
      <c r="P361" s="408">
        <f>IF(O361&lt;=0,0,Q361/O361)</f>
        <v>0</v>
      </c>
      <c r="Q361" s="423">
        <f>-SUMIFS(BV_Data_An_Prec!$AM:$AM,BV_Data_An_Prec!$AS:$AS,"Oui",BV_Data_An_Prec!$AP:$AP,$B361,BV_Data_An_Prec!$AQ:$AQ,$C361)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
        <v>192</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
        <v>565</v>
      </c>
      <c r="B363" s="41" t="s">
        <v>192</v>
      </c>
      <c r="C363" s="269" t="s">
        <v>193</v>
      </c>
      <c r="D363" s="317">
        <f>+D361</f>
        <v>0</v>
      </c>
      <c r="E363" s="370">
        <f>IF(D363&lt;=0,0,F363/D363)</f>
        <v>0</v>
      </c>
      <c r="F363" s="372">
        <f>+F361</f>
        <v>0</v>
      </c>
      <c r="G363" s="371"/>
      <c r="H363" s="370"/>
      <c r="I363" s="372"/>
      <c r="J363" s="371">
        <f t="shared" ref="J363" si="67">+J361</f>
        <v>0</v>
      </c>
      <c r="K363" s="370">
        <f>IF(J363&lt;=0,0,L363/J363)</f>
        <v>0</v>
      </c>
      <c r="L363" s="372">
        <f>+L361</f>
        <v>0</v>
      </c>
      <c r="M363" s="351"/>
      <c r="N363" s="425"/>
      <c r="O363" s="371">
        <f t="shared" ref="O363" si="68">+O361</f>
        <v>0</v>
      </c>
      <c r="P363" s="370">
        <f>IF(O363&lt;=0,0,Q363/O363)</f>
        <v>0</v>
      </c>
      <c r="Q363" s="372">
        <f>+Q361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192</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566</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567</v>
      </c>
      <c r="B366" s="41" t="s">
        <v>192</v>
      </c>
      <c r="C366" s="310" t="s">
        <v>116</v>
      </c>
      <c r="D366" s="41"/>
      <c r="E366" s="41"/>
      <c r="F366" s="253">
        <f>+INDEX('Budget original'!$A$2:$AO$501,MATCH($A366,'Budget original'!$A$2:$A$501,0),MATCH(F$2,'Budget original'!$A$2:$AO$2,0))</f>
        <v>0</v>
      </c>
      <c r="G366" s="252"/>
      <c r="H366" s="41"/>
      <c r="I366" s="253"/>
      <c r="J366" s="252"/>
      <c r="K366" s="41"/>
      <c r="L366" s="255">
        <f>-SUMIFS(BV_Data_An_Cour!$AM:$AM,BV_Data_An_Cour!$AP:$AP,$B366,BV_Data_An_Cour!$AQ:$AQ,$C366,BV_Data_An_Cour!$AR:$AR,$L$2)</f>
        <v>0</v>
      </c>
      <c r="M366" s="252"/>
      <c r="N366" s="262"/>
      <c r="O366" s="252"/>
      <c r="P366" s="41"/>
      <c r="Q366" s="255">
        <f>-SUMIFS(BV_Data_An_Prec!$AM:$AM,BV_Data_An_Prec!$AP:$AP,$B366,BV_Data_An_Prec!$AQ:$AQ,$C366,BV_Data_An_Prec!$AR:$AR,$L$2)</f>
        <v>0</v>
      </c>
      <c r="R366" s="252"/>
      <c r="S366" s="255">
        <f t="shared" ref="S366:S395" si="69">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568</v>
      </c>
      <c r="B367" s="41" t="s">
        <v>192</v>
      </c>
      <c r="C367" s="311" t="s">
        <v>117</v>
      </c>
      <c r="D367" s="296"/>
      <c r="E367" s="41"/>
      <c r="F367" s="247">
        <f>+INDEX('Budget original'!$A$2:$AO$501,MATCH($A367,'Budget original'!$A$2:$A$501,0),MATCH(F$2,'Budget original'!$A$2:$AO$2,0))</f>
        <v>0</v>
      </c>
      <c r="G367" s="297"/>
      <c r="H367" s="41"/>
      <c r="I367" s="247"/>
      <c r="J367" s="252"/>
      <c r="K367" s="41"/>
      <c r="L367" s="247">
        <f>-SUMIFS(BV_Data_An_Cour!$AM:$AM,BV_Data_An_Cour!$AP:$AP,$B367,BV_Data_An_Cour!$AQ:$AQ,$C367,BV_Data_An_Cour!$AR:$AR,$L$2)</f>
        <v>0</v>
      </c>
      <c r="M367" s="252"/>
      <c r="N367" s="275"/>
      <c r="O367" s="252"/>
      <c r="P367" s="41"/>
      <c r="Q367" s="247">
        <f>-SUMIFS(BV_Data_An_Prec!$AM:$AM,BV_Data_An_Prec!$AP:$AP,$B367,BV_Data_An_Prec!$AQ:$AQ,$C367,BV_Data_An_Prec!$AR:$AR,$L$2)</f>
        <v>0</v>
      </c>
      <c r="R367" s="252"/>
      <c r="S367" s="275">
        <f t="shared" si="69"/>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569</v>
      </c>
      <c r="B368" s="41" t="s">
        <v>192</v>
      </c>
      <c r="C368" s="310" t="s">
        <v>118</v>
      </c>
      <c r="D368" s="312"/>
      <c r="E368" s="313"/>
      <c r="F368" s="253">
        <f>+INDEX('Budget original'!$A$2:$AO$501,MATCH($A368,'Budget original'!$A$2:$A$501,0),MATCH(F$2,'Budget original'!$A$2:$AO$2,0))</f>
        <v>0</v>
      </c>
      <c r="G368" s="314"/>
      <c r="H368" s="313"/>
      <c r="I368" s="253"/>
      <c r="J368" s="240"/>
      <c r="K368" s="313"/>
      <c r="L368" s="255">
        <f>-SUMIFS(BV_Data_An_Cour!$AM:$AM,BV_Data_An_Cour!$AP:$AP,$B368,BV_Data_An_Cour!$AQ:$AQ,$C368,BV_Data_An_Cour!$AR:$AR,$L$2)</f>
        <v>0</v>
      </c>
      <c r="M368" s="240"/>
      <c r="N368" s="315"/>
      <c r="O368" s="240"/>
      <c r="P368" s="313"/>
      <c r="Q368" s="255">
        <f>-SUMIFS(BV_Data_An_Prec!$AM:$AM,BV_Data_An_Prec!$AP:$AP,$B368,BV_Data_An_Prec!$AQ:$AQ,$C368,BV_Data_An_Prec!$AR:$AR,$L$2)</f>
        <v>0</v>
      </c>
      <c r="R368" s="240"/>
      <c r="S368" s="315">
        <f t="shared" si="69"/>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570</v>
      </c>
      <c r="B369" s="41" t="s">
        <v>192</v>
      </c>
      <c r="C369" s="310" t="s">
        <v>119</v>
      </c>
      <c r="D369" s="296"/>
      <c r="E369" s="41"/>
      <c r="F369" s="253">
        <f>+INDEX('Budget original'!$A$2:$AO$501,MATCH($A369,'Budget original'!$A$2:$A$501,0),MATCH(F$2,'Budget original'!$A$2:$AO$2,0))</f>
        <v>0</v>
      </c>
      <c r="G369" s="297"/>
      <c r="H369" s="41"/>
      <c r="I369" s="253"/>
      <c r="J369" s="252"/>
      <c r="K369" s="41"/>
      <c r="L369" s="255">
        <f>-SUMIFS(BV_Data_An_Cour!$AM:$AM,BV_Data_An_Cour!$AP:$AP,$B369,BV_Data_An_Cour!$AQ:$AQ,$C369,BV_Data_An_Cour!$AR:$AR,$L$2)</f>
        <v>0</v>
      </c>
      <c r="M369" s="252"/>
      <c r="N369" s="275"/>
      <c r="O369" s="252"/>
      <c r="P369" s="41"/>
      <c r="Q369" s="255">
        <f>-SUMIFS(BV_Data_An_Prec!$AM:$AM,BV_Data_An_Prec!$AP:$AP,$B369,BV_Data_An_Prec!$AQ:$AQ,$C369,BV_Data_An_Prec!$AR:$AR,$L$2)</f>
        <v>0</v>
      </c>
      <c r="R369" s="252"/>
      <c r="S369" s="275">
        <f t="shared" si="69"/>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571</v>
      </c>
      <c r="B370" s="41" t="s">
        <v>192</v>
      </c>
      <c r="C370" s="252" t="s">
        <v>55</v>
      </c>
      <c r="D370" s="296"/>
      <c r="E370" s="41"/>
      <c r="F370" s="253">
        <f>+INDEX('Budget original'!$A$2:$AO$501,MATCH($A370,'Budget original'!$A$2:$A$501,0),MATCH(F$2,'Budget original'!$A$2:$AO$2,0))</f>
        <v>0</v>
      </c>
      <c r="G370" s="297"/>
      <c r="H370" s="41"/>
      <c r="I370" s="253"/>
      <c r="J370" s="252"/>
      <c r="K370" s="41"/>
      <c r="L370" s="255">
        <f>-SUMIFS(BV_Data_An_Cour!$AM:$AM,BV_Data_An_Cour!$AP:$AP,$B370,BV_Data_An_Cour!$AQ:$AQ,$C370,BV_Data_An_Cour!$AR:$AR,$L$2)</f>
        <v>0</v>
      </c>
      <c r="M370" s="252"/>
      <c r="N370" s="275"/>
      <c r="O370" s="252"/>
      <c r="P370" s="41"/>
      <c r="Q370" s="255">
        <f>-SUMIFS(BV_Data_An_Prec!$AM:$AM,BV_Data_An_Prec!$AP:$AP,$B370,BV_Data_An_Prec!$AQ:$AQ,$C370,BV_Data_An_Prec!$AR:$AR,$L$2)</f>
        <v>0</v>
      </c>
      <c r="R370" s="252"/>
      <c r="S370" s="275">
        <f t="shared" si="69"/>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571</v>
      </c>
      <c r="B371" s="41" t="s">
        <v>192</v>
      </c>
      <c r="C371" s="252" t="s">
        <v>55</v>
      </c>
      <c r="D371" s="296"/>
      <c r="E371" s="41"/>
      <c r="F371" s="253">
        <f>+INDEX('Budget original'!$A$2:$AO$501,MATCH($A371,'Budget original'!$A$2:$A$501,0),MATCH(F$2,'Budget original'!$A$2:$AO$2,0))</f>
        <v>0</v>
      </c>
      <c r="G371" s="297"/>
      <c r="H371" s="41"/>
      <c r="I371" s="253"/>
      <c r="J371" s="252"/>
      <c r="K371" s="41"/>
      <c r="L371" s="255">
        <f>-SUMIFS(BV_Data_An_Cour!$AM:$AM,BV_Data_An_Cour!$AP:$AP,$B371,BV_Data_An_Cour!$AQ:$AQ,$C371,BV_Data_An_Cour!$AR:$AR,$L$2)</f>
        <v>0</v>
      </c>
      <c r="M371" s="252"/>
      <c r="N371" s="275"/>
      <c r="O371" s="252"/>
      <c r="P371" s="41"/>
      <c r="Q371" s="255">
        <f>-SUMIFS(BV_Data_An_Prec!$AM:$AM,BV_Data_An_Prec!$AP:$AP,$B371,BV_Data_An_Prec!$AQ:$AQ,$C371,BV_Data_An_Prec!$AR:$AR,$L$2)</f>
        <v>0</v>
      </c>
      <c r="R371" s="252"/>
      <c r="S371" s="275">
        <f t="shared" si="69"/>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571</v>
      </c>
      <c r="B372" s="41" t="s">
        <v>192</v>
      </c>
      <c r="C372" s="252" t="s">
        <v>55</v>
      </c>
      <c r="D372" s="296"/>
      <c r="E372" s="41"/>
      <c r="F372" s="253">
        <f>+INDEX('Budget original'!$A$2:$AO$501,MATCH($A372,'Budget original'!$A$2:$A$501,0),MATCH(F$2,'Budget original'!$A$2:$AO$2,0))</f>
        <v>0</v>
      </c>
      <c r="G372" s="297"/>
      <c r="H372" s="41"/>
      <c r="I372" s="253"/>
      <c r="J372" s="252"/>
      <c r="K372" s="41"/>
      <c r="L372" s="255">
        <f>-SUMIFS(BV_Data_An_Cour!$AM:$AM,BV_Data_An_Cour!$AP:$AP,$B372,BV_Data_An_Cour!$AQ:$AQ,$C372,BV_Data_An_Cour!$AR:$AR,$L$2)</f>
        <v>0</v>
      </c>
      <c r="M372" s="252"/>
      <c r="N372" s="275"/>
      <c r="O372" s="252"/>
      <c r="P372" s="41"/>
      <c r="Q372" s="255">
        <f>-SUMIFS(BV_Data_An_Prec!$AM:$AM,BV_Data_An_Prec!$AP:$AP,$B372,BV_Data_An_Prec!$AQ:$AQ,$C372,BV_Data_An_Prec!$AR:$AR,$L$2)</f>
        <v>0</v>
      </c>
      <c r="R372" s="252"/>
      <c r="S372" s="275">
        <f t="shared" si="69"/>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572</v>
      </c>
      <c r="B373" s="41" t="s">
        <v>192</v>
      </c>
      <c r="C373" s="311" t="s">
        <v>120</v>
      </c>
      <c r="D373" s="296"/>
      <c r="E373" s="41"/>
      <c r="F373" s="247">
        <f>+INDEX('Budget original'!$A$2:$AO$501,MATCH($A373,'Budget original'!$A$2:$A$501,0),MATCH(F$2,'Budget original'!$A$2:$AO$2,0))</f>
        <v>0</v>
      </c>
      <c r="G373" s="297"/>
      <c r="H373" s="41"/>
      <c r="I373" s="247"/>
      <c r="J373" s="252"/>
      <c r="K373" s="41"/>
      <c r="L373" s="247">
        <f>-SUMIFS(BV_Data_An_Cour!$AM:$AM,BV_Data_An_Cour!$AP:$AP,$B373,BV_Data_An_Cour!$AQ:$AQ,$C373,BV_Data_An_Cour!$AR:$AR,$L$2)</f>
        <v>0</v>
      </c>
      <c r="M373" s="252"/>
      <c r="N373" s="275"/>
      <c r="O373" s="252"/>
      <c r="P373" s="41"/>
      <c r="Q373" s="247">
        <f>-SUMIFS(BV_Data_An_Prec!$AM:$AM,BV_Data_An_Prec!$AP:$AP,$B373,BV_Data_An_Prec!$AQ:$AQ,$C373,BV_Data_An_Prec!$AR:$AR,$L$2)</f>
        <v>0</v>
      </c>
      <c r="R373" s="252"/>
      <c r="S373" s="275">
        <f t="shared" si="69"/>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573</v>
      </c>
      <c r="B374" s="41" t="s">
        <v>192</v>
      </c>
      <c r="C374" s="310" t="s">
        <v>121</v>
      </c>
      <c r="D374" s="312"/>
      <c r="E374" s="313"/>
      <c r="F374" s="253">
        <f>+INDEX('Budget original'!$A$2:$AO$501,MATCH($A374,'Budget original'!$A$2:$A$501,0),MATCH(F$2,'Budget original'!$A$2:$AO$2,0))</f>
        <v>0</v>
      </c>
      <c r="G374" s="314"/>
      <c r="H374" s="313"/>
      <c r="I374" s="253"/>
      <c r="J374" s="240"/>
      <c r="K374" s="313"/>
      <c r="L374" s="255">
        <f>-SUMIFS(BV_Data_An_Cour!$AM:$AM,BV_Data_An_Cour!$AP:$AP,$B374,BV_Data_An_Cour!$AQ:$AQ,$C374,BV_Data_An_Cour!$AR:$AR,$L$2)</f>
        <v>0</v>
      </c>
      <c r="M374" s="240"/>
      <c r="N374" s="315"/>
      <c r="O374" s="240"/>
      <c r="P374" s="313"/>
      <c r="Q374" s="255">
        <f>-SUMIFS(BV_Data_An_Prec!$AM:$AM,BV_Data_An_Prec!$AP:$AP,$B374,BV_Data_An_Prec!$AQ:$AQ,$C374,BV_Data_An_Prec!$AR:$AR,$L$2)</f>
        <v>0</v>
      </c>
      <c r="R374" s="240"/>
      <c r="S374" s="315">
        <f t="shared" si="69"/>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574</v>
      </c>
      <c r="B375" s="41" t="s">
        <v>192</v>
      </c>
      <c r="C375" s="310" t="s">
        <v>122</v>
      </c>
      <c r="D375" s="296"/>
      <c r="E375" s="41"/>
      <c r="F375" s="253">
        <f>+INDEX('Budget original'!$A$2:$AO$501,MATCH($A375,'Budget original'!$A$2:$A$501,0),MATCH(F$2,'Budget original'!$A$2:$AO$2,0))</f>
        <v>0</v>
      </c>
      <c r="G375" s="297"/>
      <c r="H375" s="41"/>
      <c r="I375" s="253"/>
      <c r="J375" s="252"/>
      <c r="K375" s="41"/>
      <c r="L375" s="255">
        <f>-SUMIFS(BV_Data_An_Cour!$AM:$AM,BV_Data_An_Cour!$AP:$AP,$B375,BV_Data_An_Cour!$AQ:$AQ,$C375,BV_Data_An_Cour!$AR:$AR,$L$2)</f>
        <v>0</v>
      </c>
      <c r="M375" s="252"/>
      <c r="N375" s="275"/>
      <c r="O375" s="252"/>
      <c r="P375" s="41"/>
      <c r="Q375" s="255">
        <f>-SUMIFS(BV_Data_An_Prec!$AM:$AM,BV_Data_An_Prec!$AP:$AP,$B375,BV_Data_An_Prec!$AQ:$AQ,$C375,BV_Data_An_Prec!$AR:$AR,$L$2)</f>
        <v>0</v>
      </c>
      <c r="R375" s="252"/>
      <c r="S375" s="275">
        <f t="shared" si="69"/>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575</v>
      </c>
      <c r="B376" s="41" t="s">
        <v>192</v>
      </c>
      <c r="C376" s="310" t="s">
        <v>123</v>
      </c>
      <c r="D376" s="296"/>
      <c r="E376" s="41"/>
      <c r="F376" s="253">
        <f>+INDEX('Budget original'!$A$2:$AO$501,MATCH($A376,'Budget original'!$A$2:$A$501,0),MATCH(F$2,'Budget original'!$A$2:$AO$2,0))</f>
        <v>0</v>
      </c>
      <c r="G376" s="297"/>
      <c r="H376" s="41"/>
      <c r="I376" s="253"/>
      <c r="J376" s="252"/>
      <c r="K376" s="41"/>
      <c r="L376" s="255">
        <f>-SUMIFS(BV_Data_An_Cour!$AM:$AM,BV_Data_An_Cour!$AP:$AP,$B376,BV_Data_An_Cour!$AQ:$AQ,$C376,BV_Data_An_Cour!$AR:$AR,$L$2)</f>
        <v>0</v>
      </c>
      <c r="M376" s="252"/>
      <c r="N376" s="275"/>
      <c r="O376" s="252"/>
      <c r="P376" s="41"/>
      <c r="Q376" s="255">
        <f>-SUMIFS(BV_Data_An_Prec!$AM:$AM,BV_Data_An_Prec!$AP:$AP,$B376,BV_Data_An_Prec!$AQ:$AQ,$C376,BV_Data_An_Prec!$AR:$AR,$L$2)</f>
        <v>0</v>
      </c>
      <c r="R376" s="252"/>
      <c r="S376" s="275">
        <f t="shared" si="69"/>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571</v>
      </c>
      <c r="B377" s="41" t="s">
        <v>192</v>
      </c>
      <c r="C377" s="252" t="s">
        <v>55</v>
      </c>
      <c r="D377" s="298"/>
      <c r="E377" s="316"/>
      <c r="F377" s="253">
        <f>+INDEX('Budget original'!$A$2:$AO$501,MATCH($A377,'Budget original'!$A$2:$A$501,0),MATCH(F$2,'Budget original'!$A$2:$AO$2,0))</f>
        <v>0</v>
      </c>
      <c r="G377" s="299"/>
      <c r="H377" s="316"/>
      <c r="I377" s="253"/>
      <c r="J377" s="245"/>
      <c r="K377" s="316"/>
      <c r="L377" s="255">
        <f>-SUMIFS(BV_Data_An_Cour!$AM:$AM,BV_Data_An_Cour!$AP:$AP,$B377,BV_Data_An_Cour!$AQ:$AQ,$C377,BV_Data_An_Cour!$AR:$AR,$L$2)</f>
        <v>0</v>
      </c>
      <c r="M377" s="245"/>
      <c r="N377" s="295"/>
      <c r="O377" s="245"/>
      <c r="P377" s="316"/>
      <c r="Q377" s="255">
        <f>-SUMIFS(BV_Data_An_Prec!$AM:$AM,BV_Data_An_Prec!$AP:$AP,$B377,BV_Data_An_Prec!$AQ:$AQ,$C377,BV_Data_An_Prec!$AR:$AR,$L$2)</f>
        <v>0</v>
      </c>
      <c r="R377" s="245"/>
      <c r="S377" s="295">
        <f t="shared" si="69"/>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576</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69"/>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577</v>
      </c>
      <c r="B379" s="41" t="s">
        <v>192</v>
      </c>
      <c r="C379" s="404" t="s">
        <v>125</v>
      </c>
      <c r="D379" s="296"/>
      <c r="E379" s="41"/>
      <c r="F379" s="253">
        <f>+INDEX('Budget original'!$A$2:$AO$501,MATCH($A379,'Budget original'!$A$2:$A$501,0),MATCH(F$2,'Budget original'!$A$2:$AO$2,0))</f>
        <v>0</v>
      </c>
      <c r="G379" s="297"/>
      <c r="H379" s="41"/>
      <c r="I379" s="253"/>
      <c r="J379" s="252"/>
      <c r="K379" s="41"/>
      <c r="L379" s="255">
        <f>-SUMIFS(BV_Data_An_Cour!$AM:$AM,BV_Data_An_Cour!$AP:$AP,$B379,BV_Data_An_Cour!$AQ:$AQ,$C379,BV_Data_An_Cour!$AR:$AR,$L$2)</f>
        <v>0</v>
      </c>
      <c r="M379" s="252"/>
      <c r="N379" s="275"/>
      <c r="O379" s="252"/>
      <c r="P379" s="41"/>
      <c r="Q379" s="255">
        <f>-SUMIFS(BV_Data_An_Prec!$AM:$AM,BV_Data_An_Prec!$AP:$AP,$B379,BV_Data_An_Prec!$AQ:$AQ,$C379,BV_Data_An_Prec!$AR:$AR,$L$2)</f>
        <v>0</v>
      </c>
      <c r="R379" s="252"/>
      <c r="S379" s="275">
        <f t="shared" si="69"/>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578</v>
      </c>
      <c r="B380" s="41" t="s">
        <v>192</v>
      </c>
      <c r="C380" s="310" t="s">
        <v>126</v>
      </c>
      <c r="D380" s="296"/>
      <c r="E380" s="41"/>
      <c r="F380" s="253">
        <f>+INDEX('Budget original'!$A$2:$AO$501,MATCH($A380,'Budget original'!$A$2:$A$501,0),MATCH(F$2,'Budget original'!$A$2:$AO$2,0))</f>
        <v>0</v>
      </c>
      <c r="G380" s="297"/>
      <c r="H380" s="41"/>
      <c r="I380" s="253"/>
      <c r="J380" s="252"/>
      <c r="K380" s="41"/>
      <c r="L380" s="255">
        <f>-SUMIFS(BV_Data_An_Cour!$AM:$AM,BV_Data_An_Cour!$AP:$AP,$B380,BV_Data_An_Cour!$AQ:$AQ,$C380,BV_Data_An_Cour!$AR:$AR,$L$2)</f>
        <v>0</v>
      </c>
      <c r="M380" s="252"/>
      <c r="N380" s="275"/>
      <c r="O380" s="252"/>
      <c r="P380" s="41"/>
      <c r="Q380" s="255">
        <f>-SUMIFS(BV_Data_An_Prec!$AM:$AM,BV_Data_An_Prec!$AP:$AP,$B380,BV_Data_An_Prec!$AQ:$AQ,$C380,BV_Data_An_Prec!$AR:$AR,$L$2)</f>
        <v>0</v>
      </c>
      <c r="R380" s="252"/>
      <c r="S380" s="275">
        <f t="shared" si="69"/>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579</v>
      </c>
      <c r="B381" s="41" t="s">
        <v>192</v>
      </c>
      <c r="C381" s="311" t="s">
        <v>127</v>
      </c>
      <c r="D381" s="298"/>
      <c r="E381" s="316"/>
      <c r="F381" s="247">
        <f>+INDEX('Budget original'!$A$2:$AO$501,MATCH($A381,'Budget original'!$A$2:$A$501,0),MATCH(F$2,'Budget original'!$A$2:$AO$2,0))</f>
        <v>0</v>
      </c>
      <c r="G381" s="299"/>
      <c r="H381" s="316"/>
      <c r="I381" s="247"/>
      <c r="J381" s="245"/>
      <c r="K381" s="316"/>
      <c r="L381" s="247">
        <f>-SUMIFS(BV_Data_An_Cour!$AM:$AM,BV_Data_An_Cour!$AP:$AP,$B381,BV_Data_An_Cour!$AQ:$AQ,$C381,BV_Data_An_Cour!$AR:$AR,$L$2)</f>
        <v>0</v>
      </c>
      <c r="M381" s="245"/>
      <c r="N381" s="295"/>
      <c r="O381" s="245"/>
      <c r="P381" s="316"/>
      <c r="Q381" s="247">
        <f>-SUMIFS(BV_Data_An_Prec!$AM:$AM,BV_Data_An_Prec!$AP:$AP,$B381,BV_Data_An_Prec!$AQ:$AQ,$C381,BV_Data_An_Prec!$AR:$AR,$L$2)</f>
        <v>0</v>
      </c>
      <c r="R381" s="245"/>
      <c r="S381" s="295">
        <f t="shared" si="69"/>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580</v>
      </c>
      <c r="B382" s="41" t="s">
        <v>192</v>
      </c>
      <c r="C382" s="310" t="s">
        <v>128</v>
      </c>
      <c r="D382" s="296"/>
      <c r="E382" s="41"/>
      <c r="F382" s="253">
        <f>+INDEX('Budget original'!$A$2:$AO$501,MATCH($A382,'Budget original'!$A$2:$A$501,0),MATCH(F$2,'Budget original'!$A$2:$AO$2,0))</f>
        <v>0</v>
      </c>
      <c r="G382" s="297"/>
      <c r="H382" s="41"/>
      <c r="I382" s="253"/>
      <c r="J382" s="252"/>
      <c r="K382" s="41"/>
      <c r="L382" s="255">
        <f>-SUMIFS(BV_Data_An_Cour!$AM:$AM,BV_Data_An_Cour!$AP:$AP,$B382,BV_Data_An_Cour!$AQ:$AQ,$C382,BV_Data_An_Cour!$AR:$AR,$L$2)</f>
        <v>0</v>
      </c>
      <c r="M382" s="252"/>
      <c r="N382" s="275"/>
      <c r="O382" s="252"/>
      <c r="P382" s="41"/>
      <c r="Q382" s="255">
        <f>-SUMIFS(BV_Data_An_Prec!$AM:$AM,BV_Data_An_Prec!$AP:$AP,$B382,BV_Data_An_Prec!$AQ:$AQ,$C382,BV_Data_An_Prec!$AR:$AR,$L$2)</f>
        <v>0</v>
      </c>
      <c r="R382" s="252"/>
      <c r="S382" s="275">
        <f t="shared" si="69"/>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581</v>
      </c>
      <c r="B383" s="41" t="s">
        <v>192</v>
      </c>
      <c r="C383" s="310" t="s">
        <v>129</v>
      </c>
      <c r="D383" s="296"/>
      <c r="E383" s="41"/>
      <c r="F383" s="253">
        <f>+INDEX('Budget original'!$A$2:$AO$501,MATCH($A383,'Budget original'!$A$2:$A$501,0),MATCH(F$2,'Budget original'!$A$2:$AO$2,0))</f>
        <v>0</v>
      </c>
      <c r="G383" s="297"/>
      <c r="H383" s="41"/>
      <c r="I383" s="253"/>
      <c r="J383" s="252"/>
      <c r="K383" s="41"/>
      <c r="L383" s="255">
        <f>-SUMIFS(BV_Data_An_Cour!$AM:$AM,BV_Data_An_Cour!$AP:$AP,$B383,BV_Data_An_Cour!$AQ:$AQ,$C383,BV_Data_An_Cour!$AR:$AR,$L$2)</f>
        <v>0</v>
      </c>
      <c r="M383" s="252"/>
      <c r="N383" s="275"/>
      <c r="O383" s="252"/>
      <c r="P383" s="41"/>
      <c r="Q383" s="255">
        <f>-SUMIFS(BV_Data_An_Prec!$AM:$AM,BV_Data_An_Prec!$AP:$AP,$B383,BV_Data_An_Prec!$AQ:$AQ,$C383,BV_Data_An_Prec!$AR:$AR,$L$2)</f>
        <v>0</v>
      </c>
      <c r="R383" s="252"/>
      <c r="S383" s="275">
        <f t="shared" si="69"/>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
        <v>582</v>
      </c>
      <c r="B384" s="41" t="s">
        <v>192</v>
      </c>
      <c r="C384" s="310" t="s">
        <v>130</v>
      </c>
      <c r="D384" s="298"/>
      <c r="E384" s="316"/>
      <c r="F384" s="247">
        <f>+INDEX('Budget original'!$A$2:$AO$501,MATCH($A384,'Budget original'!$A$2:$A$501,0),MATCH(F$2,'Budget original'!$A$2:$AO$2,0))</f>
        <v>0</v>
      </c>
      <c r="G384" s="299"/>
      <c r="H384" s="316"/>
      <c r="I384" s="247"/>
      <c r="J384" s="245"/>
      <c r="K384" s="316"/>
      <c r="L384" s="247">
        <f>-SUMIFS(BV_Data_An_Cour!$AM:$AM,BV_Data_An_Cour!$AP:$AP,$B384,BV_Data_An_Cour!$AQ:$AQ,$C384,BV_Data_An_Cour!$AR:$AR,$L$2)</f>
        <v>0</v>
      </c>
      <c r="M384" s="245"/>
      <c r="N384" s="295"/>
      <c r="O384" s="245"/>
      <c r="P384" s="316"/>
      <c r="Q384" s="247">
        <f>-SUMIFS(BV_Data_An_Prec!$AM:$AM,BV_Data_An_Prec!$AP:$AP,$B384,BV_Data_An_Prec!$AQ:$AQ,$C384,BV_Data_An_Prec!$AR:$AR,$L$2)</f>
        <v>0</v>
      </c>
      <c r="R384" s="245"/>
      <c r="S384" s="295">
        <f t="shared" si="69"/>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583</v>
      </c>
      <c r="B385" s="41" t="s">
        <v>192</v>
      </c>
      <c r="C385" s="404" t="s">
        <v>131</v>
      </c>
      <c r="D385" s="296"/>
      <c r="E385" s="41"/>
      <c r="F385" s="253">
        <f>+INDEX('Budget original'!$A$2:$AO$501,MATCH($A385,'Budget original'!$A$2:$A$501,0),MATCH(F$2,'Budget original'!$A$2:$AO$2,0))</f>
        <v>0</v>
      </c>
      <c r="G385" s="297"/>
      <c r="H385" s="41"/>
      <c r="I385" s="253"/>
      <c r="J385" s="252"/>
      <c r="K385" s="41"/>
      <c r="L385" s="255">
        <f>-SUMIFS(BV_Data_An_Cour!$AM:$AM,BV_Data_An_Cour!$AP:$AP,$B385,BV_Data_An_Cour!$AQ:$AQ,$C385,BV_Data_An_Cour!$AR:$AR,$L$2)</f>
        <v>0</v>
      </c>
      <c r="M385" s="252"/>
      <c r="N385" s="275"/>
      <c r="O385" s="252"/>
      <c r="P385" s="41"/>
      <c r="Q385" s="255">
        <f>-SUMIFS(BV_Data_An_Prec!$AM:$AM,BV_Data_An_Prec!$AP:$AP,$B385,BV_Data_An_Prec!$AQ:$AQ,$C385,BV_Data_An_Prec!$AR:$AR,$L$2)</f>
        <v>0</v>
      </c>
      <c r="R385" s="252"/>
      <c r="S385" s="275">
        <f t="shared" si="69"/>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584</v>
      </c>
      <c r="B386" s="41" t="s">
        <v>192</v>
      </c>
      <c r="C386" s="310" t="s">
        <v>132</v>
      </c>
      <c r="D386" s="296"/>
      <c r="E386" s="41"/>
      <c r="F386" s="253">
        <f>+INDEX('Budget original'!$A$2:$AO$501,MATCH($A386,'Budget original'!$A$2:$A$501,0),MATCH(F$2,'Budget original'!$A$2:$AO$2,0))</f>
        <v>0</v>
      </c>
      <c r="G386" s="297"/>
      <c r="H386" s="41"/>
      <c r="I386" s="253"/>
      <c r="J386" s="252"/>
      <c r="K386" s="41"/>
      <c r="L386" s="255">
        <f>-SUMIFS(BV_Data_An_Cour!$AM:$AM,BV_Data_An_Cour!$AP:$AP,$B386,BV_Data_An_Cour!$AQ:$AQ,$C386,BV_Data_An_Cour!$AR:$AR,$L$2)</f>
        <v>0</v>
      </c>
      <c r="M386" s="252"/>
      <c r="N386" s="275"/>
      <c r="O386" s="252"/>
      <c r="P386" s="41"/>
      <c r="Q386" s="255">
        <f>-SUMIFS(BV_Data_An_Prec!$AM:$AM,BV_Data_An_Prec!$AP:$AP,$B386,BV_Data_An_Prec!$AQ:$AQ,$C386,BV_Data_An_Prec!$AR:$AR,$L$2)</f>
        <v>0</v>
      </c>
      <c r="R386" s="252"/>
      <c r="S386" s="275">
        <f t="shared" si="69"/>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585</v>
      </c>
      <c r="B387" s="41" t="s">
        <v>192</v>
      </c>
      <c r="C387" s="310" t="s">
        <v>133</v>
      </c>
      <c r="D387" s="296"/>
      <c r="E387" s="41"/>
      <c r="F387" s="253">
        <f>+INDEX('Budget original'!$A$2:$AO$501,MATCH($A387,'Budget original'!$A$2:$A$501,0),MATCH(F$2,'Budget original'!$A$2:$AO$2,0))</f>
        <v>0</v>
      </c>
      <c r="G387" s="297"/>
      <c r="H387" s="41"/>
      <c r="I387" s="253"/>
      <c r="J387" s="252"/>
      <c r="K387" s="41"/>
      <c r="L387" s="255">
        <f>-SUMIFS(BV_Data_An_Cour!$AM:$AM,BV_Data_An_Cour!$AP:$AP,$B387,BV_Data_An_Cour!$AQ:$AQ,$C387,BV_Data_An_Cour!$AR:$AR,$L$2)</f>
        <v>0</v>
      </c>
      <c r="M387" s="252"/>
      <c r="N387" s="275"/>
      <c r="O387" s="252"/>
      <c r="P387" s="41"/>
      <c r="Q387" s="255">
        <f>-SUMIFS(BV_Data_An_Prec!$AM:$AM,BV_Data_An_Prec!$AP:$AP,$B387,BV_Data_An_Prec!$AQ:$AQ,$C387,BV_Data_An_Prec!$AR:$AR,$L$2)</f>
        <v>0</v>
      </c>
      <c r="R387" s="252"/>
      <c r="S387" s="275">
        <f t="shared" si="69"/>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586</v>
      </c>
      <c r="B388" s="41" t="s">
        <v>192</v>
      </c>
      <c r="C388" s="310" t="s">
        <v>134</v>
      </c>
      <c r="D388" s="296"/>
      <c r="E388" s="41"/>
      <c r="F388" s="253">
        <f>+INDEX('Budget original'!$A$2:$AO$501,MATCH($A388,'Budget original'!$A$2:$A$501,0),MATCH(F$2,'Budget original'!$A$2:$AO$2,0))</f>
        <v>0</v>
      </c>
      <c r="G388" s="297"/>
      <c r="H388" s="41"/>
      <c r="I388" s="253"/>
      <c r="J388" s="252"/>
      <c r="K388" s="41"/>
      <c r="L388" s="255">
        <f>-SUMIFS(BV_Data_An_Cour!$AM:$AM,BV_Data_An_Cour!$AP:$AP,$B388,BV_Data_An_Cour!$AQ:$AQ,$C388,BV_Data_An_Cour!$AR:$AR,$L$2)</f>
        <v>0</v>
      </c>
      <c r="M388" s="252"/>
      <c r="N388" s="275"/>
      <c r="O388" s="252"/>
      <c r="P388" s="41"/>
      <c r="Q388" s="255">
        <f>-SUMIFS(BV_Data_An_Prec!$AM:$AM,BV_Data_An_Prec!$AP:$AP,$B388,BV_Data_An_Prec!$AQ:$AQ,$C388,BV_Data_An_Prec!$AR:$AR,$L$2)</f>
        <v>0</v>
      </c>
      <c r="R388" s="252"/>
      <c r="S388" s="275">
        <f t="shared" si="69"/>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587</v>
      </c>
      <c r="B389" s="41" t="s">
        <v>192</v>
      </c>
      <c r="C389" s="310" t="s">
        <v>135</v>
      </c>
      <c r="D389" s="296"/>
      <c r="E389" s="41"/>
      <c r="F389" s="253">
        <f>+INDEX('Budget original'!$A$2:$AO$501,MATCH($A389,'Budget original'!$A$2:$A$501,0),MATCH(F$2,'Budget original'!$A$2:$AO$2,0))</f>
        <v>0</v>
      </c>
      <c r="G389" s="297"/>
      <c r="H389" s="41"/>
      <c r="I389" s="253"/>
      <c r="J389" s="252"/>
      <c r="K389" s="41"/>
      <c r="L389" s="255">
        <f>-SUMIFS(BV_Data_An_Cour!$AM:$AM,BV_Data_An_Cour!$AP:$AP,$B389,BV_Data_An_Cour!$AQ:$AQ,$C389,BV_Data_An_Cour!$AR:$AR,$L$2)</f>
        <v>0</v>
      </c>
      <c r="M389" s="252"/>
      <c r="N389" s="275"/>
      <c r="O389" s="252"/>
      <c r="P389" s="41"/>
      <c r="Q389" s="255">
        <f>-SUMIFS(BV_Data_An_Prec!$AM:$AM,BV_Data_An_Prec!$AP:$AP,$B389,BV_Data_An_Prec!$AQ:$AQ,$C389,BV_Data_An_Prec!$AR:$AR,$L$2)</f>
        <v>0</v>
      </c>
      <c r="R389" s="252"/>
      <c r="S389" s="275">
        <f t="shared" si="69"/>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588</v>
      </c>
      <c r="B390" s="41" t="s">
        <v>192</v>
      </c>
      <c r="C390" s="310" t="s">
        <v>136</v>
      </c>
      <c r="D390" s="296"/>
      <c r="E390" s="41"/>
      <c r="F390" s="253">
        <f>+INDEX('Budget original'!$A$2:$AO$501,MATCH($A390,'Budget original'!$A$2:$A$501,0),MATCH(F$2,'Budget original'!$A$2:$AO$2,0))</f>
        <v>0</v>
      </c>
      <c r="G390" s="297"/>
      <c r="H390" s="41"/>
      <c r="I390" s="253"/>
      <c r="J390" s="252"/>
      <c r="K390" s="41"/>
      <c r="L390" s="255">
        <f>-SUMIFS(BV_Data_An_Cour!$AM:$AM,BV_Data_An_Cour!$AP:$AP,$B390,BV_Data_An_Cour!$AQ:$AQ,$C390,BV_Data_An_Cour!$AR:$AR,$L$2)</f>
        <v>0</v>
      </c>
      <c r="M390" s="252"/>
      <c r="N390" s="275"/>
      <c r="O390" s="252"/>
      <c r="P390" s="41"/>
      <c r="Q390" s="255">
        <f>-SUMIFS(BV_Data_An_Prec!$AM:$AM,BV_Data_An_Prec!$AP:$AP,$B390,BV_Data_An_Prec!$AQ:$AQ,$C390,BV_Data_An_Prec!$AR:$AR,$L$2)</f>
        <v>0</v>
      </c>
      <c r="R390" s="252"/>
      <c r="S390" s="275">
        <f t="shared" si="69"/>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589</v>
      </c>
      <c r="B391" s="41" t="s">
        <v>192</v>
      </c>
      <c r="C391" s="310" t="s">
        <v>137</v>
      </c>
      <c r="D391" s="296"/>
      <c r="E391" s="41"/>
      <c r="F391" s="253">
        <f>+INDEX('Budget original'!$A$2:$AO$501,MATCH($A391,'Budget original'!$A$2:$A$501,0),MATCH(F$2,'Budget original'!$A$2:$AO$2,0))</f>
        <v>0</v>
      </c>
      <c r="G391" s="297"/>
      <c r="H391" s="41"/>
      <c r="I391" s="253"/>
      <c r="J391" s="252"/>
      <c r="K391" s="41"/>
      <c r="L391" s="255">
        <f>-SUMIFS(BV_Data_An_Cour!$AM:$AM,BV_Data_An_Cour!$AP:$AP,$B391,BV_Data_An_Cour!$AQ:$AQ,$C391,BV_Data_An_Cour!$AR:$AR,$L$2)</f>
        <v>0</v>
      </c>
      <c r="M391" s="252"/>
      <c r="N391" s="275"/>
      <c r="O391" s="252"/>
      <c r="P391" s="41"/>
      <c r="Q391" s="255">
        <f>-SUMIFS(BV_Data_An_Prec!$AM:$AM,BV_Data_An_Prec!$AP:$AP,$B391,BV_Data_An_Prec!$AQ:$AQ,$C391,BV_Data_An_Prec!$AR:$AR,$L$2)</f>
        <v>0</v>
      </c>
      <c r="R391" s="252"/>
      <c r="S391" s="275">
        <f t="shared" si="69"/>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
        <v>590</v>
      </c>
      <c r="B392" s="41" t="s">
        <v>192</v>
      </c>
      <c r="C392" s="310" t="s">
        <v>138</v>
      </c>
      <c r="D392" s="296"/>
      <c r="E392" s="41"/>
      <c r="F392" s="253">
        <f>+INDEX('Budget original'!$A$2:$AO$501,MATCH($A392,'Budget original'!$A$2:$A$501,0),MATCH(F$2,'Budget original'!$A$2:$AO$2,0))</f>
        <v>0</v>
      </c>
      <c r="G392" s="297"/>
      <c r="H392" s="41"/>
      <c r="I392" s="253"/>
      <c r="J392" s="252"/>
      <c r="K392" s="41"/>
      <c r="L392" s="255">
        <f>-SUMIFS(BV_Data_An_Cour!$AM:$AM,BV_Data_An_Cour!$AP:$AP,$B392,BV_Data_An_Cour!$AQ:$AQ,$C392,BV_Data_An_Cour!$AR:$AR,$L$2)</f>
        <v>0</v>
      </c>
      <c r="M392" s="252"/>
      <c r="N392" s="275"/>
      <c r="O392" s="252"/>
      <c r="P392" s="41"/>
      <c r="Q392" s="255">
        <f>-SUMIFS(BV_Data_An_Prec!$AM:$AM,BV_Data_An_Prec!$AP:$AP,$B392,BV_Data_An_Prec!$AQ:$AQ,$C392,BV_Data_An_Prec!$AR:$AR,$L$2)</f>
        <v>0</v>
      </c>
      <c r="R392" s="252"/>
      <c r="S392" s="275">
        <f t="shared" si="69"/>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571</v>
      </c>
      <c r="B393" s="41" t="s">
        <v>192</v>
      </c>
      <c r="C393" s="310" t="s">
        <v>55</v>
      </c>
      <c r="D393" s="296"/>
      <c r="E393" s="41"/>
      <c r="F393" s="253">
        <f>+INDEX('Budget original'!$A$2:$AO$501,MATCH($A393,'Budget original'!$A$2:$A$501,0),MATCH(F$2,'Budget original'!$A$2:$AO$2,0))</f>
        <v>0</v>
      </c>
      <c r="G393" s="297"/>
      <c r="H393" s="41"/>
      <c r="I393" s="253"/>
      <c r="J393" s="252"/>
      <c r="K393" s="41"/>
      <c r="L393" s="255">
        <f>-SUMIFS(BV_Data_An_Cour!$AM:$AM,BV_Data_An_Cour!$AP:$AP,$B393,BV_Data_An_Cour!$AQ:$AQ,$C393,BV_Data_An_Cour!$AR:$AR,$L$2)</f>
        <v>0</v>
      </c>
      <c r="M393" s="252"/>
      <c r="N393" s="275"/>
      <c r="O393" s="252"/>
      <c r="P393" s="41"/>
      <c r="Q393" s="255">
        <f>-SUMIFS(BV_Data_An_Prec!$AM:$AM,BV_Data_An_Prec!$AP:$AP,$B393,BV_Data_An_Prec!$AQ:$AQ,$C393,BV_Data_An_Prec!$AR:$AR,$L$2)</f>
        <v>0</v>
      </c>
      <c r="R393" s="252"/>
      <c r="S393" s="275">
        <f t="shared" si="69"/>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571</v>
      </c>
      <c r="B394" s="41" t="s">
        <v>192</v>
      </c>
      <c r="C394" s="310" t="s">
        <v>55</v>
      </c>
      <c r="D394" s="296"/>
      <c r="E394" s="41"/>
      <c r="F394" s="253">
        <f>+INDEX('Budget original'!$A$2:$AO$501,MATCH($A394,'Budget original'!$A$2:$A$501,0),MATCH(F$2,'Budget original'!$A$2:$AO$2,0))</f>
        <v>0</v>
      </c>
      <c r="G394" s="297"/>
      <c r="H394" s="41"/>
      <c r="I394" s="253"/>
      <c r="J394" s="252"/>
      <c r="K394" s="41"/>
      <c r="L394" s="255">
        <f>-SUMIFS(BV_Data_An_Cour!$AM:$AM,BV_Data_An_Cour!$AP:$AP,$B394,BV_Data_An_Cour!$AQ:$AQ,$C394,BV_Data_An_Cour!$AR:$AR,$L$2)</f>
        <v>0</v>
      </c>
      <c r="M394" s="252"/>
      <c r="N394" s="275"/>
      <c r="O394" s="252"/>
      <c r="P394" s="41"/>
      <c r="Q394" s="255">
        <f>-SUMIFS(BV_Data_An_Prec!$AM:$AM,BV_Data_An_Prec!$AP:$AP,$B394,BV_Data_An_Prec!$AQ:$AQ,$C394,BV_Data_An_Prec!$AR:$AR,$L$2)</f>
        <v>0</v>
      </c>
      <c r="R394" s="252"/>
      <c r="S394" s="275">
        <f t="shared" si="69"/>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
        <v>571</v>
      </c>
      <c r="B395" s="41" t="s">
        <v>192</v>
      </c>
      <c r="C395" s="310" t="s">
        <v>55</v>
      </c>
      <c r="D395" s="298"/>
      <c r="E395" s="316"/>
      <c r="F395" s="253">
        <f>+INDEX('Budget original'!$A$2:$AO$501,MATCH($A395,'Budget original'!$A$2:$A$501,0),MATCH(F$2,'Budget original'!$A$2:$AO$2,0))</f>
        <v>0</v>
      </c>
      <c r="G395" s="299"/>
      <c r="H395" s="316"/>
      <c r="I395" s="253"/>
      <c r="J395" s="245"/>
      <c r="K395" s="316"/>
      <c r="L395" s="255">
        <f>-SUMIFS(BV_Data_An_Cour!$AM:$AM,BV_Data_An_Cour!$AP:$AP,$B395,BV_Data_An_Cour!$AQ:$AQ,$C395,BV_Data_An_Cour!$AR:$AR,$L$2)</f>
        <v>0</v>
      </c>
      <c r="M395" s="245"/>
      <c r="N395" s="295"/>
      <c r="O395" s="245"/>
      <c r="P395" s="316"/>
      <c r="Q395" s="255">
        <f>-SUMIFS(BV_Data_An_Prec!$AM:$AM,BV_Data_An_Prec!$AP:$AP,$B395,BV_Data_An_Prec!$AQ:$AQ,$C395,BV_Data_An_Prec!$AR:$AR,$L$2)</f>
        <v>0</v>
      </c>
      <c r="R395" s="245"/>
      <c r="S395" s="295">
        <f t="shared" si="69"/>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38"/>
      <c r="AE400" s="38"/>
      <c r="AF400" s="38"/>
      <c r="AG400" s="38"/>
      <c r="AH400" s="38"/>
      <c r="AI400" s="38"/>
      <c r="AJ400" s="38"/>
      <c r="AK400" s="38"/>
      <c r="AL400" s="38"/>
      <c r="AM400" s="38"/>
      <c r="AN400" s="38"/>
    </row>
    <row r="401" spans="1:61" ht="15.75" customHeight="1">
      <c r="B401" s="3"/>
      <c r="C401" s="11"/>
      <c r="D401" s="837"/>
      <c r="E401" s="41"/>
      <c r="F401" s="317">
        <f>F315+F251+F195</f>
        <v>0</v>
      </c>
      <c r="G401" s="296"/>
      <c r="H401" s="41"/>
      <c r="I401" s="317"/>
      <c r="J401" s="837"/>
      <c r="K401" s="11"/>
      <c r="L401" s="317">
        <f>L315+L251+L195</f>
        <v>333187.47999999981</v>
      </c>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F402" s="317">
        <f>F354+F234+F290</f>
        <v>0</v>
      </c>
      <c r="L402" s="317">
        <f>L354+L234+L290</f>
        <v>166960.25999999978</v>
      </c>
      <c r="V402" s="41"/>
      <c r="W402" s="38"/>
      <c r="X402" s="38"/>
      <c r="Y402" s="38"/>
      <c r="Z402" s="38"/>
      <c r="AA402" s="38"/>
      <c r="AB402" s="38"/>
      <c r="AC402" s="38"/>
      <c r="AD402" s="38"/>
      <c r="AE402" s="38"/>
      <c r="AF402" s="38"/>
      <c r="AG402" s="38"/>
      <c r="AH402" s="38"/>
      <c r="AI402" s="38"/>
      <c r="AJ402" s="38"/>
      <c r="AK402" s="38"/>
      <c r="AL402" s="38"/>
      <c r="AM402" s="38"/>
      <c r="AN402" s="38"/>
    </row>
    <row r="403" spans="1:61" ht="35.25">
      <c r="B403" s="3"/>
      <c r="C403" s="431" t="s">
        <v>591</v>
      </c>
      <c r="F403" s="835"/>
      <c r="L403" s="835"/>
      <c r="V403" s="771" t="str">
        <f>C1</f>
        <v>Hyundai</v>
      </c>
      <c r="W403" s="36"/>
      <c r="X403" s="36"/>
      <c r="Y403" s="36"/>
      <c r="Z403" s="36"/>
      <c r="AA403" s="36"/>
      <c r="AB403" s="36"/>
      <c r="AC403" s="36"/>
      <c r="AD403" s="36"/>
      <c r="AE403" s="231" t="s">
        <v>680</v>
      </c>
      <c r="AF403" s="36"/>
      <c r="AG403" s="36"/>
      <c r="AH403" s="36"/>
      <c r="AI403" s="36"/>
      <c r="AJ403" s="772"/>
      <c r="AK403" s="773"/>
      <c r="AL403" s="774"/>
      <c r="AM403" s="774"/>
      <c r="AN403" s="774"/>
      <c r="AO403" s="772" t="str">
        <f>$S$1</f>
        <v>Réalisé, Mai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431" t="s">
        <v>591</v>
      </c>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592</v>
      </c>
      <c r="B405" s="3"/>
      <c r="C405" s="431" t="s">
        <v>591</v>
      </c>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592</v>
      </c>
      <c r="B406" s="3"/>
      <c r="C406" s="431" t="s">
        <v>591</v>
      </c>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92</v>
      </c>
      <c r="B407" s="3"/>
      <c r="C407" s="431" t="s">
        <v>591</v>
      </c>
      <c r="V407" s="311" t="s">
        <v>92</v>
      </c>
      <c r="W407" s="438"/>
      <c r="X407" s="438"/>
      <c r="Y407" s="438"/>
      <c r="Z407" s="439">
        <f>F5+F93+E195+E251+D315+D363</f>
        <v>0</v>
      </c>
      <c r="AA407" s="438"/>
      <c r="AB407" s="438"/>
      <c r="AC407" s="439"/>
      <c r="AD407" s="440"/>
      <c r="AE407" s="441"/>
      <c r="AF407" s="439">
        <f>L5+L93+K195+K251+J315+J363</f>
        <v>6447550.879999999</v>
      </c>
      <c r="AG407" s="440"/>
      <c r="AH407" s="441"/>
      <c r="AI407" s="442"/>
      <c r="AJ407" s="440"/>
      <c r="AK407" s="441"/>
      <c r="AL407" s="439">
        <f>Q5+Q93+P195+O251+O315+O363</f>
        <v>0</v>
      </c>
      <c r="AM407" s="443"/>
      <c r="AN407" s="441"/>
      <c r="AO407" s="444"/>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198</v>
      </c>
      <c r="B408" s="3"/>
      <c r="C408" s="431" t="s">
        <v>591</v>
      </c>
      <c r="V408" s="445" t="s">
        <v>198</v>
      </c>
      <c r="W408" s="446"/>
      <c r="X408" s="884" t="e">
        <f>Z408/Z407</f>
        <v>#DIV/0!</v>
      </c>
      <c r="Y408" s="446"/>
      <c r="Z408" s="447">
        <f>F27+F109+F195+F251+F315+F363</f>
        <v>0</v>
      </c>
      <c r="AA408" s="446"/>
      <c r="AB408" s="446"/>
      <c r="AC408" s="447"/>
      <c r="AD408" s="884">
        <f>AF408/AF407</f>
        <v>0.13598070124884379</v>
      </c>
      <c r="AE408" s="449"/>
      <c r="AF408" s="447">
        <f>L27+L109+L195+L251+L315+L363</f>
        <v>876742.48999999976</v>
      </c>
      <c r="AG408" s="448"/>
      <c r="AH408" s="449">
        <f>AF408-Z408</f>
        <v>876742.48999999976</v>
      </c>
      <c r="AI408" s="450" t="e">
        <f>AH408/Z408</f>
        <v>#DIV/0!</v>
      </c>
      <c r="AJ408" s="884" t="e">
        <f>AL408/AL407</f>
        <v>#DIV/0!</v>
      </c>
      <c r="AK408" s="449"/>
      <c r="AL408" s="447">
        <f>Q27+Q109+Q195+Q251+Q315+Q363</f>
        <v>0</v>
      </c>
      <c r="AM408" s="451"/>
      <c r="AN408" s="449">
        <f>AF408-AL408</f>
        <v>876742.48999999976</v>
      </c>
      <c r="AO408" s="452">
        <f>IF(AL408=0,0,AN408/AL408)</f>
        <v>0</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199</v>
      </c>
      <c r="B409" s="3"/>
      <c r="C409" s="431" t="s">
        <v>591</v>
      </c>
      <c r="V409" s="453" t="s">
        <v>199</v>
      </c>
      <c r="W409" s="454"/>
      <c r="X409" s="454"/>
      <c r="Y409" s="454"/>
      <c r="Z409" s="455"/>
      <c r="AA409" s="454"/>
      <c r="AB409" s="454"/>
      <c r="AC409" s="455"/>
      <c r="AD409" s="456"/>
      <c r="AE409" s="454"/>
      <c r="AF409" s="455"/>
      <c r="AG409" s="456"/>
      <c r="AH409" s="457"/>
      <c r="AI409" s="458"/>
      <c r="AJ409" s="456"/>
      <c r="AK409" s="454"/>
      <c r="AL409" s="455"/>
      <c r="AM409" s="459"/>
      <c r="AN409" s="457"/>
      <c r="AO409" s="460"/>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107</v>
      </c>
      <c r="B410" s="3"/>
      <c r="C410" s="431" t="s">
        <v>591</v>
      </c>
      <c r="V410" s="310" t="s">
        <v>107</v>
      </c>
      <c r="W410" s="461" t="s">
        <v>600</v>
      </c>
      <c r="X410" s="454"/>
      <c r="Y410" s="462" t="e">
        <f t="shared" ref="Y410:Y419" si="70">Z410/(D$13+D$97)</f>
        <v>#DIV/0!</v>
      </c>
      <c r="Z410" s="455">
        <f t="shared" ref="Z410:Z416" si="71">+SUMIF($C:$C,$V410,F:F)</f>
        <v>0</v>
      </c>
      <c r="AA410" s="454"/>
      <c r="AB410" s="462"/>
      <c r="AC410" s="455"/>
      <c r="AD410" s="463"/>
      <c r="AE410" s="462">
        <f t="shared" ref="AE410:AE415" si="72">IF(AF410=0,0,AF410/(J$13+J$97))</f>
        <v>955.80142857142835</v>
      </c>
      <c r="AF410" s="455">
        <f t="shared" ref="AF410:AF416" si="73">+SUMIF($C:$C,$V410,L:L)</f>
        <v>100359.14999999998</v>
      </c>
      <c r="AG410" s="456" t="e">
        <f t="shared" ref="AG410:AG419" si="74">AE410-Y410</f>
        <v>#DIV/0!</v>
      </c>
      <c r="AH410" s="457">
        <f t="shared" ref="AH410:AH419" si="75">AF410-Z410</f>
        <v>100359.14999999998</v>
      </c>
      <c r="AI410" s="458">
        <f t="shared" ref="AI410:AI419" si="76">IF(Z410=0,0,AH410/Z410)</f>
        <v>0</v>
      </c>
      <c r="AJ410" s="463"/>
      <c r="AK410" s="462">
        <f t="shared" ref="AK410:AK415" si="77">IF(AL410=0,0,AL410/(P$13+P$97))</f>
        <v>0</v>
      </c>
      <c r="AL410" s="455">
        <f>SUMIFS(BV_Data_An_Prec!$AM:$AM,BV_Data_An_Prec!$AQ:$AQ,$V410)</f>
        <v>0</v>
      </c>
      <c r="AM410" s="459">
        <f>AE410-AK410</f>
        <v>955.80142857142835</v>
      </c>
      <c r="AN410" s="457">
        <f t="shared" ref="AN410:AN432" si="78">AF410-AL410</f>
        <v>100359.14999999998</v>
      </c>
      <c r="AO410" s="464">
        <f t="shared" ref="AO410:AO432" si="79">IF(AL410=0,0,AN410/AL410)</f>
        <v>0</v>
      </c>
      <c r="AP410" s="38"/>
      <c r="AQ410" s="38"/>
      <c r="AR410" s="3"/>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108</v>
      </c>
      <c r="B411" s="3"/>
      <c r="C411" s="431" t="s">
        <v>591</v>
      </c>
      <c r="V411" s="311" t="s">
        <v>108</v>
      </c>
      <c r="W411" s="465" t="s">
        <v>601</v>
      </c>
      <c r="X411" s="438"/>
      <c r="Y411" s="466" t="e">
        <f t="shared" si="70"/>
        <v>#DIV/0!</v>
      </c>
      <c r="Z411" s="439">
        <f t="shared" si="71"/>
        <v>0</v>
      </c>
      <c r="AA411" s="438"/>
      <c r="AB411" s="466"/>
      <c r="AC411" s="439"/>
      <c r="AD411" s="467"/>
      <c r="AE411" s="466">
        <f t="shared" si="72"/>
        <v>372.93771428571432</v>
      </c>
      <c r="AF411" s="439">
        <f t="shared" si="73"/>
        <v>39158.460000000006</v>
      </c>
      <c r="AG411" s="440" t="e">
        <f t="shared" si="74"/>
        <v>#DIV/0!</v>
      </c>
      <c r="AH411" s="441">
        <f t="shared" si="75"/>
        <v>39158.460000000006</v>
      </c>
      <c r="AI411" s="468">
        <f t="shared" si="76"/>
        <v>0</v>
      </c>
      <c r="AJ411" s="467"/>
      <c r="AK411" s="466">
        <f t="shared" si="77"/>
        <v>0</v>
      </c>
      <c r="AL411" s="439">
        <f>SUMIFS(BV_Data_An_Prec!$AM:$AM,BV_Data_An_Prec!$AQ:$AQ,$V411)</f>
        <v>0</v>
      </c>
      <c r="AM411" s="459">
        <f t="shared" ref="AM411:AM416" si="80">AE411-AK411</f>
        <v>372.93771428571432</v>
      </c>
      <c r="AN411" s="441">
        <f t="shared" si="78"/>
        <v>39158.460000000006</v>
      </c>
      <c r="AO411" s="444">
        <f t="shared" si="79"/>
        <v>0</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109</v>
      </c>
      <c r="B412" s="3"/>
      <c r="C412" s="431" t="s">
        <v>591</v>
      </c>
      <c r="V412" s="310" t="s">
        <v>109</v>
      </c>
      <c r="W412" s="461" t="s">
        <v>602</v>
      </c>
      <c r="X412" s="454"/>
      <c r="Y412" s="462" t="e">
        <f t="shared" si="70"/>
        <v>#DIV/0!</v>
      </c>
      <c r="Z412" s="455">
        <f t="shared" si="71"/>
        <v>0</v>
      </c>
      <c r="AA412" s="454"/>
      <c r="AB412" s="462"/>
      <c r="AC412" s="455"/>
      <c r="AD412" s="463"/>
      <c r="AE412" s="462">
        <f t="shared" si="72"/>
        <v>30.179714285714283</v>
      </c>
      <c r="AF412" s="455">
        <f t="shared" si="73"/>
        <v>3168.87</v>
      </c>
      <c r="AG412" s="456" t="e">
        <f t="shared" si="74"/>
        <v>#DIV/0!</v>
      </c>
      <c r="AH412" s="457">
        <f t="shared" si="75"/>
        <v>3168.87</v>
      </c>
      <c r="AI412" s="458">
        <f t="shared" si="76"/>
        <v>0</v>
      </c>
      <c r="AJ412" s="463"/>
      <c r="AK412" s="462">
        <f t="shared" si="77"/>
        <v>0</v>
      </c>
      <c r="AL412" s="455">
        <f>SUMIFS(BV_Data_An_Prec!$AM:$AM,BV_Data_An_Prec!$AQ:$AQ,$V412)</f>
        <v>0</v>
      </c>
      <c r="AM412" s="459">
        <f t="shared" si="80"/>
        <v>30.179714285714283</v>
      </c>
      <c r="AN412" s="457">
        <f t="shared" si="78"/>
        <v>3168.87</v>
      </c>
      <c r="AO412" s="464">
        <f t="shared" si="79"/>
        <v>0</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110</v>
      </c>
      <c r="B413" s="3"/>
      <c r="C413" s="431" t="s">
        <v>591</v>
      </c>
      <c r="V413" s="310" t="s">
        <v>110</v>
      </c>
      <c r="W413" s="461" t="s">
        <v>603</v>
      </c>
      <c r="X413" s="454"/>
      <c r="Y413" s="462" t="e">
        <f t="shared" si="70"/>
        <v>#DIV/0!</v>
      </c>
      <c r="Z413" s="455">
        <f t="shared" si="71"/>
        <v>0</v>
      </c>
      <c r="AA413" s="454"/>
      <c r="AB413" s="462"/>
      <c r="AC413" s="455"/>
      <c r="AD413" s="463"/>
      <c r="AE413" s="462">
        <f t="shared" si="72"/>
        <v>0</v>
      </c>
      <c r="AF413" s="455">
        <f t="shared" si="73"/>
        <v>0</v>
      </c>
      <c r="AG413" s="456" t="e">
        <f t="shared" si="74"/>
        <v>#DIV/0!</v>
      </c>
      <c r="AH413" s="457">
        <f t="shared" si="75"/>
        <v>0</v>
      </c>
      <c r="AI413" s="458">
        <f t="shared" si="76"/>
        <v>0</v>
      </c>
      <c r="AJ413" s="463"/>
      <c r="AK413" s="462">
        <f t="shared" si="77"/>
        <v>0</v>
      </c>
      <c r="AL413" s="455">
        <f>SUMIFS(BV_Data_An_Prec!$AM:$AM,BV_Data_An_Prec!$AQ:$AQ,$V413)</f>
        <v>0</v>
      </c>
      <c r="AM413" s="459">
        <f t="shared" si="80"/>
        <v>0</v>
      </c>
      <c r="AN413" s="457">
        <f t="shared" si="78"/>
        <v>0</v>
      </c>
      <c r="AO413" s="464">
        <f t="shared" si="79"/>
        <v>0</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111</v>
      </c>
      <c r="B414" s="3"/>
      <c r="C414" s="431" t="s">
        <v>591</v>
      </c>
      <c r="V414" s="311" t="s">
        <v>111</v>
      </c>
      <c r="W414" s="465"/>
      <c r="X414" s="438"/>
      <c r="Y414" s="466" t="e">
        <f t="shared" si="70"/>
        <v>#DIV/0!</v>
      </c>
      <c r="Z414" s="439">
        <f t="shared" si="71"/>
        <v>0</v>
      </c>
      <c r="AA414" s="438"/>
      <c r="AB414" s="466"/>
      <c r="AC414" s="439"/>
      <c r="AD414" s="467"/>
      <c r="AE414" s="466">
        <f t="shared" si="72"/>
        <v>6.9690476190476192</v>
      </c>
      <c r="AF414" s="439">
        <f t="shared" si="73"/>
        <v>731.75</v>
      </c>
      <c r="AG414" s="440" t="e">
        <f t="shared" si="74"/>
        <v>#DIV/0!</v>
      </c>
      <c r="AH414" s="441">
        <f t="shared" si="75"/>
        <v>731.75</v>
      </c>
      <c r="AI414" s="468">
        <f t="shared" si="76"/>
        <v>0</v>
      </c>
      <c r="AJ414" s="467"/>
      <c r="AK414" s="466">
        <f t="shared" si="77"/>
        <v>0</v>
      </c>
      <c r="AL414" s="439">
        <f>SUMIFS(BV_Data_An_Prec!$AM:$AM,BV_Data_An_Prec!$AQ:$AQ,$V414)</f>
        <v>0</v>
      </c>
      <c r="AM414" s="459">
        <f t="shared" si="80"/>
        <v>6.9690476190476192</v>
      </c>
      <c r="AN414" s="441">
        <f t="shared" si="78"/>
        <v>731.75</v>
      </c>
      <c r="AO414" s="444">
        <f t="shared" si="79"/>
        <v>0</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112</v>
      </c>
      <c r="B415" s="3"/>
      <c r="C415" s="431" t="s">
        <v>591</v>
      </c>
      <c r="V415" s="310" t="s">
        <v>112</v>
      </c>
      <c r="W415" s="461" t="s">
        <v>604</v>
      </c>
      <c r="X415" s="458"/>
      <c r="Y415" s="462" t="e">
        <f t="shared" si="70"/>
        <v>#DIV/0!</v>
      </c>
      <c r="Z415" s="455">
        <f t="shared" si="71"/>
        <v>0</v>
      </c>
      <c r="AA415" s="458"/>
      <c r="AB415" s="462"/>
      <c r="AC415" s="455"/>
      <c r="AD415" s="463"/>
      <c r="AE415" s="462">
        <f t="shared" si="72"/>
        <v>330.36980952380952</v>
      </c>
      <c r="AF415" s="455">
        <f t="shared" si="73"/>
        <v>34688.83</v>
      </c>
      <c r="AG415" s="456" t="e">
        <f t="shared" si="74"/>
        <v>#DIV/0!</v>
      </c>
      <c r="AH415" s="457">
        <f t="shared" si="75"/>
        <v>34688.83</v>
      </c>
      <c r="AI415" s="458">
        <f t="shared" si="76"/>
        <v>0</v>
      </c>
      <c r="AJ415" s="463"/>
      <c r="AK415" s="462">
        <f t="shared" si="77"/>
        <v>0</v>
      </c>
      <c r="AL415" s="455">
        <f>SUMIFS(BV_Data_An_Prec!$AM:$AM,BV_Data_An_Prec!$AQ:$AQ,$V415)</f>
        <v>0</v>
      </c>
      <c r="AM415" s="459">
        <f t="shared" si="80"/>
        <v>330.36980952380952</v>
      </c>
      <c r="AN415" s="457">
        <f t="shared" si="78"/>
        <v>34688.83</v>
      </c>
      <c r="AO415" s="464">
        <f t="shared" si="79"/>
        <v>0</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customHeight="1">
      <c r="A416" s="5" t="s">
        <v>113</v>
      </c>
      <c r="B416" s="3"/>
      <c r="C416" s="431" t="s">
        <v>591</v>
      </c>
      <c r="V416" s="310" t="s">
        <v>113</v>
      </c>
      <c r="W416" s="461" t="s">
        <v>605</v>
      </c>
      <c r="X416" s="454"/>
      <c r="Y416" s="462" t="e">
        <f t="shared" si="70"/>
        <v>#DIV/0!</v>
      </c>
      <c r="Z416" s="455">
        <f t="shared" si="71"/>
        <v>0</v>
      </c>
      <c r="AA416" s="454"/>
      <c r="AB416" s="462"/>
      <c r="AC416" s="455"/>
      <c r="AD416" s="463"/>
      <c r="AE416" s="462">
        <f t="shared" ref="AE416:AE419" si="81">IF(AF416=0,0,AF416/(J$13+J$13))</f>
        <v>150.11540816326533</v>
      </c>
      <c r="AF416" s="455">
        <f t="shared" si="73"/>
        <v>29422.620000000006</v>
      </c>
      <c r="AG416" s="830" t="e">
        <f t="shared" si="74"/>
        <v>#DIV/0!</v>
      </c>
      <c r="AH416" s="778">
        <f t="shared" si="75"/>
        <v>29422.620000000006</v>
      </c>
      <c r="AI416" s="458">
        <f t="shared" si="76"/>
        <v>0</v>
      </c>
      <c r="AJ416" s="463"/>
      <c r="AK416" s="462">
        <f t="shared" ref="AK416:AK419" si="82">IF(AL416=0,0,AL416/(P$13+P$13))</f>
        <v>0</v>
      </c>
      <c r="AL416" s="455">
        <f>SUMIFS(BV_Data_An_Prec!$AM:$AM,BV_Data_An_Prec!$AQ:$AQ,$V416)</f>
        <v>0</v>
      </c>
      <c r="AM416" s="459">
        <f t="shared" si="80"/>
        <v>150.11540816326533</v>
      </c>
      <c r="AN416" s="457">
        <f t="shared" si="78"/>
        <v>29422.620000000006</v>
      </c>
      <c r="AO416" s="464">
        <f t="shared" si="79"/>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55</v>
      </c>
      <c r="B417" s="3"/>
      <c r="C417" s="431" t="s">
        <v>591</v>
      </c>
      <c r="V417" s="310" t="s">
        <v>55</v>
      </c>
      <c r="W417" s="461"/>
      <c r="X417" s="458"/>
      <c r="Y417" s="462" t="e">
        <f t="shared" si="70"/>
        <v>#DIV/0!</v>
      </c>
      <c r="Z417" s="455">
        <f>IFERROR(SUMIF($C:$C,$V417,F:F),0)</f>
        <v>0</v>
      </c>
      <c r="AA417" s="454"/>
      <c r="AB417" s="462"/>
      <c r="AC417" s="455"/>
      <c r="AD417" s="463"/>
      <c r="AE417" s="462">
        <f t="shared" si="81"/>
        <v>0</v>
      </c>
      <c r="AF417" s="455">
        <f>IFERROR(SUMIF($C:$C,$V417,L:L),0)</f>
        <v>0</v>
      </c>
      <c r="AG417" s="456" t="e">
        <f t="shared" si="74"/>
        <v>#DIV/0!</v>
      </c>
      <c r="AH417" s="457">
        <f t="shared" si="75"/>
        <v>0</v>
      </c>
      <c r="AI417" s="458">
        <f t="shared" si="76"/>
        <v>0</v>
      </c>
      <c r="AJ417" s="463"/>
      <c r="AK417" s="462">
        <f t="shared" si="82"/>
        <v>0</v>
      </c>
      <c r="AL417" s="455">
        <f>IFERROR(SUMIF($C:$C,$V417,R:R),0)</f>
        <v>0</v>
      </c>
      <c r="AM417" s="459" t="e">
        <f t="shared" ref="AM417:AM419" si="83">AE417-Y417</f>
        <v>#DIV/0!</v>
      </c>
      <c r="AN417" s="457">
        <f t="shared" si="78"/>
        <v>0</v>
      </c>
      <c r="AO417" s="464">
        <f t="shared" si="79"/>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55</v>
      </c>
      <c r="B418" s="3"/>
      <c r="C418" s="431" t="s">
        <v>591</v>
      </c>
      <c r="V418" s="310" t="s">
        <v>55</v>
      </c>
      <c r="W418" s="461"/>
      <c r="X418" s="458"/>
      <c r="Y418" s="462" t="e">
        <f t="shared" si="70"/>
        <v>#DIV/0!</v>
      </c>
      <c r="Z418" s="455">
        <f>IFERROR(SUMIF($C:$C,$V418,F:F),0)</f>
        <v>0</v>
      </c>
      <c r="AA418" s="454"/>
      <c r="AB418" s="462"/>
      <c r="AC418" s="455"/>
      <c r="AD418" s="463"/>
      <c r="AE418" s="462">
        <f t="shared" si="81"/>
        <v>0</v>
      </c>
      <c r="AF418" s="455">
        <f>IFERROR(SUMIF($C:$C,$V418,L:L),0)</f>
        <v>0</v>
      </c>
      <c r="AG418" s="456" t="e">
        <f t="shared" si="74"/>
        <v>#DIV/0!</v>
      </c>
      <c r="AH418" s="457">
        <f t="shared" si="75"/>
        <v>0</v>
      </c>
      <c r="AI418" s="458">
        <f t="shared" si="76"/>
        <v>0</v>
      </c>
      <c r="AJ418" s="463"/>
      <c r="AK418" s="462">
        <f t="shared" si="82"/>
        <v>0</v>
      </c>
      <c r="AL418" s="455">
        <f>IFERROR(SUMIF($C:$C,$V418,R:R),0)</f>
        <v>0</v>
      </c>
      <c r="AM418" s="459" t="e">
        <f t="shared" si="83"/>
        <v>#DIV/0!</v>
      </c>
      <c r="AN418" s="457">
        <f t="shared" si="78"/>
        <v>0</v>
      </c>
      <c r="AO418" s="464">
        <f t="shared" si="79"/>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
        <v>55</v>
      </c>
      <c r="B419" s="3"/>
      <c r="C419" s="431" t="s">
        <v>591</v>
      </c>
      <c r="V419" s="310" t="s">
        <v>55</v>
      </c>
      <c r="W419" s="461" t="s">
        <v>605</v>
      </c>
      <c r="X419" s="454"/>
      <c r="Y419" s="462" t="e">
        <f t="shared" si="70"/>
        <v>#DIV/0!</v>
      </c>
      <c r="Z419" s="455">
        <f>IFERROR(SUMIF($C:$C,$V419,F:F),0)</f>
        <v>0</v>
      </c>
      <c r="AA419" s="454"/>
      <c r="AB419" s="462"/>
      <c r="AC419" s="455"/>
      <c r="AD419" s="463"/>
      <c r="AE419" s="462">
        <f t="shared" si="81"/>
        <v>0</v>
      </c>
      <c r="AF419" s="455">
        <f>IFERROR(SUMIF($C:$C,$V419,L:L),0)</f>
        <v>0</v>
      </c>
      <c r="AG419" s="456" t="e">
        <f t="shared" si="74"/>
        <v>#DIV/0!</v>
      </c>
      <c r="AH419" s="457">
        <f t="shared" si="75"/>
        <v>0</v>
      </c>
      <c r="AI419" s="458">
        <f t="shared" si="76"/>
        <v>0</v>
      </c>
      <c r="AJ419" s="463"/>
      <c r="AK419" s="462">
        <f t="shared" si="82"/>
        <v>0</v>
      </c>
      <c r="AL419" s="455">
        <f>IFERROR(SUMIF($C:$C,$V419,R:R),0)</f>
        <v>0</v>
      </c>
      <c r="AM419" s="459" t="e">
        <f t="shared" si="83"/>
        <v>#DIV/0!</v>
      </c>
      <c r="AN419" s="457">
        <f t="shared" si="78"/>
        <v>0</v>
      </c>
      <c r="AO419" s="464">
        <f t="shared" si="79"/>
        <v>0</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114</v>
      </c>
      <c r="B420" s="3"/>
      <c r="C420" s="431" t="s">
        <v>591</v>
      </c>
      <c r="V420" s="469" t="s">
        <v>114</v>
      </c>
      <c r="W420" s="470"/>
      <c r="X420" s="471" t="e">
        <f>Z420/Z408</f>
        <v>#DIV/0!</v>
      </c>
      <c r="Y420" s="470"/>
      <c r="Z420" s="472">
        <f>SUM(Z410:Z419)</f>
        <v>0</v>
      </c>
      <c r="AA420" s="471"/>
      <c r="AB420" s="470"/>
      <c r="AC420" s="472"/>
      <c r="AD420" s="473">
        <f>AF420/AF408</f>
        <v>0.23670539795556167</v>
      </c>
      <c r="AE420" s="470"/>
      <c r="AF420" s="472">
        <f>SUM(AF410:AF419)</f>
        <v>207529.68</v>
      </c>
      <c r="AG420" s="474"/>
      <c r="AH420" s="475">
        <f t="shared" ref="AH420:AH452" si="84">AF420-Z420</f>
        <v>207529.68</v>
      </c>
      <c r="AI420" s="471" t="e">
        <f>AH420/Z420</f>
        <v>#DIV/0!</v>
      </c>
      <c r="AJ420" s="473" t="e">
        <f>AL420/AL408</f>
        <v>#DIV/0!</v>
      </c>
      <c r="AK420" s="470"/>
      <c r="AL420" s="1038">
        <f>SUM(AL410:AL419)</f>
        <v>0</v>
      </c>
      <c r="AM420" s="476"/>
      <c r="AN420" s="475">
        <f t="shared" si="78"/>
        <v>207529.68</v>
      </c>
      <c r="AO420" s="452">
        <f t="shared" si="79"/>
        <v>0</v>
      </c>
      <c r="AP420" s="38"/>
      <c r="AQ420" s="38"/>
      <c r="AR420" s="41"/>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200</v>
      </c>
      <c r="B421" s="3"/>
      <c r="C421" s="431" t="s">
        <v>591</v>
      </c>
      <c r="V421" s="310" t="s">
        <v>200</v>
      </c>
      <c r="W421" s="461" t="s">
        <v>606</v>
      </c>
      <c r="X421" s="454"/>
      <c r="Y421" s="454"/>
      <c r="Z421" s="455">
        <f>+INDEX('Budget original'!$A$2:$AO$501,MATCH($A421,'Budget original'!$A$2:$A$501,0),MATCH(F$2,'Budget original'!$A$2:$AO$2,0))</f>
        <v>0</v>
      </c>
      <c r="AA421" s="454"/>
      <c r="AB421" s="454"/>
      <c r="AC421" s="455"/>
      <c r="AD421" s="463"/>
      <c r="AE421" s="462"/>
      <c r="AF421" s="455">
        <f>SUMIFS(BV_Data_An_Cour!$AM:$AM,BV_Data_An_Cour!$AQ:$AQ,$V421)</f>
        <v>0</v>
      </c>
      <c r="AG421" s="456"/>
      <c r="AH421" s="457">
        <f t="shared" si="84"/>
        <v>0</v>
      </c>
      <c r="AI421" s="458">
        <f t="shared" ref="AI421:AI433" si="85">IF(Z421=0,0,AH421/Z421)</f>
        <v>0</v>
      </c>
      <c r="AJ421" s="463"/>
      <c r="AK421" s="462"/>
      <c r="AL421" s="455">
        <f>SUMIFS(BV_Data_An_Prec!$AM:$AM,BV_Data_An_Prec!$AQ:$AQ,$V421)</f>
        <v>0</v>
      </c>
      <c r="AM421" s="459"/>
      <c r="AN421" s="457">
        <f t="shared" si="78"/>
        <v>0</v>
      </c>
      <c r="AO421" s="464">
        <f t="shared" si="79"/>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116</v>
      </c>
      <c r="B422" s="3"/>
      <c r="C422" s="431" t="s">
        <v>591</v>
      </c>
      <c r="V422" s="310" t="s">
        <v>116</v>
      </c>
      <c r="W422" s="461" t="s">
        <v>607</v>
      </c>
      <c r="X422" s="454"/>
      <c r="Y422" s="454"/>
      <c r="Z422" s="455">
        <f t="shared" ref="Z422:Z432" si="86">+SUMIF($C:$C,$V422,F:F)</f>
        <v>0</v>
      </c>
      <c r="AA422" s="454"/>
      <c r="AB422" s="454"/>
      <c r="AC422" s="455"/>
      <c r="AD422" s="463"/>
      <c r="AE422" s="462"/>
      <c r="AF422" s="455">
        <f>+SUMIF($C:$C,$V422,L:L)</f>
        <v>75710.349999999991</v>
      </c>
      <c r="AG422" s="456"/>
      <c r="AH422" s="457">
        <f t="shared" si="84"/>
        <v>75710.349999999991</v>
      </c>
      <c r="AI422" s="458">
        <f t="shared" si="85"/>
        <v>0</v>
      </c>
      <c r="AJ422" s="463"/>
      <c r="AK422" s="462"/>
      <c r="AL422" s="455">
        <f>SUMIFS(BV_Data_An_Prec!$AM:$AM,BV_Data_An_Prec!$AQ:$AQ,$V422)</f>
        <v>0</v>
      </c>
      <c r="AM422" s="459"/>
      <c r="AN422" s="457">
        <f t="shared" si="78"/>
        <v>75710.349999999991</v>
      </c>
      <c r="AO422" s="464">
        <f t="shared" si="79"/>
        <v>0</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117</v>
      </c>
      <c r="B423" s="3"/>
      <c r="C423" s="431" t="s">
        <v>591</v>
      </c>
      <c r="V423" s="311" t="s">
        <v>117</v>
      </c>
      <c r="W423" s="465" t="s">
        <v>608</v>
      </c>
      <c r="X423" s="438"/>
      <c r="Y423" s="438"/>
      <c r="Z423" s="439">
        <f t="shared" si="86"/>
        <v>0</v>
      </c>
      <c r="AA423" s="438"/>
      <c r="AB423" s="438"/>
      <c r="AC423" s="439"/>
      <c r="AD423" s="467"/>
      <c r="AE423" s="466"/>
      <c r="AF423" s="439">
        <f>+SUMIF($C:$C,$V423,L:L)</f>
        <v>0</v>
      </c>
      <c r="AG423" s="440"/>
      <c r="AH423" s="441">
        <f t="shared" si="84"/>
        <v>0</v>
      </c>
      <c r="AI423" s="468">
        <f t="shared" si="85"/>
        <v>0</v>
      </c>
      <c r="AJ423" s="467"/>
      <c r="AK423" s="466"/>
      <c r="AL423" s="439">
        <f>SUMIFS(BV_Data_An_Prec!$AM:$AM,BV_Data_An_Prec!$AQ:$AQ,$V423)</f>
        <v>0</v>
      </c>
      <c r="AM423" s="443"/>
      <c r="AN423" s="441">
        <f t="shared" si="78"/>
        <v>0</v>
      </c>
      <c r="AO423" s="444">
        <f t="shared" si="79"/>
        <v>0</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118</v>
      </c>
      <c r="B424" s="3"/>
      <c r="C424" s="431" t="s">
        <v>591</v>
      </c>
      <c r="V424" s="310" t="s">
        <v>118</v>
      </c>
      <c r="W424" s="461" t="s">
        <v>609</v>
      </c>
      <c r="X424" s="454"/>
      <c r="Y424" s="454"/>
      <c r="Z424" s="455">
        <f t="shared" si="86"/>
        <v>0</v>
      </c>
      <c r="AA424" s="454"/>
      <c r="AB424" s="454"/>
      <c r="AC424" s="455"/>
      <c r="AD424" s="463"/>
      <c r="AE424" s="462"/>
      <c r="AF424" s="455">
        <f>+SUMIF($C:$C,$V424,L:L)</f>
        <v>83196.19</v>
      </c>
      <c r="AG424" s="456"/>
      <c r="AH424" s="457">
        <f t="shared" si="84"/>
        <v>83196.19</v>
      </c>
      <c r="AI424" s="458">
        <f t="shared" si="85"/>
        <v>0</v>
      </c>
      <c r="AJ424" s="463"/>
      <c r="AK424" s="462"/>
      <c r="AL424" s="455">
        <f>SUMIFS(BV_Data_An_Prec!$AM:$AM,BV_Data_An_Prec!$AQ:$AQ,$V424)</f>
        <v>0</v>
      </c>
      <c r="AM424" s="459"/>
      <c r="AN424" s="457">
        <f t="shared" si="78"/>
        <v>83196.19</v>
      </c>
      <c r="AO424" s="464">
        <f t="shared" si="79"/>
        <v>0</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5" t="s">
        <v>119</v>
      </c>
      <c r="B425" s="3"/>
      <c r="C425" s="431" t="s">
        <v>591</v>
      </c>
      <c r="V425" s="310" t="s">
        <v>119</v>
      </c>
      <c r="W425" s="461" t="s">
        <v>610</v>
      </c>
      <c r="X425" s="454"/>
      <c r="Y425" s="454"/>
      <c r="Z425" s="455">
        <f t="shared" si="86"/>
        <v>0</v>
      </c>
      <c r="AA425" s="454"/>
      <c r="AB425" s="454"/>
      <c r="AC425" s="455"/>
      <c r="AD425" s="463"/>
      <c r="AE425" s="462"/>
      <c r="AF425" s="455">
        <f>+SUMIF($C:$C,$V425,L:L)</f>
        <v>0</v>
      </c>
      <c r="AG425" s="456"/>
      <c r="AH425" s="457">
        <f t="shared" si="84"/>
        <v>0</v>
      </c>
      <c r="AI425" s="458">
        <f t="shared" si="85"/>
        <v>0</v>
      </c>
      <c r="AJ425" s="463"/>
      <c r="AK425" s="462"/>
      <c r="AL425" s="455">
        <f>SUMIFS(BV_Data_An_Prec!$AM:$AM,BV_Data_An_Prec!$AQ:$AQ,$V425)</f>
        <v>0</v>
      </c>
      <c r="AM425" s="459"/>
      <c r="AN425" s="457">
        <f t="shared" si="78"/>
        <v>0</v>
      </c>
      <c r="AO425" s="464">
        <f t="shared" si="79"/>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55</v>
      </c>
      <c r="B426" s="3"/>
      <c r="C426" s="431" t="s">
        <v>591</v>
      </c>
      <c r="V426" s="310" t="s">
        <v>55</v>
      </c>
      <c r="W426" s="461"/>
      <c r="X426" s="454"/>
      <c r="Y426" s="454"/>
      <c r="Z426" s="455">
        <f t="shared" si="86"/>
        <v>0</v>
      </c>
      <c r="AA426" s="454"/>
      <c r="AB426" s="454"/>
      <c r="AC426" s="455"/>
      <c r="AD426" s="463"/>
      <c r="AE426" s="462"/>
      <c r="AF426" s="455">
        <f>IFERROR(SUMIF($C:$C,$V426,L:L),0)</f>
        <v>0</v>
      </c>
      <c r="AG426" s="456"/>
      <c r="AH426" s="457">
        <f t="shared" si="84"/>
        <v>0</v>
      </c>
      <c r="AI426" s="458">
        <f t="shared" si="85"/>
        <v>0</v>
      </c>
      <c r="AJ426" s="463"/>
      <c r="AK426" s="462"/>
      <c r="AL426" s="455">
        <f>SUMIFS(BV_Data_An_Prec!$AM:$AM,BV_Data_An_Prec!$AQ:$AQ,$V426)</f>
        <v>0</v>
      </c>
      <c r="AM426" s="459"/>
      <c r="AN426" s="457">
        <f t="shared" si="78"/>
        <v>0</v>
      </c>
      <c r="AO426" s="464">
        <f t="shared" si="79"/>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55</v>
      </c>
      <c r="B427" s="3"/>
      <c r="C427" s="431" t="s">
        <v>591</v>
      </c>
      <c r="V427" s="310" t="s">
        <v>55</v>
      </c>
      <c r="W427" s="461"/>
      <c r="X427" s="454"/>
      <c r="Y427" s="454"/>
      <c r="Z427" s="455">
        <f t="shared" si="86"/>
        <v>0</v>
      </c>
      <c r="AA427" s="454"/>
      <c r="AB427" s="454"/>
      <c r="AC427" s="455"/>
      <c r="AD427" s="463"/>
      <c r="AE427" s="462"/>
      <c r="AF427" s="455">
        <f>IFERROR(SUMIF($C:$C,$V427,L:L),0)</f>
        <v>0</v>
      </c>
      <c r="AG427" s="456"/>
      <c r="AH427" s="457">
        <f t="shared" si="84"/>
        <v>0</v>
      </c>
      <c r="AI427" s="458">
        <f t="shared" si="85"/>
        <v>0</v>
      </c>
      <c r="AJ427" s="463"/>
      <c r="AK427" s="462"/>
      <c r="AL427" s="455">
        <f>SUMIFS(BV_Data_An_Prec!$AM:$AM,BV_Data_An_Prec!$AQ:$AQ,$V427)</f>
        <v>0</v>
      </c>
      <c r="AM427" s="459"/>
      <c r="AN427" s="457">
        <f t="shared" si="78"/>
        <v>0</v>
      </c>
      <c r="AO427" s="464">
        <f t="shared" si="79"/>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
        <v>55</v>
      </c>
      <c r="B428" s="3"/>
      <c r="C428" s="431" t="s">
        <v>591</v>
      </c>
      <c r="V428" s="310" t="s">
        <v>55</v>
      </c>
      <c r="W428" s="461"/>
      <c r="X428" s="454"/>
      <c r="Y428" s="454"/>
      <c r="Z428" s="455">
        <f t="shared" si="86"/>
        <v>0</v>
      </c>
      <c r="AA428" s="454"/>
      <c r="AB428" s="454"/>
      <c r="AC428" s="455"/>
      <c r="AD428" s="463"/>
      <c r="AE428" s="462"/>
      <c r="AF428" s="455">
        <f>IFERROR(SUMIF($C:$C,$V428,L:L),0)</f>
        <v>0</v>
      </c>
      <c r="AG428" s="456"/>
      <c r="AH428" s="457">
        <f t="shared" si="84"/>
        <v>0</v>
      </c>
      <c r="AI428" s="458">
        <f t="shared" si="85"/>
        <v>0</v>
      </c>
      <c r="AJ428" s="463"/>
      <c r="AK428" s="462"/>
      <c r="AL428" s="455">
        <f>SUMIFS(BV_Data_An_Prec!$AM:$AM,BV_Data_An_Prec!$AQ:$AQ,$V428)</f>
        <v>0</v>
      </c>
      <c r="AM428" s="459"/>
      <c r="AN428" s="457">
        <f t="shared" si="78"/>
        <v>0</v>
      </c>
      <c r="AO428" s="464">
        <f t="shared" si="79"/>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120</v>
      </c>
      <c r="B429" s="3"/>
      <c r="C429" s="431" t="s">
        <v>591</v>
      </c>
      <c r="V429" s="311" t="s">
        <v>120</v>
      </c>
      <c r="W429" s="465" t="s">
        <v>611</v>
      </c>
      <c r="X429" s="438"/>
      <c r="Y429" s="868" t="e">
        <f>Z429/(SUM(Z421:Z425)+E195-F195+Z410+Z411)</f>
        <v>#DIV/0!</v>
      </c>
      <c r="Z429" s="439">
        <f t="shared" si="86"/>
        <v>0</v>
      </c>
      <c r="AA429" s="438"/>
      <c r="AB429" s="438"/>
      <c r="AC429" s="439"/>
      <c r="AD429" s="467"/>
      <c r="AE429" s="466"/>
      <c r="AF429" s="439">
        <f>+SUMIF($C:$C,$V429,L:L)</f>
        <v>28030.720000000008</v>
      </c>
      <c r="AG429" s="440"/>
      <c r="AH429" s="441">
        <f t="shared" si="84"/>
        <v>28030.720000000008</v>
      </c>
      <c r="AI429" s="468">
        <f t="shared" si="85"/>
        <v>0</v>
      </c>
      <c r="AJ429" s="467"/>
      <c r="AK429" s="466"/>
      <c r="AL429" s="439">
        <f>SUMIFS(BV_Data_An_Prec!$AM:$AM,BV_Data_An_Prec!$AQ:$AQ,$V429)</f>
        <v>0</v>
      </c>
      <c r="AM429" s="443"/>
      <c r="AN429" s="441">
        <f t="shared" si="78"/>
        <v>28030.720000000008</v>
      </c>
      <c r="AO429" s="444">
        <f t="shared" si="79"/>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121</v>
      </c>
      <c r="B430" s="3"/>
      <c r="C430" s="431" t="s">
        <v>591</v>
      </c>
      <c r="V430" s="310" t="s">
        <v>121</v>
      </c>
      <c r="W430" s="461" t="s">
        <v>612</v>
      </c>
      <c r="X430" s="454"/>
      <c r="Y430" s="869" t="e">
        <f>Z430/(SUM(Z421:Z425)+E195-F195+Z410+Z411)</f>
        <v>#DIV/0!</v>
      </c>
      <c r="Z430" s="455">
        <f t="shared" si="86"/>
        <v>0</v>
      </c>
      <c r="AA430" s="454"/>
      <c r="AB430" s="454"/>
      <c r="AC430" s="455"/>
      <c r="AD430" s="463"/>
      <c r="AE430" s="462"/>
      <c r="AF430" s="455">
        <f>+SUMIF($C:$C,$V430,L:L)</f>
        <v>48335.030000000013</v>
      </c>
      <c r="AG430" s="456"/>
      <c r="AH430" s="457">
        <f t="shared" si="84"/>
        <v>48335.030000000013</v>
      </c>
      <c r="AI430" s="458">
        <f t="shared" si="85"/>
        <v>0</v>
      </c>
      <c r="AJ430" s="463"/>
      <c r="AK430" s="462"/>
      <c r="AL430" s="455">
        <f>SUMIFS(BV_Data_An_Prec!$AM:$AM,BV_Data_An_Prec!$AQ:$AQ,$V430)</f>
        <v>0</v>
      </c>
      <c r="AM430" s="459"/>
      <c r="AN430" s="457">
        <f t="shared" si="78"/>
        <v>48335.030000000013</v>
      </c>
      <c r="AO430" s="464">
        <f t="shared" si="79"/>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122</v>
      </c>
      <c r="B431" s="3"/>
      <c r="C431" s="431" t="s">
        <v>591</v>
      </c>
      <c r="V431" s="310" t="s">
        <v>122</v>
      </c>
      <c r="W431" s="461" t="s">
        <v>613</v>
      </c>
      <c r="X431" s="454"/>
      <c r="Y431" s="869" t="e">
        <f>Z431/(SUM(Z421:Z425)+E195-F195+Z411+Z410)</f>
        <v>#DIV/0!</v>
      </c>
      <c r="Z431" s="455">
        <f t="shared" si="86"/>
        <v>0</v>
      </c>
      <c r="AA431" s="454"/>
      <c r="AB431" s="454"/>
      <c r="AC431" s="455"/>
      <c r="AD431" s="463"/>
      <c r="AE431" s="462"/>
      <c r="AF431" s="455">
        <f>+SUMIF($C:$C,$V431,L:L)</f>
        <v>3726.3100000000004</v>
      </c>
      <c r="AG431" s="456"/>
      <c r="AH431" s="457">
        <f t="shared" si="84"/>
        <v>3726.3100000000004</v>
      </c>
      <c r="AI431" s="458">
        <f t="shared" si="85"/>
        <v>0</v>
      </c>
      <c r="AJ431" s="463"/>
      <c r="AK431" s="462"/>
      <c r="AL431" s="455">
        <f>SUMIFS(BV_Data_An_Prec!$AM:$AM,BV_Data_An_Prec!$AQ:$AQ,$V431)</f>
        <v>0</v>
      </c>
      <c r="AM431" s="459"/>
      <c r="AN431" s="457">
        <f t="shared" si="78"/>
        <v>3726.3100000000004</v>
      </c>
      <c r="AO431" s="464">
        <f t="shared" si="79"/>
        <v>0</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5" t="s">
        <v>123</v>
      </c>
      <c r="B432" s="3"/>
      <c r="C432" s="431" t="s">
        <v>591</v>
      </c>
      <c r="V432" s="310" t="s">
        <v>123</v>
      </c>
      <c r="W432" s="461"/>
      <c r="X432" s="454"/>
      <c r="Y432" s="454"/>
      <c r="Z432" s="455">
        <f t="shared" si="86"/>
        <v>0</v>
      </c>
      <c r="AA432" s="454"/>
      <c r="AB432" s="454"/>
      <c r="AC432" s="455"/>
      <c r="AD432" s="463"/>
      <c r="AE432" s="462"/>
      <c r="AF432" s="455">
        <f>+SUMIF($C:$C,$V432,L:L)</f>
        <v>0</v>
      </c>
      <c r="AG432" s="456"/>
      <c r="AH432" s="457">
        <f t="shared" si="84"/>
        <v>0</v>
      </c>
      <c r="AI432" s="477">
        <f t="shared" si="85"/>
        <v>0</v>
      </c>
      <c r="AJ432" s="463"/>
      <c r="AK432" s="462"/>
      <c r="AL432" s="455">
        <f>SUMIFS(BV_Data_An_Prec!$AM:$AM,BV_Data_An_Prec!$AQ:$AQ,$V432)</f>
        <v>0</v>
      </c>
      <c r="AM432" s="459"/>
      <c r="AN432" s="457">
        <f t="shared" si="78"/>
        <v>0</v>
      </c>
      <c r="AO432" s="464">
        <f t="shared" si="79"/>
        <v>0</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hidden="1" customHeight="1">
      <c r="A433" s="5" t="s">
        <v>55</v>
      </c>
      <c r="B433" s="3"/>
      <c r="C433" s="431" t="s">
        <v>591</v>
      </c>
      <c r="V433" s="252" t="s">
        <v>55</v>
      </c>
      <c r="W433" s="461"/>
      <c r="X433" s="454"/>
      <c r="Y433" s="462"/>
      <c r="Z433" s="455">
        <f>IFERROR(SUMIF($C:$C,$V433,F:F),0)</f>
        <v>0</v>
      </c>
      <c r="AA433" s="454"/>
      <c r="AB433" s="454"/>
      <c r="AC433" s="455"/>
      <c r="AD433" s="463"/>
      <c r="AE433" s="462"/>
      <c r="AF433" s="455">
        <f>IFERROR(SUMIF($C:$C,$V433,L:L),0)</f>
        <v>0</v>
      </c>
      <c r="AG433" s="456"/>
      <c r="AH433" s="457">
        <f t="shared" si="84"/>
        <v>0</v>
      </c>
      <c r="AI433" s="458">
        <f t="shared" si="85"/>
        <v>0</v>
      </c>
      <c r="AJ433" s="463"/>
      <c r="AK433" s="462"/>
      <c r="AL433" s="455">
        <f>IFERROR(SUMIF($C:$C,$V433,R:R),0)</f>
        <v>0</v>
      </c>
      <c r="AM433" s="459"/>
      <c r="AN433" s="457"/>
      <c r="AO433" s="444"/>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124</v>
      </c>
      <c r="B434" s="3"/>
      <c r="C434" s="431" t="s">
        <v>591</v>
      </c>
      <c r="V434" s="469" t="s">
        <v>124</v>
      </c>
      <c r="W434" s="470"/>
      <c r="X434" s="471" t="e">
        <f>Z434/Z408</f>
        <v>#DIV/0!</v>
      </c>
      <c r="Y434" s="470"/>
      <c r="Z434" s="472">
        <f>SUM(Z421:Z433)</f>
        <v>0</v>
      </c>
      <c r="AA434" s="471"/>
      <c r="AB434" s="470"/>
      <c r="AC434" s="472"/>
      <c r="AD434" s="473">
        <f>AF434/AF408</f>
        <v>0.27259840001594998</v>
      </c>
      <c r="AE434" s="478"/>
      <c r="AF434" s="472">
        <f>SUM(AF421:AF433)</f>
        <v>238998.59999999998</v>
      </c>
      <c r="AG434" s="474"/>
      <c r="AH434" s="475">
        <f t="shared" si="84"/>
        <v>238998.59999999998</v>
      </c>
      <c r="AI434" s="471" t="e">
        <f>AH434/Z434</f>
        <v>#DIV/0!</v>
      </c>
      <c r="AJ434" s="473" t="e">
        <f>AL434/AL408</f>
        <v>#DIV/0!</v>
      </c>
      <c r="AK434" s="478"/>
      <c r="AL434" s="1038">
        <f>SUM(AL421:AL433)</f>
        <v>0</v>
      </c>
      <c r="AM434" s="480"/>
      <c r="AN434" s="475">
        <f t="shared" ref="AN434:AN452" si="87">AF434-AL434</f>
        <v>238998.59999999998</v>
      </c>
      <c r="AO434" s="452">
        <f t="shared" ref="AO434:AO462" si="88">IF(AL434=0,0,AN434/AL434)</f>
        <v>0</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125</v>
      </c>
      <c r="B435" s="3"/>
      <c r="C435" s="431" t="s">
        <v>591</v>
      </c>
      <c r="V435" s="404" t="s">
        <v>125</v>
      </c>
      <c r="W435" s="481" t="s">
        <v>604</v>
      </c>
      <c r="X435" s="482"/>
      <c r="Y435" s="482"/>
      <c r="Z435" s="483">
        <f t="shared" ref="Z435:Z449" si="89">+SUMIF($C:$C,$V435,F:F)</f>
        <v>0</v>
      </c>
      <c r="AA435" s="482"/>
      <c r="AB435" s="482"/>
      <c r="AC435" s="483"/>
      <c r="AD435" s="484"/>
      <c r="AE435" s="485"/>
      <c r="AF435" s="483">
        <f t="shared" ref="AF435:AF448" si="90">+SUMIF($C:$C,$V435,L:L)</f>
        <v>10954.159999999996</v>
      </c>
      <c r="AG435" s="484"/>
      <c r="AH435" s="486">
        <f t="shared" si="84"/>
        <v>10954.159999999996</v>
      </c>
      <c r="AI435" s="487">
        <f t="shared" ref="AI435:AI452" si="91">IF(Z435=0,0,AH435/Z435)</f>
        <v>0</v>
      </c>
      <c r="AJ435" s="484"/>
      <c r="AK435" s="485"/>
      <c r="AL435" s="483">
        <f>SUMIFS(BV_Data_An_Prec!$AM:$AM,BV_Data_An_Prec!$AQ:$AQ,$V435)</f>
        <v>0</v>
      </c>
      <c r="AM435" s="488"/>
      <c r="AN435" s="486">
        <f t="shared" si="87"/>
        <v>10954.159999999996</v>
      </c>
      <c r="AO435" s="460">
        <f t="shared" si="88"/>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126</v>
      </c>
      <c r="B436" s="3"/>
      <c r="C436" s="431" t="s">
        <v>591</v>
      </c>
      <c r="V436" s="310" t="s">
        <v>126</v>
      </c>
      <c r="W436" s="461" t="s">
        <v>614</v>
      </c>
      <c r="X436" s="454"/>
      <c r="Y436" s="454"/>
      <c r="Z436" s="455">
        <f t="shared" si="89"/>
        <v>0</v>
      </c>
      <c r="AA436" s="454"/>
      <c r="AB436" s="454"/>
      <c r="AC436" s="455"/>
      <c r="AD436" s="463"/>
      <c r="AE436" s="462"/>
      <c r="AF436" s="455">
        <f t="shared" si="90"/>
        <v>0</v>
      </c>
      <c r="AG436" s="456"/>
      <c r="AH436" s="457">
        <f t="shared" si="84"/>
        <v>0</v>
      </c>
      <c r="AI436" s="458">
        <f t="shared" si="91"/>
        <v>0</v>
      </c>
      <c r="AJ436" s="463"/>
      <c r="AK436" s="462"/>
      <c r="AL436" s="455">
        <f>SUMIFS(BV_Data_An_Prec!$AM:$AM,BV_Data_An_Prec!$AQ:$AQ,$V436)</f>
        <v>0</v>
      </c>
      <c r="AM436" s="459"/>
      <c r="AN436" s="457">
        <f t="shared" si="87"/>
        <v>0</v>
      </c>
      <c r="AO436" s="464">
        <f t="shared" si="88"/>
        <v>0</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127</v>
      </c>
      <c r="B437" s="3"/>
      <c r="C437" s="431" t="s">
        <v>591</v>
      </c>
      <c r="U437" s="489"/>
      <c r="V437" s="311" t="s">
        <v>127</v>
      </c>
      <c r="W437" s="465" t="s">
        <v>615</v>
      </c>
      <c r="X437" s="438"/>
      <c r="Y437" s="438"/>
      <c r="Z437" s="439">
        <f t="shared" si="89"/>
        <v>0</v>
      </c>
      <c r="AA437" s="438"/>
      <c r="AB437" s="438"/>
      <c r="AC437" s="439"/>
      <c r="AD437" s="467"/>
      <c r="AE437" s="466"/>
      <c r="AF437" s="439">
        <f t="shared" si="90"/>
        <v>909.87999999999954</v>
      </c>
      <c r="AG437" s="440"/>
      <c r="AH437" s="441">
        <f t="shared" si="84"/>
        <v>909.87999999999954</v>
      </c>
      <c r="AI437" s="468">
        <f t="shared" si="91"/>
        <v>0</v>
      </c>
      <c r="AJ437" s="467"/>
      <c r="AK437" s="466"/>
      <c r="AL437" s="439">
        <f>SUMIFS(BV_Data_An_Prec!$AM:$AM,BV_Data_An_Prec!$AQ:$AQ,$V437)</f>
        <v>0</v>
      </c>
      <c r="AM437" s="443"/>
      <c r="AN437" s="441">
        <f t="shared" si="87"/>
        <v>909.87999999999954</v>
      </c>
      <c r="AO437" s="444">
        <f t="shared" si="88"/>
        <v>0</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128</v>
      </c>
      <c r="B438" s="3"/>
      <c r="C438" s="431" t="s">
        <v>591</v>
      </c>
      <c r="U438" s="489"/>
      <c r="V438" s="310" t="s">
        <v>128</v>
      </c>
      <c r="W438" s="461" t="s">
        <v>616</v>
      </c>
      <c r="X438" s="454"/>
      <c r="Y438" s="454"/>
      <c r="Z438" s="455">
        <f t="shared" si="89"/>
        <v>0</v>
      </c>
      <c r="AA438" s="454"/>
      <c r="AB438" s="454"/>
      <c r="AC438" s="455"/>
      <c r="AD438" s="463"/>
      <c r="AE438" s="462"/>
      <c r="AF438" s="455">
        <f t="shared" si="90"/>
        <v>5605.1799999999994</v>
      </c>
      <c r="AG438" s="456"/>
      <c r="AH438" s="457">
        <f t="shared" si="84"/>
        <v>5605.1799999999994</v>
      </c>
      <c r="AI438" s="458">
        <f t="shared" si="91"/>
        <v>0</v>
      </c>
      <c r="AJ438" s="463"/>
      <c r="AK438" s="462"/>
      <c r="AL438" s="455">
        <f>SUMIFS(BV_Data_An_Prec!$AM:$AM,BV_Data_An_Prec!$AQ:$AQ,$V438)</f>
        <v>0</v>
      </c>
      <c r="AM438" s="459"/>
      <c r="AN438" s="457">
        <f t="shared" si="87"/>
        <v>5605.1799999999994</v>
      </c>
      <c r="AO438" s="464">
        <f t="shared" si="88"/>
        <v>0</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129</v>
      </c>
      <c r="B439" s="3"/>
      <c r="C439" s="431" t="s">
        <v>591</v>
      </c>
      <c r="U439" s="489"/>
      <c r="V439" s="310" t="s">
        <v>129</v>
      </c>
      <c r="W439" s="461" t="s">
        <v>617</v>
      </c>
      <c r="X439" s="454"/>
      <c r="Y439" s="454"/>
      <c r="Z439" s="455">
        <f t="shared" si="89"/>
        <v>0</v>
      </c>
      <c r="AA439" s="454"/>
      <c r="AB439" s="454"/>
      <c r="AC439" s="455"/>
      <c r="AD439" s="463"/>
      <c r="AE439" s="462"/>
      <c r="AF439" s="455">
        <f t="shared" si="90"/>
        <v>3268.2200000000012</v>
      </c>
      <c r="AG439" s="456"/>
      <c r="AH439" s="457">
        <f t="shared" si="84"/>
        <v>3268.2200000000012</v>
      </c>
      <c r="AI439" s="458">
        <f t="shared" si="91"/>
        <v>0</v>
      </c>
      <c r="AJ439" s="463"/>
      <c r="AK439" s="462"/>
      <c r="AL439" s="455">
        <f>SUMIFS(BV_Data_An_Prec!$AM:$AM,BV_Data_An_Prec!$AQ:$AQ,$V439)</f>
        <v>0</v>
      </c>
      <c r="AM439" s="459"/>
      <c r="AN439" s="457">
        <f t="shared" si="87"/>
        <v>3268.2200000000012</v>
      </c>
      <c r="AO439" s="464">
        <f t="shared" si="88"/>
        <v>0</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A440" s="5" t="s">
        <v>130</v>
      </c>
      <c r="B440" s="3"/>
      <c r="C440" s="431" t="s">
        <v>591</v>
      </c>
      <c r="V440" s="310" t="s">
        <v>130</v>
      </c>
      <c r="W440" s="461" t="s">
        <v>618</v>
      </c>
      <c r="X440" s="454"/>
      <c r="Y440" s="454"/>
      <c r="Z440" s="455">
        <f t="shared" si="89"/>
        <v>0</v>
      </c>
      <c r="AA440" s="454"/>
      <c r="AB440" s="454"/>
      <c r="AC440" s="455"/>
      <c r="AD440" s="463"/>
      <c r="AE440" s="462"/>
      <c r="AF440" s="455">
        <f>SUMIFS(BV_Data_An_Cour!$AM:$AM,BV_Data_An_Cour!$AQ:$AQ,$V440)</f>
        <v>30984.360000000015</v>
      </c>
      <c r="AG440" s="456"/>
      <c r="AH440" s="457">
        <f t="shared" si="84"/>
        <v>30984.360000000015</v>
      </c>
      <c r="AI440" s="458">
        <f t="shared" si="91"/>
        <v>0</v>
      </c>
      <c r="AJ440" s="463"/>
      <c r="AK440" s="462"/>
      <c r="AL440" s="455">
        <f>SUMIFS(BV_Data_An_Prec!$AM:$AM,BV_Data_An_Prec!$AQ:$AQ,$V440)</f>
        <v>0</v>
      </c>
      <c r="AM440" s="459"/>
      <c r="AN440" s="457">
        <f t="shared" si="87"/>
        <v>30984.360000000015</v>
      </c>
      <c r="AO440" s="464">
        <f t="shared" si="88"/>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B441" s="3"/>
      <c r="C441" s="431" t="s">
        <v>591</v>
      </c>
      <c r="V441" s="404" t="s">
        <v>483</v>
      </c>
      <c r="W441" s="481"/>
      <c r="X441" s="482"/>
      <c r="Y441" s="482"/>
      <c r="Z441" s="483">
        <f t="shared" si="89"/>
        <v>0</v>
      </c>
      <c r="AA441" s="482"/>
      <c r="AB441" s="482"/>
      <c r="AC441" s="483"/>
      <c r="AD441" s="484"/>
      <c r="AE441" s="485"/>
      <c r="AF441" s="483">
        <f t="shared" si="90"/>
        <v>4957.3700000000026</v>
      </c>
      <c r="AG441" s="490"/>
      <c r="AH441" s="486">
        <f t="shared" si="84"/>
        <v>4957.3700000000026</v>
      </c>
      <c r="AI441" s="487">
        <f t="shared" si="91"/>
        <v>0</v>
      </c>
      <c r="AJ441" s="484"/>
      <c r="AK441" s="485"/>
      <c r="AL441" s="483">
        <f>SUMIFS(BV_Data_An_Prec!$AM:$AM,BV_Data_An_Prec!$AQ:$AQ,$V441)</f>
        <v>0</v>
      </c>
      <c r="AM441" s="488"/>
      <c r="AN441" s="486">
        <f t="shared" si="87"/>
        <v>4957.3700000000026</v>
      </c>
      <c r="AO441" s="460">
        <f t="shared" si="88"/>
        <v>0</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2" ht="15.75" customHeight="1">
      <c r="A442" s="5" t="s">
        <v>131</v>
      </c>
      <c r="B442" s="3"/>
      <c r="C442" s="431" t="s">
        <v>591</v>
      </c>
      <c r="V442" s="310" t="s">
        <v>131</v>
      </c>
      <c r="W442" s="461" t="s">
        <v>619</v>
      </c>
      <c r="X442" s="454"/>
      <c r="Y442" s="462"/>
      <c r="Z442" s="455">
        <f t="shared" si="89"/>
        <v>0</v>
      </c>
      <c r="AA442" s="454"/>
      <c r="AB442" s="462"/>
      <c r="AC442" s="455"/>
      <c r="AD442" s="463"/>
      <c r="AE442" s="462"/>
      <c r="AF442" s="455">
        <f t="shared" si="90"/>
        <v>0</v>
      </c>
      <c r="AG442" s="456"/>
      <c r="AH442" s="457">
        <f t="shared" si="84"/>
        <v>0</v>
      </c>
      <c r="AI442" s="458">
        <f t="shared" si="91"/>
        <v>0</v>
      </c>
      <c r="AJ442" s="463"/>
      <c r="AK442" s="462"/>
      <c r="AL442" s="455">
        <f>SUMIFS(BV_Data_An_Prec!$AM:$AM,BV_Data_An_Prec!$AQ:$AQ,$V442)</f>
        <v>0</v>
      </c>
      <c r="AM442" s="459"/>
      <c r="AN442" s="457">
        <f t="shared" si="87"/>
        <v>0</v>
      </c>
      <c r="AO442" s="464">
        <f t="shared" si="88"/>
        <v>0</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132</v>
      </c>
      <c r="B443" s="3"/>
      <c r="C443" s="431" t="s">
        <v>591</v>
      </c>
      <c r="U443" s="38"/>
      <c r="V443" s="310" t="s">
        <v>132</v>
      </c>
      <c r="W443" s="461" t="s">
        <v>620</v>
      </c>
      <c r="X443" s="454"/>
      <c r="Y443" s="454"/>
      <c r="Z443" s="455">
        <f t="shared" si="89"/>
        <v>0</v>
      </c>
      <c r="AA443" s="454"/>
      <c r="AB443" s="454"/>
      <c r="AC443" s="455"/>
      <c r="AD443" s="463"/>
      <c r="AE443" s="462"/>
      <c r="AF443" s="455">
        <f t="shared" si="90"/>
        <v>2045.8600000000006</v>
      </c>
      <c r="AG443" s="456"/>
      <c r="AH443" s="457">
        <f t="shared" si="84"/>
        <v>2045.8600000000006</v>
      </c>
      <c r="AI443" s="477">
        <f t="shared" si="91"/>
        <v>0</v>
      </c>
      <c r="AJ443" s="463"/>
      <c r="AK443" s="462"/>
      <c r="AL443" s="455">
        <f>SUMIFS(BV_Data_An_Prec!$AM:$AM,BV_Data_An_Prec!$AQ:$AQ,$V443)</f>
        <v>0</v>
      </c>
      <c r="AM443" s="459"/>
      <c r="AN443" s="457">
        <f t="shared" si="87"/>
        <v>2045.8600000000006</v>
      </c>
      <c r="AO443" s="464">
        <f t="shared" si="88"/>
        <v>0</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133</v>
      </c>
      <c r="B444" s="3"/>
      <c r="C444" s="431" t="s">
        <v>591</v>
      </c>
      <c r="T444" s="38"/>
      <c r="U444" s="38"/>
      <c r="V444" s="310" t="s">
        <v>133</v>
      </c>
      <c r="W444" s="461" t="s">
        <v>621</v>
      </c>
      <c r="X444" s="454"/>
      <c r="Y444" s="454"/>
      <c r="Z444" s="455">
        <f t="shared" si="89"/>
        <v>0</v>
      </c>
      <c r="AA444" s="454"/>
      <c r="AB444" s="454"/>
      <c r="AC444" s="455"/>
      <c r="AD444" s="463"/>
      <c r="AE444" s="462"/>
      <c r="AF444" s="455">
        <f t="shared" si="90"/>
        <v>2887.68</v>
      </c>
      <c r="AG444" s="456"/>
      <c r="AH444" s="457">
        <f t="shared" si="84"/>
        <v>2887.68</v>
      </c>
      <c r="AI444" s="458">
        <f t="shared" si="91"/>
        <v>0</v>
      </c>
      <c r="AJ444" s="463"/>
      <c r="AK444" s="462"/>
      <c r="AL444" s="455">
        <f>SUMIFS(BV_Data_An_Prec!$AM:$AM,BV_Data_An_Prec!$AQ:$AQ,$V444)</f>
        <v>0</v>
      </c>
      <c r="AM444" s="459"/>
      <c r="AN444" s="457">
        <f t="shared" si="87"/>
        <v>2887.68</v>
      </c>
      <c r="AO444" s="464">
        <f t="shared" si="88"/>
        <v>0</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134</v>
      </c>
      <c r="B445" s="3"/>
      <c r="C445" s="431" t="s">
        <v>591</v>
      </c>
      <c r="T445" s="38"/>
      <c r="U445" s="38"/>
      <c r="V445" s="310" t="s">
        <v>134</v>
      </c>
      <c r="W445" s="461" t="s">
        <v>622</v>
      </c>
      <c r="X445" s="454"/>
      <c r="Y445" s="454"/>
      <c r="Z445" s="455">
        <f t="shared" si="89"/>
        <v>0</v>
      </c>
      <c r="AA445" s="454"/>
      <c r="AB445" s="454"/>
      <c r="AC445" s="455"/>
      <c r="AD445" s="463"/>
      <c r="AE445" s="462"/>
      <c r="AF445" s="455">
        <f t="shared" si="90"/>
        <v>224.3900000000001</v>
      </c>
      <c r="AG445" s="456"/>
      <c r="AH445" s="457">
        <f t="shared" si="84"/>
        <v>224.3900000000001</v>
      </c>
      <c r="AI445" s="477">
        <f t="shared" si="91"/>
        <v>0</v>
      </c>
      <c r="AJ445" s="463"/>
      <c r="AK445" s="462"/>
      <c r="AL445" s="455">
        <f>SUMIFS(BV_Data_An_Prec!$AM:$AM,BV_Data_An_Prec!$AQ:$AQ,$V445)</f>
        <v>0</v>
      </c>
      <c r="AM445" s="459"/>
      <c r="AN445" s="457">
        <f t="shared" si="87"/>
        <v>224.3900000000001</v>
      </c>
      <c r="AO445" s="464">
        <f t="shared" si="88"/>
        <v>0</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135</v>
      </c>
      <c r="B446" s="3"/>
      <c r="C446" s="431" t="s">
        <v>591</v>
      </c>
      <c r="T446" s="38"/>
      <c r="U446" s="38"/>
      <c r="V446" s="310" t="s">
        <v>135</v>
      </c>
      <c r="W446" s="461" t="s">
        <v>623</v>
      </c>
      <c r="X446" s="454"/>
      <c r="Y446" s="454"/>
      <c r="Z446" s="455">
        <f t="shared" si="89"/>
        <v>0</v>
      </c>
      <c r="AA446" s="454"/>
      <c r="AB446" s="454"/>
      <c r="AC446" s="455"/>
      <c r="AD446" s="463"/>
      <c r="AE446" s="462"/>
      <c r="AF446" s="455">
        <f t="shared" si="90"/>
        <v>0</v>
      </c>
      <c r="AG446" s="456"/>
      <c r="AH446" s="457">
        <f t="shared" si="84"/>
        <v>0</v>
      </c>
      <c r="AI446" s="458">
        <f t="shared" si="91"/>
        <v>0</v>
      </c>
      <c r="AJ446" s="463"/>
      <c r="AK446" s="462"/>
      <c r="AL446" s="455">
        <f>SUMIFS(BV_Data_An_Prec!$AM:$AM,BV_Data_An_Prec!$AQ:$AQ,$V446)</f>
        <v>0</v>
      </c>
      <c r="AM446" s="459"/>
      <c r="AN446" s="457">
        <f t="shared" si="87"/>
        <v>0</v>
      </c>
      <c r="AO446" s="464">
        <f t="shared" si="88"/>
        <v>0</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136</v>
      </c>
      <c r="B447" s="3"/>
      <c r="C447" s="431" t="s">
        <v>591</v>
      </c>
      <c r="T447" s="38"/>
      <c r="U447" s="38"/>
      <c r="V447" s="310" t="s">
        <v>136</v>
      </c>
      <c r="W447" s="461" t="s">
        <v>624</v>
      </c>
      <c r="X447" s="454"/>
      <c r="Y447" s="462"/>
      <c r="Z447" s="455">
        <f t="shared" si="89"/>
        <v>0</v>
      </c>
      <c r="AA447" s="454"/>
      <c r="AB447" s="462"/>
      <c r="AC447" s="455"/>
      <c r="AD447" s="463"/>
      <c r="AE447" s="462"/>
      <c r="AF447" s="455">
        <f>SUMIFS(BV_Data_An_Cour!$AM:$AM,BV_Data_An_Cour!$AQ:$AQ,$V447)</f>
        <v>2759.22</v>
      </c>
      <c r="AG447" s="456"/>
      <c r="AH447" s="457">
        <f t="shared" si="84"/>
        <v>2759.22</v>
      </c>
      <c r="AI447" s="477">
        <f t="shared" si="91"/>
        <v>0</v>
      </c>
      <c r="AJ447" s="463"/>
      <c r="AK447" s="462"/>
      <c r="AL447" s="455">
        <f>SUMIFS(BV_Data_An_Prec!$AM:$AM,BV_Data_An_Prec!$AQ:$AQ,$V447)</f>
        <v>0</v>
      </c>
      <c r="AM447" s="459"/>
      <c r="AN447" s="457">
        <f t="shared" si="87"/>
        <v>2759.22</v>
      </c>
      <c r="AO447" s="464">
        <f t="shared" si="88"/>
        <v>0</v>
      </c>
      <c r="AP447" s="38"/>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137</v>
      </c>
      <c r="B448" s="3"/>
      <c r="C448" s="431" t="s">
        <v>591</v>
      </c>
      <c r="T448" s="38"/>
      <c r="U448" s="38"/>
      <c r="V448" s="310" t="s">
        <v>137</v>
      </c>
      <c r="W448" s="461" t="s">
        <v>625</v>
      </c>
      <c r="X448" s="454"/>
      <c r="Y448" s="462"/>
      <c r="Z448" s="455">
        <f t="shared" si="89"/>
        <v>0</v>
      </c>
      <c r="AA448" s="454"/>
      <c r="AB448" s="462"/>
      <c r="AC448" s="455"/>
      <c r="AD448" s="463"/>
      <c r="AE448" s="462"/>
      <c r="AF448" s="455">
        <f t="shared" si="90"/>
        <v>2758</v>
      </c>
      <c r="AG448" s="456"/>
      <c r="AH448" s="457">
        <f t="shared" si="84"/>
        <v>2758</v>
      </c>
      <c r="AI448" s="458">
        <f t="shared" si="91"/>
        <v>0</v>
      </c>
      <c r="AJ448" s="463"/>
      <c r="AK448" s="462"/>
      <c r="AL448" s="455">
        <f>SUMIFS(BV_Data_An_Prec!$AM:$AM,BV_Data_An_Prec!$AQ:$AQ,$V448)</f>
        <v>0</v>
      </c>
      <c r="AM448" s="459"/>
      <c r="AN448" s="457">
        <f t="shared" si="87"/>
        <v>2758</v>
      </c>
      <c r="AO448" s="464">
        <f t="shared" si="88"/>
        <v>0</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customHeight="1">
      <c r="A449" s="5" t="s">
        <v>138</v>
      </c>
      <c r="B449" s="3"/>
      <c r="C449" s="431" t="s">
        <v>591</v>
      </c>
      <c r="T449" s="38"/>
      <c r="U449" s="38"/>
      <c r="V449" s="310" t="s">
        <v>138</v>
      </c>
      <c r="W449" s="461" t="s">
        <v>626</v>
      </c>
      <c r="X449" s="454"/>
      <c r="Y449" s="869" t="e">
        <f>Z449/Z407</f>
        <v>#DIV/0!</v>
      </c>
      <c r="Z449" s="455">
        <f t="shared" si="89"/>
        <v>0</v>
      </c>
      <c r="AA449" s="454"/>
      <c r="AB449" s="462"/>
      <c r="AC449" s="455"/>
      <c r="AD449" s="463"/>
      <c r="AE449" s="462"/>
      <c r="AF449" s="455">
        <f>SUMIFS(BV_Data_An_Cour!$AM:$AM,BV_Data_An_Cour!$AQ:$AQ,$V449)</f>
        <v>7736.5999999999985</v>
      </c>
      <c r="AG449" s="456"/>
      <c r="AH449" s="778">
        <f t="shared" si="84"/>
        <v>7736.5999999999985</v>
      </c>
      <c r="AI449" s="458">
        <f t="shared" si="91"/>
        <v>0</v>
      </c>
      <c r="AJ449" s="463"/>
      <c r="AK449" s="462"/>
      <c r="AL449" s="455">
        <f>SUMIFS(BV_Data_An_Prec!$AM:$AM,BV_Data_An_Prec!$AQ:$AQ,$V449)</f>
        <v>0</v>
      </c>
      <c r="AM449" s="459"/>
      <c r="AN449" s="457">
        <f t="shared" si="87"/>
        <v>7736.5999999999985</v>
      </c>
      <c r="AO449" s="464">
        <f t="shared" si="88"/>
        <v>0</v>
      </c>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55</v>
      </c>
      <c r="B450" s="3"/>
      <c r="C450" s="431" t="s">
        <v>591</v>
      </c>
      <c r="T450" s="38"/>
      <c r="U450" s="38"/>
      <c r="V450" s="310" t="s">
        <v>55</v>
      </c>
      <c r="W450" s="461"/>
      <c r="X450" s="454"/>
      <c r="Y450" s="462"/>
      <c r="Z450" s="455">
        <f>IFERROR(SUMIF($C:$C,$V450,F:F),0)</f>
        <v>0</v>
      </c>
      <c r="AA450" s="454"/>
      <c r="AB450" s="454"/>
      <c r="AC450" s="455"/>
      <c r="AD450" s="463"/>
      <c r="AE450" s="462"/>
      <c r="AF450" s="455">
        <f>IFERROR(SUMIF($C:$C,$V450,L:L),0)</f>
        <v>0</v>
      </c>
      <c r="AG450" s="456"/>
      <c r="AH450" s="457">
        <f t="shared" si="84"/>
        <v>0</v>
      </c>
      <c r="AI450" s="458">
        <f t="shared" si="91"/>
        <v>0</v>
      </c>
      <c r="AJ450" s="463"/>
      <c r="AK450" s="462"/>
      <c r="AL450" s="455">
        <f>IFERROR(SUMIF($C:$C,$V450,R:R),0)</f>
        <v>0</v>
      </c>
      <c r="AM450" s="459"/>
      <c r="AN450" s="457">
        <f t="shared" si="87"/>
        <v>0</v>
      </c>
      <c r="AO450" s="464">
        <f t="shared" si="88"/>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55</v>
      </c>
      <c r="B451" s="3"/>
      <c r="C451" s="431" t="s">
        <v>591</v>
      </c>
      <c r="T451" s="38"/>
      <c r="U451" s="38"/>
      <c r="V451" s="310" t="s">
        <v>55</v>
      </c>
      <c r="W451" s="461"/>
      <c r="X451" s="454"/>
      <c r="Y451" s="462"/>
      <c r="Z451" s="455">
        <f>IFERROR(SUMIF($C:$C,$V451,F:F),0)</f>
        <v>0</v>
      </c>
      <c r="AA451" s="454"/>
      <c r="AB451" s="454"/>
      <c r="AC451" s="455"/>
      <c r="AD451" s="463"/>
      <c r="AE451" s="462"/>
      <c r="AF451" s="455">
        <f>IFERROR(SUMIF($C:$C,$V451,L:L),0)</f>
        <v>0</v>
      </c>
      <c r="AG451" s="456"/>
      <c r="AH451" s="457">
        <f t="shared" si="84"/>
        <v>0</v>
      </c>
      <c r="AI451" s="458">
        <f t="shared" si="91"/>
        <v>0</v>
      </c>
      <c r="AJ451" s="463"/>
      <c r="AK451" s="462"/>
      <c r="AL451" s="455">
        <f>IFERROR(SUMIF($C:$C,$V451,R:R),0)</f>
        <v>0</v>
      </c>
      <c r="AM451" s="459"/>
      <c r="AN451" s="457">
        <f t="shared" si="87"/>
        <v>0</v>
      </c>
      <c r="AO451" s="464">
        <f t="shared" si="88"/>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
        <v>55</v>
      </c>
      <c r="B452" s="3"/>
      <c r="C452" s="431" t="s">
        <v>591</v>
      </c>
      <c r="T452" s="38"/>
      <c r="U452" s="38"/>
      <c r="V452" s="310" t="s">
        <v>55</v>
      </c>
      <c r="W452" s="461"/>
      <c r="X452" s="454"/>
      <c r="Y452" s="462"/>
      <c r="Z452" s="455">
        <f>IFERROR(SUMIF($C:$C,$V452,F:F),0)</f>
        <v>0</v>
      </c>
      <c r="AA452" s="454"/>
      <c r="AB452" s="454"/>
      <c r="AC452" s="455"/>
      <c r="AD452" s="463"/>
      <c r="AE452" s="462"/>
      <c r="AF452" s="455">
        <f>IFERROR(SUMIF($C:$C,$V452,L:L),0)</f>
        <v>0</v>
      </c>
      <c r="AG452" s="456"/>
      <c r="AH452" s="457">
        <f t="shared" si="84"/>
        <v>0</v>
      </c>
      <c r="AI452" s="458">
        <f t="shared" si="91"/>
        <v>0</v>
      </c>
      <c r="AJ452" s="463"/>
      <c r="AK452" s="462"/>
      <c r="AL452" s="455">
        <f>IFERROR(SUMIF($C:$C,$V452,R:R),0)</f>
        <v>0</v>
      </c>
      <c r="AM452" s="459"/>
      <c r="AN452" s="457">
        <f t="shared" si="87"/>
        <v>0</v>
      </c>
      <c r="AO452" s="464">
        <f t="shared" si="88"/>
        <v>0</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139</v>
      </c>
      <c r="B453" s="3"/>
      <c r="C453" s="431" t="s">
        <v>591</v>
      </c>
      <c r="T453" s="38"/>
      <c r="U453" s="38"/>
      <c r="V453" s="469" t="s">
        <v>139</v>
      </c>
      <c r="W453" s="491"/>
      <c r="X453" s="471" t="e">
        <f>Z453/+Z408</f>
        <v>#DIV/0!</v>
      </c>
      <c r="Y453" s="470"/>
      <c r="Z453" s="472">
        <f>+SUM(Z435:Z452)</f>
        <v>0</v>
      </c>
      <c r="AA453" s="471"/>
      <c r="AB453" s="470"/>
      <c r="AC453" s="472"/>
      <c r="AD453" s="473">
        <f>AF453/AF408</f>
        <v>8.5647634118884819E-2</v>
      </c>
      <c r="AE453" s="470"/>
      <c r="AF453" s="472">
        <f>+SUM(AF435:AF452)</f>
        <v>75090.920000000013</v>
      </c>
      <c r="AG453" s="479"/>
      <c r="AH453" s="492">
        <f>+SUM(AH435:AH452)</f>
        <v>75090.920000000013</v>
      </c>
      <c r="AI453" s="471" t="e">
        <f>AH453/Z453</f>
        <v>#DIV/0!</v>
      </c>
      <c r="AJ453" s="473" t="e">
        <f>AL453/AL408</f>
        <v>#DIV/0!</v>
      </c>
      <c r="AK453" s="470"/>
      <c r="AL453" s="472">
        <f>+SUM(AL435:AL452)</f>
        <v>0</v>
      </c>
      <c r="AM453" s="480"/>
      <c r="AN453" s="475">
        <f>+SUM(AN435:AN452)</f>
        <v>75090.920000000013</v>
      </c>
      <c r="AO453" s="493">
        <f t="shared" si="88"/>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201</v>
      </c>
      <c r="B454" s="3"/>
      <c r="C454" s="431" t="s">
        <v>591</v>
      </c>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f>+INDEX('Budget original'!$A$2:$AO$501,MATCH($A454,'Budget original'!$A$2:$A$501,0),MATCH(F$2,'Budget original'!$A$2:$AO$2,0))</f>
        <v>0</v>
      </c>
      <c r="AA454" s="454"/>
      <c r="AB454" s="462"/>
      <c r="AC454" s="455"/>
      <c r="AD454" s="463"/>
      <c r="AE454" s="462"/>
      <c r="AF454" s="455">
        <f>SUMIFS(BV_Data_An_Cour!$AM:$AM,BV_Data_An_Cour!$AQ:$AQ,$V454)</f>
        <v>130000</v>
      </c>
      <c r="AG454" s="456"/>
      <c r="AH454" s="457">
        <f t="shared" ref="AH454:AH462" si="92">AF454-Z454</f>
        <v>130000</v>
      </c>
      <c r="AI454" s="458">
        <f t="shared" ref="AI454:AI462" si="93">IF(Z454=0,0,AH454/Z454)</f>
        <v>0</v>
      </c>
      <c r="AJ454" s="463"/>
      <c r="AK454" s="462"/>
      <c r="AL454" s="455">
        <f>SUMIFS(BV_Data_An_Prec!$AM:$AM,BV_Data_An_Prec!$AQ:$AQ,$V454)</f>
        <v>0</v>
      </c>
      <c r="AM454" s="459"/>
      <c r="AN454" s="457">
        <f t="shared" ref="AN454:AN462" si="94">AF454-AL454</f>
        <v>130000</v>
      </c>
      <c r="AO454" s="464">
        <f t="shared" si="88"/>
        <v>0</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202</v>
      </c>
      <c r="B455" s="3"/>
      <c r="C455" s="431" t="s">
        <v>591</v>
      </c>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f>+INDEX('Budget original'!$A$2:$AO$501,MATCH($A455,'Budget original'!$A$2:$A$501,0),MATCH(F$2,'Budget original'!$A$2:$AO$2,0))</f>
        <v>0</v>
      </c>
      <c r="AA455" s="454"/>
      <c r="AB455" s="462"/>
      <c r="AC455" s="455"/>
      <c r="AD455" s="463"/>
      <c r="AE455" s="462"/>
      <c r="AF455" s="455">
        <f>SUMIFS(BV_Data_An_Cour!$AM:$AM,BV_Data_An_Cour!$AQ:$AQ,$V455)</f>
        <v>44314.719999999994</v>
      </c>
      <c r="AG455" s="456"/>
      <c r="AH455" s="457">
        <f t="shared" si="92"/>
        <v>44314.719999999994</v>
      </c>
      <c r="AI455" s="458">
        <f t="shared" si="93"/>
        <v>0</v>
      </c>
      <c r="AJ455" s="463"/>
      <c r="AK455" s="462"/>
      <c r="AL455" s="455">
        <f>SUMIFS(BV_Data_An_Prec!$AM:$AM,BV_Data_An_Prec!$AQ:$AQ,$V455)</f>
        <v>0</v>
      </c>
      <c r="AM455" s="459"/>
      <c r="AN455" s="457">
        <f t="shared" si="94"/>
        <v>44314.719999999994</v>
      </c>
      <c r="AO455" s="464">
        <f t="shared" si="88"/>
        <v>0</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203</v>
      </c>
      <c r="B456" s="3"/>
      <c r="C456" s="431" t="s">
        <v>591</v>
      </c>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f>+INDEX('Budget original'!$A$2:$AO$501,MATCH($A456,'Budget original'!$A$2:$A$501,0),MATCH(F$2,'Budget original'!$A$2:$AO$2,0))</f>
        <v>0</v>
      </c>
      <c r="AA456" s="438"/>
      <c r="AB456" s="466"/>
      <c r="AC456" s="439"/>
      <c r="AD456" s="467"/>
      <c r="AE456" s="466"/>
      <c r="AF456" s="439">
        <f>SUMIFS(BV_Data_An_Cour!$AM:$AM,BV_Data_An_Cour!$AQ:$AQ,$V456)</f>
        <v>0</v>
      </c>
      <c r="AG456" s="440"/>
      <c r="AH456" s="441">
        <f t="shared" si="92"/>
        <v>0</v>
      </c>
      <c r="AI456" s="468">
        <f t="shared" si="93"/>
        <v>0</v>
      </c>
      <c r="AJ456" s="467"/>
      <c r="AK456" s="466"/>
      <c r="AL456" s="439">
        <f>SUMIFS(BV_Data_An_Prec!$AM:$AM,BV_Data_An_Prec!$AQ:$AQ,$V456)</f>
        <v>0</v>
      </c>
      <c r="AM456" s="443"/>
      <c r="AN456" s="441">
        <f t="shared" si="94"/>
        <v>0</v>
      </c>
      <c r="AO456" s="444">
        <f t="shared" si="88"/>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204</v>
      </c>
      <c r="B457" s="3"/>
      <c r="C457" s="431" t="s">
        <v>591</v>
      </c>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f>+INDEX('Budget original'!$A$2:$AO$501,MATCH($A457,'Budget original'!$A$2:$A$501,0),MATCH(F$2,'Budget original'!$A$2:$AO$2,0))</f>
        <v>0</v>
      </c>
      <c r="AA457" s="454"/>
      <c r="AB457" s="462"/>
      <c r="AC457" s="455"/>
      <c r="AD457" s="463"/>
      <c r="AE457" s="462"/>
      <c r="AF457" s="455">
        <f>SUMIFS(BV_Data_An_Cour!$AM:$AM,BV_Data_An_Cour!$AQ:$AQ,$V457)</f>
        <v>0</v>
      </c>
      <c r="AG457" s="456"/>
      <c r="AH457" s="457">
        <f t="shared" si="92"/>
        <v>0</v>
      </c>
      <c r="AI457" s="458">
        <f t="shared" si="93"/>
        <v>0</v>
      </c>
      <c r="AJ457" s="463"/>
      <c r="AK457" s="462"/>
      <c r="AL457" s="455">
        <f>SUMIFS(BV_Data_An_Prec!$AM:$AM,BV_Data_An_Prec!$AQ:$AQ,$V457)</f>
        <v>0</v>
      </c>
      <c r="AM457" s="459"/>
      <c r="AN457" s="457">
        <f t="shared" si="94"/>
        <v>0</v>
      </c>
      <c r="AO457" s="464">
        <f t="shared" si="88"/>
        <v>0</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205</v>
      </c>
      <c r="B458" s="3"/>
      <c r="C458" s="431" t="s">
        <v>591</v>
      </c>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f>+INDEX('Budget original'!$A$2:$AO$501,MATCH($A458,'Budget original'!$A$2:$A$501,0),MATCH(F$2,'Budget original'!$A$2:$AO$2,0))</f>
        <v>0</v>
      </c>
      <c r="AA458" s="438"/>
      <c r="AB458" s="466"/>
      <c r="AC458" s="439"/>
      <c r="AD458" s="467"/>
      <c r="AE458" s="466"/>
      <c r="AF458" s="439">
        <f>SUMIF(BV_Data_An_Cour!$AQ:$AQ,Print_Mois!$V458,BV_Data_An_Cour!$AM:$AM)</f>
        <v>4738.3900000000012</v>
      </c>
      <c r="AG458" s="440"/>
      <c r="AH458" s="441">
        <f t="shared" si="92"/>
        <v>4738.3900000000012</v>
      </c>
      <c r="AI458" s="468">
        <f t="shared" si="93"/>
        <v>0</v>
      </c>
      <c r="AJ458" s="467"/>
      <c r="AK458" s="466"/>
      <c r="AL458" s="439">
        <f>SUMIFS(BV_Data_An_Prec!$AM:$AM,BV_Data_An_Prec!$AQ:$AQ,$V458)</f>
        <v>0</v>
      </c>
      <c r="AM458" s="443"/>
      <c r="AN458" s="441">
        <f t="shared" si="94"/>
        <v>4738.3900000000012</v>
      </c>
      <c r="AO458" s="444">
        <f t="shared" si="88"/>
        <v>0</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206</v>
      </c>
      <c r="B459" s="3"/>
      <c r="C459" s="431" t="s">
        <v>591</v>
      </c>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f>+INDEX('Budget original'!$A$2:$AO$501,MATCH($A459,'Budget original'!$A$2:$A$501,0),MATCH(F$2,'Budget original'!$A$2:$AO$2,0))</f>
        <v>0</v>
      </c>
      <c r="AA459" s="494"/>
      <c r="AB459" s="495"/>
      <c r="AC459" s="455"/>
      <c r="AD459" s="463"/>
      <c r="AE459" s="462"/>
      <c r="AF459" s="455">
        <f>SUMIFS(BV_Data_An_Cour!$AM:$AM,BV_Data_An_Cour!$AQ:$AQ,$V459)</f>
        <v>7017.2000000000044</v>
      </c>
      <c r="AG459" s="456"/>
      <c r="AH459" s="457">
        <f t="shared" si="92"/>
        <v>7017.2000000000044</v>
      </c>
      <c r="AI459" s="458">
        <f t="shared" si="93"/>
        <v>0</v>
      </c>
      <c r="AJ459" s="463"/>
      <c r="AK459" s="462"/>
      <c r="AL459" s="455">
        <f>SUMIFS(BV_Data_An_Prec!$AM:$AM,BV_Data_An_Prec!$AQ:$AQ,$V459)</f>
        <v>0</v>
      </c>
      <c r="AM459" s="459"/>
      <c r="AN459" s="457">
        <f t="shared" si="94"/>
        <v>7017.2000000000044</v>
      </c>
      <c r="AO459" s="464">
        <f t="shared" si="88"/>
        <v>0</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207</v>
      </c>
      <c r="B460" s="3"/>
      <c r="C460" s="431" t="s">
        <v>591</v>
      </c>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f>+INDEX('Budget original'!$A$2:$AO$501,MATCH($A460,'Budget original'!$A$2:$A$501,0),MATCH(F$2,'Budget original'!$A$2:$AO$2,0))</f>
        <v>0</v>
      </c>
      <c r="AA460" s="454"/>
      <c r="AB460" s="462"/>
      <c r="AC460" s="455"/>
      <c r="AD460" s="463"/>
      <c r="AE460" s="462"/>
      <c r="AF460" s="455">
        <f>SUMIFS(BV_Data_An_Cour!$AM:$AM,BV_Data_An_Cour!$AQ:$AQ,$V460)</f>
        <v>1811.6399999999996</v>
      </c>
      <c r="AG460" s="456"/>
      <c r="AH460" s="457">
        <f t="shared" si="92"/>
        <v>1811.6399999999996</v>
      </c>
      <c r="AI460" s="458">
        <f t="shared" si="93"/>
        <v>0</v>
      </c>
      <c r="AJ460" s="463"/>
      <c r="AK460" s="462"/>
      <c r="AL460" s="455">
        <f>SUMIFS(BV_Data_An_Prec!$AM:$AM,BV_Data_An_Prec!$AQ:$AQ,$V460)</f>
        <v>0</v>
      </c>
      <c r="AM460" s="459"/>
      <c r="AN460" s="457">
        <f t="shared" si="94"/>
        <v>1811.6399999999996</v>
      </c>
      <c r="AO460" s="464">
        <f t="shared" si="88"/>
        <v>0</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208</v>
      </c>
      <c r="B461" s="3"/>
      <c r="C461" s="431" t="s">
        <v>591</v>
      </c>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f>+INDEX('Budget original'!$A$2:$AO$501,MATCH($A461,'Budget original'!$A$2:$A$501,0),MATCH(F$2,'Budget original'!$A$2:$AO$2,0))</f>
        <v>0</v>
      </c>
      <c r="AA461" s="438"/>
      <c r="AB461" s="466"/>
      <c r="AC461" s="439"/>
      <c r="AD461" s="467"/>
      <c r="AE461" s="466"/>
      <c r="AF461" s="439">
        <f>SUMIFS(BV_Data_An_Cour!$AM:$AM,BV_Data_An_Cour!$AQ:$AQ,$V461)</f>
        <v>0</v>
      </c>
      <c r="AG461" s="440"/>
      <c r="AH461" s="441">
        <f t="shared" si="92"/>
        <v>0</v>
      </c>
      <c r="AI461" s="468">
        <f t="shared" si="93"/>
        <v>0</v>
      </c>
      <c r="AJ461" s="467"/>
      <c r="AK461" s="466"/>
      <c r="AL461" s="439">
        <f>SUMIFS(BV_Data_An_Prec!$AM:$AM,BV_Data_An_Prec!$AQ:$AQ,$V461)</f>
        <v>0</v>
      </c>
      <c r="AM461" s="443"/>
      <c r="AN461" s="441">
        <f t="shared" si="94"/>
        <v>0</v>
      </c>
      <c r="AO461" s="444">
        <f t="shared" si="88"/>
        <v>0</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209</v>
      </c>
      <c r="B462" s="3"/>
      <c r="C462" s="431" t="s">
        <v>591</v>
      </c>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f>+INDEX('Budget original'!$A$2:$AO$501,MATCH($A462,'Budget original'!$A$2:$A$501,0),MATCH(F$2,'Budget original'!$A$2:$AO$2,0))</f>
        <v>0</v>
      </c>
      <c r="AA462" s="454"/>
      <c r="AB462" s="462"/>
      <c r="AC462" s="455"/>
      <c r="AD462" s="463"/>
      <c r="AE462" s="462"/>
      <c r="AF462" s="455">
        <f>SUMIFS(BV_Data_An_Cour!$AM:$AM,BV_Data_An_Cour!$AQ:$AQ,$V462)</f>
        <v>0</v>
      </c>
      <c r="AG462" s="456"/>
      <c r="AH462" s="457">
        <f t="shared" si="92"/>
        <v>0</v>
      </c>
      <c r="AI462" s="496">
        <f t="shared" si="93"/>
        <v>0</v>
      </c>
      <c r="AJ462" s="463"/>
      <c r="AK462" s="462"/>
      <c r="AL462" s="455">
        <f>SUMIFS(BV_Data_An_Prec!$AM:$AM,BV_Data_An_Prec!$AQ:$AQ,$V462)</f>
        <v>0</v>
      </c>
      <c r="AM462" s="459"/>
      <c r="AN462" s="457">
        <f t="shared" si="94"/>
        <v>0</v>
      </c>
      <c r="AO462" s="464">
        <f t="shared" si="88"/>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
        <v>210</v>
      </c>
      <c r="B463" s="3"/>
      <c r="C463" s="431" t="s">
        <v>591</v>
      </c>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v>0</v>
      </c>
      <c r="AA463" s="454"/>
      <c r="AB463" s="462"/>
      <c r="AC463" s="455"/>
      <c r="AD463" s="463"/>
      <c r="AE463" s="462"/>
      <c r="AF463" s="455">
        <f>SUMIFS(BV_Data_An_Cour!$AM:$AM,BV_Data_An_Cour!$AQ:$AQ,$V463)</f>
        <v>0</v>
      </c>
      <c r="AG463" s="456"/>
      <c r="AH463" s="457">
        <v>0</v>
      </c>
      <c r="AI463" s="477">
        <v>0</v>
      </c>
      <c r="AJ463" s="463"/>
      <c r="AK463" s="462"/>
      <c r="AL463" s="455">
        <f>SUMIFS(BV_Data_An_Prec!$AM:$AM,BV_Data_An_Prec!$AQ:$AQ,$V463)</f>
        <v>0</v>
      </c>
      <c r="AM463" s="459"/>
      <c r="AN463" s="457">
        <v>0</v>
      </c>
      <c r="AO463" s="464">
        <v>0</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55</v>
      </c>
      <c r="B464" s="3"/>
      <c r="C464" s="431" t="s">
        <v>591</v>
      </c>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f>IFERROR(SUMIF($C:$C,$V464,F:F),0)</f>
        <v>0</v>
      </c>
      <c r="AA464" s="454"/>
      <c r="AB464" s="454"/>
      <c r="AC464" s="455"/>
      <c r="AD464" s="463"/>
      <c r="AE464" s="462"/>
      <c r="AF464" s="455">
        <f>IFERROR(SUMIF($C:$C,$V464,L:L),0)</f>
        <v>0</v>
      </c>
      <c r="AG464" s="456"/>
      <c r="AH464" s="457">
        <f>AF464-Z464</f>
        <v>0</v>
      </c>
      <c r="AI464" s="458">
        <f>IF(Z464=0,0,AH464/Z464)</f>
        <v>0</v>
      </c>
      <c r="AJ464" s="463"/>
      <c r="AK464" s="462"/>
      <c r="AL464" s="455">
        <f>SUMIFS(BV_Data_An_Prec!$AM:$AM,BV_Data_An_Prec!$AQ:$AQ,$V464)</f>
        <v>0</v>
      </c>
      <c r="AM464" s="459"/>
      <c r="AN464" s="457">
        <v>0</v>
      </c>
      <c r="AO464" s="464">
        <v>1</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55</v>
      </c>
      <c r="B465" s="3"/>
      <c r="C465" s="431" t="s">
        <v>591</v>
      </c>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f>IFERROR(SUMIF($C:$C,$V465,F:F),0)</f>
        <v>0</v>
      </c>
      <c r="AA465" s="454"/>
      <c r="AB465" s="454"/>
      <c r="AC465" s="455"/>
      <c r="AD465" s="463"/>
      <c r="AE465" s="462"/>
      <c r="AF465" s="455">
        <f>IFERROR(SUMIF($C:$C,$V465,L:L),0)</f>
        <v>0</v>
      </c>
      <c r="AG465" s="456"/>
      <c r="AH465" s="457">
        <f>AF465-Z465</f>
        <v>0</v>
      </c>
      <c r="AI465" s="458">
        <f>IF(Z465=0,0,AH465/Z465)</f>
        <v>0</v>
      </c>
      <c r="AJ465" s="463"/>
      <c r="AK465" s="462"/>
      <c r="AL465" s="455">
        <f>SUMIFS(BV_Data_An_Prec!$AM:$AM,BV_Data_An_Prec!$AQ:$AQ,$V465)</f>
        <v>0</v>
      </c>
      <c r="AM465" s="459"/>
      <c r="AN465" s="457">
        <v>0</v>
      </c>
      <c r="AO465" s="464">
        <v>2</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
        <v>55</v>
      </c>
      <c r="B466" s="3"/>
      <c r="C466" s="431" t="s">
        <v>591</v>
      </c>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f>IFERROR(SUMIF($C:$C,$V466,F:F),0)</f>
        <v>0</v>
      </c>
      <c r="AA466" s="454"/>
      <c r="AB466" s="454"/>
      <c r="AC466" s="455"/>
      <c r="AD466" s="463"/>
      <c r="AE466" s="462"/>
      <c r="AF466" s="455">
        <f>IFERROR(SUMIF($C:$C,$V466,L:L),0)</f>
        <v>0</v>
      </c>
      <c r="AG466" s="456"/>
      <c r="AH466" s="457">
        <f>AF466-Z466</f>
        <v>0</v>
      </c>
      <c r="AI466" s="458">
        <f>IF(Z466=0,0,AH466/Z466)</f>
        <v>0</v>
      </c>
      <c r="AJ466" s="463"/>
      <c r="AK466" s="462"/>
      <c r="AL466" s="455">
        <f>SUMIFS(BV_Data_An_Prec!$AM:$AM,BV_Data_An_Prec!$AQ:$AQ,$V466)</f>
        <v>0</v>
      </c>
      <c r="AM466" s="459"/>
      <c r="AN466" s="457">
        <v>0</v>
      </c>
      <c r="AO466" s="464">
        <v>3</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211</v>
      </c>
      <c r="B467" s="3"/>
      <c r="C467" s="431" t="s">
        <v>591</v>
      </c>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0.2142954768851229</v>
      </c>
      <c r="AE467" s="470"/>
      <c r="AF467" s="472">
        <f>SUM(AF454:AF466)</f>
        <v>187881.95000000004</v>
      </c>
      <c r="AG467" s="479"/>
      <c r="AH467" s="492">
        <f>SUM(AH454:AH466)</f>
        <v>187881.95000000004</v>
      </c>
      <c r="AI467" s="471">
        <f>IF(Z467=0,0,AH467/Z467)</f>
        <v>0</v>
      </c>
      <c r="AJ467" s="473" t="e">
        <f>AL467/AL408</f>
        <v>#DIV/0!</v>
      </c>
      <c r="AK467" s="470"/>
      <c r="AL467" s="472">
        <f>SUM(AL454:AL466)</f>
        <v>0</v>
      </c>
      <c r="AM467" s="480"/>
      <c r="AN467" s="475">
        <f>SUM(AN454:AN466)</f>
        <v>187881.95000000004</v>
      </c>
      <c r="AO467" s="493">
        <f t="shared" ref="AO467:AO484" si="95">IF(AL467=0,0,AN467/AL467)</f>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592</v>
      </c>
      <c r="B468" s="3"/>
      <c r="C468" s="431" t="s">
        <v>591</v>
      </c>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96">AF468-Z468</f>
        <v>0</v>
      </c>
      <c r="AI468" s="458"/>
      <c r="AJ468" s="463"/>
      <c r="AK468" s="454"/>
      <c r="AL468" s="497"/>
      <c r="AM468" s="498"/>
      <c r="AN468" s="457">
        <f t="shared" ref="AN468:AN484" si="97">AF468-AL468</f>
        <v>0</v>
      </c>
      <c r="AO468" s="499">
        <f t="shared" si="95"/>
        <v>0</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140</v>
      </c>
      <c r="B469" s="3"/>
      <c r="C469" s="431" t="s">
        <v>591</v>
      </c>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0.80924690897551943</v>
      </c>
      <c r="AE469" s="470"/>
      <c r="AF469" s="472">
        <f>AF420+AF434+AF453+AF467</f>
        <v>709501.15</v>
      </c>
      <c r="AG469" s="479"/>
      <c r="AH469" s="492">
        <f t="shared" si="96"/>
        <v>709501.15</v>
      </c>
      <c r="AI469" s="471" t="e">
        <f>AH469/Z469</f>
        <v>#DIV/0!</v>
      </c>
      <c r="AJ469" s="473" t="e">
        <f>AL469/AL408</f>
        <v>#DIV/0!</v>
      </c>
      <c r="AK469" s="470"/>
      <c r="AL469" s="472">
        <f>AL420+AL434+AL453+AL467</f>
        <v>0</v>
      </c>
      <c r="AM469" s="480"/>
      <c r="AN469" s="475">
        <f t="shared" si="97"/>
        <v>709501.15</v>
      </c>
      <c r="AO469" s="452">
        <f t="shared" si="95"/>
        <v>0</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212</v>
      </c>
      <c r="B470" s="3"/>
      <c r="C470" s="431" t="s">
        <v>591</v>
      </c>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f>+INDEX('Budget original'!$A$2:$AO$501,MATCH($A470,'Budget original'!$A$2:$A$501,0),MATCH(F$2,'Budget original'!$A$2:$AO$2,0))</f>
        <v>0</v>
      </c>
      <c r="AA470" s="500"/>
      <c r="AB470" s="501"/>
      <c r="AC470" s="483"/>
      <c r="AD470" s="502"/>
      <c r="AE470" s="501"/>
      <c r="AF470" s="483">
        <f>-SUMIFS(BV_Data_An_Cour!$AM:$AM,BV_Data_An_Cour!$AQ:$AQ,$V470)</f>
        <v>66344.080000000016</v>
      </c>
      <c r="AG470" s="503"/>
      <c r="AH470" s="457">
        <f t="shared" si="96"/>
        <v>66344.080000000016</v>
      </c>
      <c r="AI470" s="496" t="e">
        <f>IF(AH470=0,0,AH470/Z470)</f>
        <v>#DIV/0!</v>
      </c>
      <c r="AJ470" s="502"/>
      <c r="AK470" s="501"/>
      <c r="AL470" s="483">
        <f>-SUMIFS(BV_Data_An_Prec!$AM:$AM,BV_Data_An_Prec!$AQ:$AQ,$V470)</f>
        <v>0</v>
      </c>
      <c r="AM470" s="505"/>
      <c r="AN470" s="457">
        <f t="shared" si="97"/>
        <v>66344.080000000016</v>
      </c>
      <c r="AO470" s="464">
        <f t="shared" si="95"/>
        <v>0</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144</v>
      </c>
      <c r="B471" s="3"/>
      <c r="C471" s="431" t="s">
        <v>591</v>
      </c>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98">+SUMIF($C:$C,$V471,F:F)</f>
        <v>0</v>
      </c>
      <c r="AA471" s="494"/>
      <c r="AB471" s="457"/>
      <c r="AC471" s="455"/>
      <c r="AD471" s="506"/>
      <c r="AE471" s="507"/>
      <c r="AF471" s="455">
        <f t="shared" ref="AF471:AF477" si="99">+SUMIF($C:$C,$V471,L:L)</f>
        <v>113744</v>
      </c>
      <c r="AG471" s="508"/>
      <c r="AH471" s="457">
        <f t="shared" si="96"/>
        <v>113744</v>
      </c>
      <c r="AI471" s="477">
        <f>IF(Z471=0,0,AH471/Z471)</f>
        <v>0</v>
      </c>
      <c r="AJ471" s="506"/>
      <c r="AK471" s="507"/>
      <c r="AL471" s="455">
        <f>-SUMIFS(BV_Data_An_Prec!$AM:$AM,BV_Data_An_Prec!$AQ:$AQ,$V471)</f>
        <v>0</v>
      </c>
      <c r="AM471" s="506"/>
      <c r="AN471" s="457">
        <f t="shared" si="97"/>
        <v>113744</v>
      </c>
      <c r="AO471" s="464">
        <f t="shared" si="95"/>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141</v>
      </c>
      <c r="B472" s="3"/>
      <c r="C472" s="431" t="s">
        <v>591</v>
      </c>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98"/>
        <v>0</v>
      </c>
      <c r="AA472" s="494"/>
      <c r="AB472" s="495"/>
      <c r="AC472" s="455"/>
      <c r="AD472" s="509"/>
      <c r="AF472" s="455">
        <f t="shared" si="99"/>
        <v>0</v>
      </c>
      <c r="AG472" s="508"/>
      <c r="AH472" s="457">
        <f t="shared" si="96"/>
        <v>0</v>
      </c>
      <c r="AI472" s="477">
        <f t="shared" ref="AI472:AI481" si="100">IF(AH472=0,0,AH472/Z472)</f>
        <v>0</v>
      </c>
      <c r="AJ472" s="509"/>
      <c r="AL472" s="455">
        <f>-SUMIFS(BV_Data_An_Prec!$AM:$AM,BV_Data_An_Prec!$AQ:$AQ,$V472)</f>
        <v>0</v>
      </c>
      <c r="AM472" s="506"/>
      <c r="AN472" s="457">
        <f t="shared" si="97"/>
        <v>0</v>
      </c>
      <c r="AO472" s="464">
        <f t="shared" si="95"/>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142</v>
      </c>
      <c r="B473" s="3"/>
      <c r="C473" s="431" t="s">
        <v>591</v>
      </c>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98"/>
        <v>0</v>
      </c>
      <c r="AA473" s="494"/>
      <c r="AB473" s="495"/>
      <c r="AC473" s="455"/>
      <c r="AD473" s="509"/>
      <c r="AE473" s="495"/>
      <c r="AF473" s="455">
        <f t="shared" si="99"/>
        <v>0</v>
      </c>
      <c r="AG473" s="508"/>
      <c r="AH473" s="457">
        <f t="shared" si="96"/>
        <v>0</v>
      </c>
      <c r="AI473" s="477">
        <f t="shared" si="100"/>
        <v>0</v>
      </c>
      <c r="AJ473" s="509"/>
      <c r="AK473" s="495"/>
      <c r="AL473" s="455">
        <f>-SUMIFS(BV_Data_An_Prec!$AM:$AM,BV_Data_An_Prec!$AQ:$AQ,$V473)</f>
        <v>0</v>
      </c>
      <c r="AM473" s="506"/>
      <c r="AN473" s="457">
        <f t="shared" si="97"/>
        <v>0</v>
      </c>
      <c r="AO473" s="464">
        <f t="shared" si="95"/>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143</v>
      </c>
      <c r="B474" s="3"/>
      <c r="C474" s="431" t="s">
        <v>591</v>
      </c>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98"/>
        <v>0</v>
      </c>
      <c r="AA474" s="494"/>
      <c r="AB474" s="495"/>
      <c r="AC474" s="455"/>
      <c r="AD474" s="509"/>
      <c r="AE474" s="495"/>
      <c r="AF474" s="455">
        <f t="shared" si="99"/>
        <v>0</v>
      </c>
      <c r="AG474" s="508"/>
      <c r="AH474" s="457">
        <f t="shared" si="96"/>
        <v>0</v>
      </c>
      <c r="AI474" s="477">
        <f t="shared" si="100"/>
        <v>0</v>
      </c>
      <c r="AJ474" s="509"/>
      <c r="AK474" s="495"/>
      <c r="AL474" s="455">
        <f>-SUMIFS(BV_Data_An_Prec!$AM:$AM,BV_Data_An_Prec!$AQ:$AQ,$V474)</f>
        <v>0</v>
      </c>
      <c r="AM474" s="506"/>
      <c r="AN474" s="457">
        <f t="shared" si="97"/>
        <v>0</v>
      </c>
      <c r="AO474" s="464">
        <f t="shared" si="95"/>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154</v>
      </c>
      <c r="B475" s="3"/>
      <c r="C475" s="431" t="s">
        <v>591</v>
      </c>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98"/>
        <v>0</v>
      </c>
      <c r="AA475" s="494"/>
      <c r="AB475" s="495"/>
      <c r="AC475" s="455"/>
      <c r="AD475" s="509"/>
      <c r="AE475" s="495"/>
      <c r="AF475" s="455">
        <f t="shared" si="99"/>
        <v>0</v>
      </c>
      <c r="AG475" s="508"/>
      <c r="AH475" s="457">
        <f t="shared" si="96"/>
        <v>0</v>
      </c>
      <c r="AI475" s="477">
        <f t="shared" si="100"/>
        <v>0</v>
      </c>
      <c r="AJ475" s="509"/>
      <c r="AK475" s="495"/>
      <c r="AL475" s="455">
        <f>-SUMIFS(BV_Data_An_Prec!$AM:$AM,BV_Data_An_Prec!$AQ:$AQ,$V475)</f>
        <v>0</v>
      </c>
      <c r="AM475" s="506"/>
      <c r="AN475" s="457">
        <f t="shared" si="97"/>
        <v>0</v>
      </c>
      <c r="AO475" s="464">
        <f t="shared" si="95"/>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155</v>
      </c>
      <c r="B476" s="3"/>
      <c r="C476" s="431" t="s">
        <v>591</v>
      </c>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98"/>
        <v>0</v>
      </c>
      <c r="AA476" s="494"/>
      <c r="AB476" s="495"/>
      <c r="AC476" s="455"/>
      <c r="AD476" s="509"/>
      <c r="AE476" s="495"/>
      <c r="AF476" s="455">
        <f t="shared" si="99"/>
        <v>0</v>
      </c>
      <c r="AG476" s="508"/>
      <c r="AH476" s="457">
        <f t="shared" si="96"/>
        <v>0</v>
      </c>
      <c r="AI476" s="477">
        <f t="shared" si="100"/>
        <v>0</v>
      </c>
      <c r="AJ476" s="509"/>
      <c r="AK476" s="495"/>
      <c r="AL476" s="455">
        <f>-SUMIFS(BV_Data_An_Prec!$AM:$AM,BV_Data_An_Prec!$AQ:$AQ,$V476)</f>
        <v>0</v>
      </c>
      <c r="AM476" s="506"/>
      <c r="AN476" s="457">
        <f t="shared" si="97"/>
        <v>0</v>
      </c>
      <c r="AO476" s="464">
        <f t="shared" si="95"/>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
        <v>156</v>
      </c>
      <c r="B477" s="3"/>
      <c r="C477" s="431" t="s">
        <v>591</v>
      </c>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98"/>
        <v>0</v>
      </c>
      <c r="AA477" s="494"/>
      <c r="AB477" s="495"/>
      <c r="AC477" s="455"/>
      <c r="AD477" s="509"/>
      <c r="AE477" s="495"/>
      <c r="AF477" s="455">
        <f t="shared" si="99"/>
        <v>0</v>
      </c>
      <c r="AG477" s="508"/>
      <c r="AH477" s="457">
        <f t="shared" si="96"/>
        <v>0</v>
      </c>
      <c r="AI477" s="477">
        <f t="shared" si="100"/>
        <v>0</v>
      </c>
      <c r="AJ477" s="509"/>
      <c r="AK477" s="495"/>
      <c r="AL477" s="455">
        <f>-SUMIFS(BV_Data_An_Prec!$AM:$AM,BV_Data_An_Prec!$AQ:$AQ,$V477)</f>
        <v>0</v>
      </c>
      <c r="AM477" s="506"/>
      <c r="AN477" s="457">
        <f t="shared" si="97"/>
        <v>0</v>
      </c>
      <c r="AO477" s="464">
        <f t="shared" si="95"/>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55</v>
      </c>
      <c r="B478" s="3"/>
      <c r="C478" s="431" t="s">
        <v>591</v>
      </c>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f>+INDEX('Budget original'!$A$2:$AO$501,MATCH($A478,'Budget original'!$A$2:$A$501,0),MATCH(F$2,'Budget original'!$A$2:$AO$2,0))</f>
        <v>0</v>
      </c>
      <c r="AA478" s="454"/>
      <c r="AB478" s="454"/>
      <c r="AC478" s="455"/>
      <c r="AD478" s="463"/>
      <c r="AE478" s="462"/>
      <c r="AF478" s="455">
        <f>IFERROR(SUMIF($C:$C,$V478,L:L),0)</f>
        <v>0</v>
      </c>
      <c r="AG478" s="456"/>
      <c r="AH478" s="457">
        <f t="shared" si="96"/>
        <v>0</v>
      </c>
      <c r="AI478" s="458">
        <f t="shared" si="100"/>
        <v>0</v>
      </c>
      <c r="AJ478" s="463"/>
      <c r="AK478" s="462"/>
      <c r="AL478" s="455">
        <f>-SUMIFS(BV_Data_An_Prec!$AM:$AM,BV_Data_An_Prec!$AQ:$AQ,$V478)</f>
        <v>0</v>
      </c>
      <c r="AM478" s="506"/>
      <c r="AN478" s="457">
        <f t="shared" si="97"/>
        <v>0</v>
      </c>
      <c r="AO478" s="464">
        <f t="shared" si="95"/>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55</v>
      </c>
      <c r="B479" s="3"/>
      <c r="C479" s="431" t="s">
        <v>591</v>
      </c>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IFERROR(SUMIF($C:$C,$V479,F:F),0)</f>
        <v>0</v>
      </c>
      <c r="AA479" s="454"/>
      <c r="AB479" s="454"/>
      <c r="AC479" s="455"/>
      <c r="AD479" s="463"/>
      <c r="AE479" s="462"/>
      <c r="AF479" s="455">
        <f>IFERROR(SUMIF($C:$C,$V479,L:L),0)</f>
        <v>0</v>
      </c>
      <c r="AG479" s="456"/>
      <c r="AH479" s="457">
        <f t="shared" si="96"/>
        <v>0</v>
      </c>
      <c r="AI479" s="458">
        <f t="shared" si="100"/>
        <v>0</v>
      </c>
      <c r="AJ479" s="463"/>
      <c r="AK479" s="462"/>
      <c r="AL479" s="455">
        <f>-SUMIFS(BV_Data_An_Prec!$AM:$AM,BV_Data_An_Prec!$AQ:$AQ,$V479)</f>
        <v>0</v>
      </c>
      <c r="AM479" s="506"/>
      <c r="AN479" s="457">
        <f t="shared" si="97"/>
        <v>0</v>
      </c>
      <c r="AO479" s="464">
        <f t="shared" si="95"/>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
        <v>55</v>
      </c>
      <c r="B480" s="3"/>
      <c r="C480" s="431" t="s">
        <v>591</v>
      </c>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IFERROR(SUMIF($C:$C,$V480,F:F),0)</f>
        <v>0</v>
      </c>
      <c r="AA480" s="454"/>
      <c r="AB480" s="454"/>
      <c r="AC480" s="455"/>
      <c r="AD480" s="463"/>
      <c r="AE480" s="462"/>
      <c r="AF480" s="455">
        <f>IFERROR(SUMIF($C:$C,$V480,L:L),0)</f>
        <v>0</v>
      </c>
      <c r="AG480" s="456"/>
      <c r="AH480" s="457">
        <f t="shared" si="96"/>
        <v>0</v>
      </c>
      <c r="AI480" s="458">
        <f t="shared" si="100"/>
        <v>0</v>
      </c>
      <c r="AJ480" s="463"/>
      <c r="AK480" s="462"/>
      <c r="AL480" s="455">
        <f>-SUMIFS(BV_Data_An_Prec!$AM:$AM,BV_Data_An_Prec!$AQ:$AQ,$V480)</f>
        <v>0</v>
      </c>
      <c r="AM480" s="506"/>
      <c r="AN480" s="457">
        <f t="shared" si="97"/>
        <v>0</v>
      </c>
      <c r="AO480" s="464">
        <f t="shared" si="95"/>
        <v>0</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145</v>
      </c>
      <c r="B481" s="3"/>
      <c r="C481" s="431" t="s">
        <v>591</v>
      </c>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11">
        <f>AF481/499</f>
        <v>0</v>
      </c>
      <c r="AE481" s="494">
        <f>(AF481/399)/(J13+J15+J97)</f>
        <v>0</v>
      </c>
      <c r="AF481" s="455">
        <f>+SUMIF($C:$C,$V481,L:L)</f>
        <v>0</v>
      </c>
      <c r="AG481" s="508"/>
      <c r="AH481" s="457">
        <f t="shared" si="96"/>
        <v>0</v>
      </c>
      <c r="AI481" s="477">
        <f t="shared" si="100"/>
        <v>0</v>
      </c>
      <c r="AJ481" s="511">
        <f>AL481/499</f>
        <v>0</v>
      </c>
      <c r="AK481" s="494" t="e">
        <f>(AL481/399)/(P13+P15+P97)</f>
        <v>#DIV/0!</v>
      </c>
      <c r="AL481" s="455">
        <f>-SUMIFS(BV_Data_An_Prec!$AM:$AM,BV_Data_An_Prec!$AQ:$AQ,$V481)</f>
        <v>0</v>
      </c>
      <c r="AM481" s="506"/>
      <c r="AN481" s="457">
        <f t="shared" si="97"/>
        <v>0</v>
      </c>
      <c r="AO481" s="464">
        <f t="shared" si="95"/>
        <v>0</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
        <v>213</v>
      </c>
      <c r="B482" s="3"/>
      <c r="C482" s="431" t="s">
        <v>591</v>
      </c>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0.20540589974143955</v>
      </c>
      <c r="AE482" s="491"/>
      <c r="AF482" s="472">
        <f>SUM(AF470:AF481)</f>
        <v>180088.08000000002</v>
      </c>
      <c r="AG482" s="479"/>
      <c r="AH482" s="475">
        <f t="shared" si="96"/>
        <v>180088.08000000002</v>
      </c>
      <c r="AI482" s="471" t="e">
        <f>AH482/Z482</f>
        <v>#DIV/0!</v>
      </c>
      <c r="AJ482" s="471" t="e">
        <f>AL482/+AL408</f>
        <v>#DIV/0!</v>
      </c>
      <c r="AK482" s="491"/>
      <c r="AL482" s="472">
        <f>SUM(AL470:AL481)</f>
        <v>0</v>
      </c>
      <c r="AM482" s="512"/>
      <c r="AN482" s="475">
        <f t="shared" si="97"/>
        <v>180088.08000000002</v>
      </c>
      <c r="AO482" s="493">
        <f t="shared" si="95"/>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6" customHeight="1">
      <c r="A483" s="5" t="s">
        <v>592</v>
      </c>
      <c r="B483" s="3"/>
      <c r="C483" s="431" t="s">
        <v>591</v>
      </c>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6"/>
      <c r="AG483" s="519"/>
      <c r="AH483" s="520"/>
      <c r="AI483" s="521"/>
      <c r="AJ483" s="514"/>
      <c r="AK483" s="517"/>
      <c r="AL483" s="516"/>
      <c r="AM483" s="522"/>
      <c r="AN483" s="520">
        <f t="shared" si="97"/>
        <v>0</v>
      </c>
      <c r="AO483" s="523">
        <f t="shared" si="95"/>
        <v>0</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
        <v>214</v>
      </c>
      <c r="B484" s="3"/>
      <c r="C484" s="431" t="s">
        <v>591</v>
      </c>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5.3869977370384056E-2</v>
      </c>
      <c r="AF484" s="528">
        <f>AF408-AF469+AF482</f>
        <v>347329.41999999975</v>
      </c>
      <c r="AG484" s="530"/>
      <c r="AH484" s="530">
        <f>AF484-Z484</f>
        <v>347329.41999999975</v>
      </c>
      <c r="AI484" s="531" t="e">
        <f>AH484/Z484</f>
        <v>#DIV/0!</v>
      </c>
      <c r="AJ484" s="526" t="s">
        <v>215</v>
      </c>
      <c r="AK484" s="527" t="e">
        <f>AL484/AL407</f>
        <v>#DIV/0!</v>
      </c>
      <c r="AL484" s="528">
        <f>AL408-AL469+AL482</f>
        <v>0</v>
      </c>
      <c r="AM484" s="533"/>
      <c r="AN484" s="529">
        <f t="shared" si="97"/>
        <v>347329.41999999975</v>
      </c>
      <c r="AO484" s="534">
        <f t="shared" si="95"/>
        <v>0</v>
      </c>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8.25" customHeight="1" thickTop="1">
      <c r="A485" s="5" t="s">
        <v>592</v>
      </c>
      <c r="B485" s="3"/>
      <c r="C485" s="431" t="s">
        <v>591</v>
      </c>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290"/>
      <c r="AG485" s="41"/>
      <c r="AH485" s="41"/>
      <c r="AI485" s="41"/>
      <c r="AJ485" s="41"/>
      <c r="AK485" s="41"/>
      <c r="AL485" s="290"/>
      <c r="AM485" s="41"/>
      <c r="AN485" s="41"/>
      <c r="AO485" s="41"/>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23.25">
      <c r="A486" s="5" t="s">
        <v>1</v>
      </c>
      <c r="B486" s="3"/>
      <c r="C486" s="431" t="s">
        <v>591</v>
      </c>
      <c r="D486" s="38"/>
      <c r="E486" s="38"/>
      <c r="F486" s="38"/>
      <c r="G486" s="38"/>
      <c r="H486" s="38"/>
      <c r="I486" s="38"/>
      <c r="J486" s="38"/>
      <c r="K486" s="38"/>
      <c r="L486" s="38"/>
      <c r="M486" s="38"/>
      <c r="N486" s="38"/>
      <c r="O486" s="38"/>
      <c r="P486" s="38"/>
      <c r="Q486" s="38"/>
      <c r="R486" s="38"/>
      <c r="S486" s="38"/>
      <c r="T486" s="38"/>
      <c r="U486" s="38"/>
      <c r="V486" s="797" t="str">
        <f>C1</f>
        <v>Hyundai</v>
      </c>
      <c r="W486" s="797"/>
      <c r="X486" s="797"/>
      <c r="Y486" s="797"/>
      <c r="Z486" s="797"/>
      <c r="AA486" s="797"/>
      <c r="AB486" s="797"/>
      <c r="AC486" s="797"/>
      <c r="AD486" s="797"/>
      <c r="AE486" s="798" t="s">
        <v>216</v>
      </c>
      <c r="AF486" s="797"/>
      <c r="AG486" s="797"/>
      <c r="AH486" s="797"/>
      <c r="AI486" s="797"/>
      <c r="AJ486" s="797"/>
      <c r="AK486" s="798"/>
      <c r="AL486" s="797"/>
      <c r="AM486" s="797"/>
      <c r="AN486" s="797"/>
      <c r="AO486" s="799" t="str">
        <f>$S$1</f>
        <v>Réalisé, Mai 2025</v>
      </c>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c r="A487" s="5" t="s">
        <v>592</v>
      </c>
      <c r="B487" s="3"/>
      <c r="C487" s="431" t="s">
        <v>591</v>
      </c>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290"/>
      <c r="AG487" s="41"/>
      <c r="AH487" s="41"/>
      <c r="AI487" s="41"/>
      <c r="AJ487" s="41"/>
      <c r="AK487" s="41"/>
      <c r="AL487" s="290"/>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Bot="1">
      <c r="A488" s="5" t="s">
        <v>592</v>
      </c>
      <c r="B488" s="3"/>
      <c r="C488" s="431" t="s">
        <v>591</v>
      </c>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290"/>
      <c r="AG488" s="41"/>
      <c r="AH488" s="41"/>
      <c r="AI488" s="41"/>
      <c r="AJ488" s="41"/>
      <c r="AK488" s="41"/>
      <c r="AL488" s="290"/>
      <c r="AM488" s="41"/>
      <c r="AN488" s="41"/>
      <c r="AO488" s="41"/>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customHeight="1" thickTop="1" thickBot="1">
      <c r="A489" s="5" t="s">
        <v>592</v>
      </c>
      <c r="B489" s="3"/>
      <c r="C489" s="431" t="s">
        <v>591</v>
      </c>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5.8433356636031664E-2</v>
      </c>
      <c r="AF489" s="882">
        <f>AF490+AF416</f>
        <v>376752.03999999975</v>
      </c>
      <c r="AG489" s="530"/>
      <c r="AH489" s="530">
        <f t="shared" ref="AH489" si="101">AF489-Z489</f>
        <v>376752.03999999975</v>
      </c>
      <c r="AI489" s="531" t="e">
        <f>AH489/Z489</f>
        <v>#DIV/0!</v>
      </c>
      <c r="AJ489" s="880" t="s">
        <v>215</v>
      </c>
      <c r="AK489" s="881">
        <f>IF($AL$407=0,0,AL489/$AL$407)</f>
        <v>0</v>
      </c>
      <c r="AL489" s="882">
        <f>AL490+AL416</f>
        <v>0</v>
      </c>
      <c r="AM489" s="533"/>
      <c r="AN489" s="882">
        <f t="shared" ref="AN489" si="102">AF489-AL489</f>
        <v>376752.03999999975</v>
      </c>
      <c r="AO489" s="883">
        <f t="shared" ref="AO489" si="103">IF(AL489=0,0,AN489/AL489)</f>
        <v>0</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
        <v>214</v>
      </c>
      <c r="B490" s="3"/>
      <c r="C490" s="431" t="s">
        <v>591</v>
      </c>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5.3869977370384056E-2</v>
      </c>
      <c r="AF490" s="528">
        <f>AF484</f>
        <v>347329.41999999975</v>
      </c>
      <c r="AG490" s="529"/>
      <c r="AH490" s="530">
        <f>AF490-Z490</f>
        <v>347329.41999999975</v>
      </c>
      <c r="AI490" s="531" t="e">
        <f>AH490/Z490</f>
        <v>#DIV/0!</v>
      </c>
      <c r="AJ490" s="526" t="s">
        <v>215</v>
      </c>
      <c r="AK490" s="527">
        <f>IF($AL$407=0,0,AL490/$AL$407)</f>
        <v>0</v>
      </c>
      <c r="AL490" s="528">
        <f>AL484</f>
        <v>0</v>
      </c>
      <c r="AM490" s="538"/>
      <c r="AN490" s="539">
        <f>AF490-AL490</f>
        <v>347329.41999999975</v>
      </c>
      <c r="AO490" s="540">
        <f>IF(AL490=0,0,AN490/AL490)</f>
        <v>0</v>
      </c>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
        <v>592</v>
      </c>
      <c r="B491" s="3"/>
      <c r="C491" s="431" t="s">
        <v>591</v>
      </c>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2"/>
      <c r="AG491" s="38"/>
      <c r="AH491" s="38"/>
      <c r="AI491" s="543"/>
      <c r="AJ491" s="38"/>
      <c r="AK491" s="38"/>
      <c r="AL491" s="542"/>
      <c r="AM491" s="545"/>
      <c r="AN491" s="38"/>
      <c r="AO491" s="546"/>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217</v>
      </c>
      <c r="B492" s="3"/>
      <c r="C492" s="431" t="s">
        <v>591</v>
      </c>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f>+INDEX('Budget original'!$A$2:$AO$501,MATCH($A492,'Budget original'!$A$2:$A$501,0),MATCH(F$2,'Budget original'!$A$2:$AO$2,0))</f>
        <v>0</v>
      </c>
      <c r="AA492" s="454"/>
      <c r="AB492" s="462"/>
      <c r="AC492" s="455"/>
      <c r="AD492" s="454"/>
      <c r="AE492" s="462"/>
      <c r="AF492" s="455">
        <f>SUMIFS(BV_Data_An_Cour!$AM:$AM,BV_Data_An_Cour!$AQ:$AQ,$V492)</f>
        <v>4188.91</v>
      </c>
      <c r="AG492" s="454"/>
      <c r="AH492" s="457">
        <f t="shared" ref="AH492:AH499" si="104">AF492-Z492</f>
        <v>4188.91</v>
      </c>
      <c r="AI492" s="477">
        <f t="shared" ref="AI492:AI498" si="105">IF(Z492=0,0,AH492/Z492)</f>
        <v>0</v>
      </c>
      <c r="AJ492" s="454"/>
      <c r="AK492" s="462"/>
      <c r="AL492" s="455">
        <f>SUMIFS(BV_Data_An_Prec!$AM:$AM,BV_Data_An_Prec!$AQ:$AQ,$V492)</f>
        <v>0</v>
      </c>
      <c r="AM492" s="459"/>
      <c r="AN492" s="457">
        <f t="shared" ref="AN492:AN499" si="106">AF492-AL492</f>
        <v>4188.91</v>
      </c>
      <c r="AO492" s="464">
        <f t="shared" ref="AO492:AO499" si="107">IF(AL492=0,0,AN492/AL492)</f>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218</v>
      </c>
      <c r="B493" s="3"/>
      <c r="C493" s="431" t="s">
        <v>591</v>
      </c>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f>+INDEX('Budget original'!$A$2:$AO$501,MATCH($A493,'Budget original'!$A$2:$A$501,0),MATCH(F$2,'Budget original'!$A$2:$AO$2,0))</f>
        <v>0</v>
      </c>
      <c r="AA493" s="38"/>
      <c r="AB493" s="38"/>
      <c r="AC493" s="455"/>
      <c r="AD493" s="38"/>
      <c r="AE493" s="41"/>
      <c r="AF493" s="455">
        <f>SUMIFS(BV_Data_An_Cour!$AM:$AM,BV_Data_An_Cour!$AQ:$AQ,$V493)</f>
        <v>0</v>
      </c>
      <c r="AG493" s="38"/>
      <c r="AH493" s="457">
        <f t="shared" si="104"/>
        <v>0</v>
      </c>
      <c r="AI493" s="477">
        <f t="shared" si="105"/>
        <v>0</v>
      </c>
      <c r="AJ493" s="38"/>
      <c r="AK493" s="41"/>
      <c r="AL493" s="455">
        <f>-SUMIFS(BV_Data_An_Prec!$AM:$AM,BV_Data_An_Prec!$AQ:$AQ,$V493)</f>
        <v>0</v>
      </c>
      <c r="AM493" s="545"/>
      <c r="AN493" s="457">
        <f t="shared" si="106"/>
        <v>0</v>
      </c>
      <c r="AO493" s="464">
        <f t="shared" si="107"/>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219</v>
      </c>
      <c r="B494" s="3"/>
      <c r="C494" s="431" t="s">
        <v>591</v>
      </c>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f>+INDEX('Budget original'!$A$2:$AO$501,MATCH($A494,'Budget original'!$A$2:$A$501,0),MATCH(F$2,'Budget original'!$A$2:$AO$2,0))</f>
        <v>0</v>
      </c>
      <c r="AA494" s="38"/>
      <c r="AB494" s="38"/>
      <c r="AC494" s="455"/>
      <c r="AD494" s="38"/>
      <c r="AE494" s="41"/>
      <c r="AF494" s="455">
        <f>SUMIFS(BV_Data_An_Cour!$AM:$AM,BV_Data_An_Cour!$AQ:$AQ,$V494)</f>
        <v>0</v>
      </c>
      <c r="AG494" s="38"/>
      <c r="AH494" s="457">
        <f t="shared" si="104"/>
        <v>0</v>
      </c>
      <c r="AI494" s="477">
        <f t="shared" si="105"/>
        <v>0</v>
      </c>
      <c r="AJ494" s="38"/>
      <c r="AK494" s="41"/>
      <c r="AL494" s="455">
        <f>-SUMIFS(BV_Data_An_Prec!$AM:$AM,BV_Data_An_Prec!$AQ:$AQ,$V494)</f>
        <v>0</v>
      </c>
      <c r="AM494" s="545"/>
      <c r="AN494" s="457">
        <f t="shared" si="106"/>
        <v>0</v>
      </c>
      <c r="AO494" s="464">
        <f t="shared" si="107"/>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220</v>
      </c>
      <c r="B495" s="3"/>
      <c r="C495" s="431" t="s">
        <v>591</v>
      </c>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f>+INDEX('Budget original'!$A$2:$AO$501,MATCH($A495,'Budget original'!$A$2:$A$501,0),MATCH(F$2,'Budget original'!$A$2:$AO$2,0))</f>
        <v>0</v>
      </c>
      <c r="AA495" s="38"/>
      <c r="AB495" s="38"/>
      <c r="AC495" s="455"/>
      <c r="AD495" s="38"/>
      <c r="AE495" s="41"/>
      <c r="AF495" s="455">
        <f>SUMIFS(BV_Data_An_Cour!$AM:$AM,BV_Data_An_Cour!$AQ:$AQ,$V495)</f>
        <v>0</v>
      </c>
      <c r="AG495" s="38"/>
      <c r="AH495" s="457">
        <f t="shared" si="104"/>
        <v>0</v>
      </c>
      <c r="AI495" s="477">
        <f t="shared" si="105"/>
        <v>0</v>
      </c>
      <c r="AJ495" s="38"/>
      <c r="AK495" s="41"/>
      <c r="AL495" s="455">
        <f>-SUMIFS(BV_Data_An_Prec!$AM:$AM,BV_Data_An_Prec!$AQ:$AQ,$V495)</f>
        <v>0</v>
      </c>
      <c r="AM495" s="545"/>
      <c r="AN495" s="457">
        <f t="shared" si="106"/>
        <v>0</v>
      </c>
      <c r="AO495" s="464">
        <f t="shared" si="107"/>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
        <v>55</v>
      </c>
      <c r="B496" s="3"/>
      <c r="C496" s="431" t="s">
        <v>591</v>
      </c>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f>IFERROR(SUMIF($C:$C,$V496,F:F),0)</f>
        <v>0</v>
      </c>
      <c r="AA496" s="454"/>
      <c r="AB496" s="454"/>
      <c r="AC496" s="455"/>
      <c r="AD496" s="463"/>
      <c r="AE496" s="462"/>
      <c r="AF496" s="455">
        <f>IFERROR(SUMIF($C:$C,$V496,L:L),0)</f>
        <v>0</v>
      </c>
      <c r="AG496" s="456"/>
      <c r="AH496" s="457">
        <f t="shared" si="104"/>
        <v>0</v>
      </c>
      <c r="AI496" s="458">
        <f t="shared" si="105"/>
        <v>0</v>
      </c>
      <c r="AJ496" s="463"/>
      <c r="AK496" s="462"/>
      <c r="AL496" s="455">
        <f>-SUMIFS(BV_Data_An_Prec!$AM:$AM,BV_Data_An_Prec!$AQ:$AQ,$V496)</f>
        <v>0</v>
      </c>
      <c r="AM496" s="545"/>
      <c r="AN496" s="457">
        <f t="shared" si="106"/>
        <v>0</v>
      </c>
      <c r="AO496" s="464">
        <f t="shared" si="107"/>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310" t="str">
        <f>V497</f>
        <v>Revenus d'intérêts Floor plan</v>
      </c>
      <c r="B497" s="3"/>
      <c r="C497" s="431" t="s">
        <v>591</v>
      </c>
      <c r="D497" s="38"/>
      <c r="E497" s="38"/>
      <c r="F497" s="94"/>
      <c r="G497" s="38"/>
      <c r="H497" s="38"/>
      <c r="I497" s="94"/>
      <c r="J497" s="38"/>
      <c r="K497" s="38"/>
      <c r="L497" s="38"/>
      <c r="M497" s="94"/>
      <c r="N497" s="38"/>
      <c r="O497" s="38"/>
      <c r="P497" s="38"/>
      <c r="Q497" s="94"/>
      <c r="R497" s="94"/>
      <c r="S497" s="94"/>
      <c r="T497" s="38"/>
      <c r="U497" s="38"/>
      <c r="V497" s="310" t="s">
        <v>1111</v>
      </c>
      <c r="W497" s="41"/>
      <c r="X497" s="41"/>
      <c r="Y497" s="41"/>
      <c r="Z497" s="455">
        <f>+INDEX('Budget original'!$A$2:$AO$501,MATCH($A497,'Budget original'!$A$2:$A$501,0),MATCH(F$2,'Budget original'!$A$2:$AO$2,0))</f>
        <v>0</v>
      </c>
      <c r="AA497" s="454"/>
      <c r="AB497" s="454"/>
      <c r="AC497" s="455"/>
      <c r="AD497" s="463"/>
      <c r="AE497" s="462"/>
      <c r="AF497" s="455">
        <f>SUMIFS(BV_Data_An_Cour!$AM:$AM,BV_Data_An_Cour!$AQ:$AQ,$V497)</f>
        <v>-86.29</v>
      </c>
      <c r="AG497" s="456"/>
      <c r="AH497" s="457">
        <f t="shared" si="104"/>
        <v>-86.29</v>
      </c>
      <c r="AI497" s="458">
        <f t="shared" si="105"/>
        <v>0</v>
      </c>
      <c r="AJ497" s="463"/>
      <c r="AK497" s="462"/>
      <c r="AL497" s="455">
        <f>SUMIFS(BV_Data_An_Prec!$AM:$AM,BV_Data_An_Prec!$AQ:$AQ,$V497)</f>
        <v>0</v>
      </c>
      <c r="AM497" s="545"/>
      <c r="AN497" s="457">
        <f t="shared" si="106"/>
        <v>-86.29</v>
      </c>
      <c r="AO497" s="464">
        <f t="shared" si="107"/>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
        <v>55</v>
      </c>
      <c r="B498" s="3"/>
      <c r="C498" s="431" t="s">
        <v>591</v>
      </c>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IFERROR(SUMIF($C:$C,$V498,F:F),0)</f>
        <v>0</v>
      </c>
      <c r="AA498" s="454"/>
      <c r="AB498" s="454"/>
      <c r="AC498" s="455"/>
      <c r="AD498" s="463"/>
      <c r="AE498" s="462"/>
      <c r="AF498" s="455">
        <f>IFERROR(SUMIF($C:$C,$V498,L:L),0)</f>
        <v>0</v>
      </c>
      <c r="AG498" s="456"/>
      <c r="AH498" s="457">
        <f t="shared" si="104"/>
        <v>0</v>
      </c>
      <c r="AI498" s="458">
        <f t="shared" si="105"/>
        <v>0</v>
      </c>
      <c r="AJ498" s="463"/>
      <c r="AK498" s="462"/>
      <c r="AL498" s="455">
        <f>+INDEX('Réel 2024'!$A$2:$AO$501,MATCH($A498,'Réel 2024'!$A$2:$A$501,0),MATCH(F$2,'Réel 2024'!$A$2:$AO$2,0))</f>
        <v>0</v>
      </c>
      <c r="AM498" s="545"/>
      <c r="AN498" s="457">
        <f t="shared" si="106"/>
        <v>0</v>
      </c>
      <c r="AO498" s="464">
        <f t="shared" si="107"/>
        <v>0</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
        <v>221</v>
      </c>
      <c r="B499" s="3"/>
      <c r="C499" s="431" t="s">
        <v>591</v>
      </c>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5.3233670643014736E-2</v>
      </c>
      <c r="AF499" s="528">
        <f>AF490-AF492-AF493-AF494-AF498-AF497</f>
        <v>343226.79999999976</v>
      </c>
      <c r="AG499" s="530"/>
      <c r="AH499" s="530">
        <f t="shared" si="104"/>
        <v>343226.79999999976</v>
      </c>
      <c r="AI499" s="531" t="e">
        <f>AH499/Z499</f>
        <v>#DIV/0!</v>
      </c>
      <c r="AJ499" s="526" t="s">
        <v>215</v>
      </c>
      <c r="AK499" s="527">
        <f>IF($AL$407=0,0,AL499/$AL$407)</f>
        <v>0</v>
      </c>
      <c r="AL499" s="528">
        <f>AL490-AL492-AL493-AL494-AL498-AL497</f>
        <v>0</v>
      </c>
      <c r="AM499" s="533"/>
      <c r="AN499" s="529">
        <f t="shared" si="106"/>
        <v>343226.79999999976</v>
      </c>
      <c r="AO499" s="547">
        <f t="shared" si="107"/>
        <v>0</v>
      </c>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
        <v>592</v>
      </c>
      <c r="B500" s="3"/>
      <c r="C500" s="38"/>
      <c r="D500" s="38"/>
      <c r="E500" s="38"/>
      <c r="F500" s="94"/>
      <c r="G500" s="38"/>
      <c r="H500" s="38"/>
      <c r="I500" s="94"/>
      <c r="J500" s="38"/>
      <c r="K500" s="38"/>
      <c r="L500" s="38"/>
      <c r="M500" s="94"/>
      <c r="N500" s="38"/>
      <c r="O500" s="38"/>
      <c r="P500" s="38"/>
      <c r="Q500" s="94"/>
      <c r="R500" s="94"/>
      <c r="S500" s="94"/>
      <c r="T500" s="38"/>
      <c r="U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T501" s="38"/>
      <c r="U501" s="38"/>
      <c r="V501" s="38"/>
      <c r="W501" s="38"/>
      <c r="X501" s="38"/>
      <c r="Y501" s="38"/>
      <c r="Z501" s="94"/>
      <c r="AA501" s="38"/>
      <c r="AB501" s="38"/>
      <c r="AC501" s="94"/>
      <c r="AE501" s="549"/>
      <c r="AF501" s="549"/>
      <c r="AG501" s="38"/>
      <c r="AH501" s="38"/>
      <c r="AI501" s="38"/>
      <c r="AJ501" s="548"/>
      <c r="AK501" s="822"/>
      <c r="AL501" s="776"/>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S502" s="94"/>
      <c r="W502" s="38"/>
      <c r="X502" s="38"/>
      <c r="Y502" s="38"/>
      <c r="Z502" s="94"/>
      <c r="AA502" s="38"/>
      <c r="AB502" s="38"/>
      <c r="AC502" s="94"/>
      <c r="AD502" s="38"/>
      <c r="AE502" s="38"/>
      <c r="AF502" s="549"/>
      <c r="AG502" s="38"/>
      <c r="AH502" s="38"/>
      <c r="AI502" s="38"/>
      <c r="AJ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4"/>
      <c r="W503" s="38"/>
      <c r="X503" s="38"/>
      <c r="Y503" s="38"/>
      <c r="AE503" s="38"/>
      <c r="AF503" s="1036"/>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4"/>
      <c r="W504" s="38"/>
      <c r="X504" s="38"/>
      <c r="Y504" s="38"/>
      <c r="Z504" s="38"/>
      <c r="AA504" s="38"/>
      <c r="AB504" s="38"/>
      <c r="AC504" s="38"/>
      <c r="AD504" s="38"/>
      <c r="AE504" s="94"/>
      <c r="AG504" s="38"/>
      <c r="AH504" s="38"/>
      <c r="AI504" s="38"/>
      <c r="AJ504" s="821"/>
      <c r="AK504" s="822"/>
      <c r="AL504" s="776"/>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4"/>
      <c r="W505" s="38"/>
      <c r="X505" s="38"/>
      <c r="Y505" s="38"/>
      <c r="Z505" s="38"/>
      <c r="AA505" s="38"/>
      <c r="AB505" s="38"/>
      <c r="AC505" s="38"/>
      <c r="AD505" s="38"/>
      <c r="AE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4"/>
      <c r="W506" s="38"/>
      <c r="X506" s="38"/>
      <c r="Y506" s="38"/>
      <c r="Z506" s="38"/>
      <c r="AA506" s="38"/>
      <c r="AB506" s="38"/>
      <c r="AC506" s="38"/>
      <c r="AD506" s="38"/>
      <c r="AE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4"/>
      <c r="W507" s="38"/>
      <c r="X507" s="38"/>
      <c r="Y507" s="38"/>
      <c r="Z507" s="38"/>
      <c r="AA507" s="38"/>
      <c r="AB507" s="38"/>
      <c r="AC507" s="38"/>
      <c r="AD507" s="38"/>
      <c r="AE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4"/>
      <c r="W508" s="38"/>
      <c r="X508" s="38"/>
      <c r="Y508" s="38"/>
      <c r="Z508" s="38"/>
      <c r="AA508" s="38"/>
      <c r="AB508" s="38"/>
      <c r="AC508" s="38"/>
      <c r="AD508" s="38"/>
      <c r="AE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4"/>
      <c r="W509" s="38"/>
      <c r="X509" s="38"/>
      <c r="Y509" s="38"/>
      <c r="Z509" s="38"/>
      <c r="AA509" s="38"/>
      <c r="AB509" s="38"/>
      <c r="AC509" s="38"/>
      <c r="AD509" s="38"/>
      <c r="AE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4"/>
      <c r="W510" s="38"/>
      <c r="X510" s="38"/>
      <c r="Y510" s="38"/>
      <c r="Z510" s="38"/>
      <c r="AA510" s="38"/>
      <c r="AB510" s="38"/>
      <c r="AC510" s="38"/>
      <c r="AD510" s="38"/>
      <c r="AE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4"/>
      <c r="W511" s="38"/>
      <c r="X511" s="38"/>
      <c r="Y511" s="38"/>
      <c r="Z511" s="38"/>
      <c r="AA511" s="38"/>
      <c r="AB511" s="38"/>
      <c r="AC511" s="38"/>
      <c r="AD511" s="38"/>
      <c r="AE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4"/>
      <c r="W512" s="38"/>
      <c r="X512" s="38"/>
      <c r="Y512" s="38"/>
      <c r="Z512" s="38"/>
      <c r="AA512" s="38"/>
      <c r="AB512" s="38"/>
      <c r="AC512" s="38"/>
      <c r="AD512" s="38"/>
      <c r="AE512" s="38"/>
      <c r="AF512" s="549"/>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4"/>
      <c r="W513" s="38"/>
      <c r="X513" s="38"/>
      <c r="Y513" s="38"/>
      <c r="Z513" s="38"/>
      <c r="AA513" s="38"/>
      <c r="AB513" s="38"/>
      <c r="AC513" s="38"/>
      <c r="AD513" s="38"/>
      <c r="AE513" s="38"/>
      <c r="AF513" s="861"/>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4"/>
      <c r="W514" s="38"/>
      <c r="X514" s="38"/>
      <c r="Y514" s="38"/>
      <c r="Z514" s="38"/>
      <c r="AA514" s="38"/>
      <c r="AB514" s="38"/>
      <c r="AC514" s="38"/>
      <c r="AD514" s="38"/>
      <c r="AE514" s="38"/>
      <c r="AF514" s="861"/>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4"/>
      <c r="W515" s="38"/>
      <c r="X515" s="38"/>
      <c r="Y515" s="38"/>
      <c r="Z515" s="38"/>
      <c r="AA515" s="38"/>
      <c r="AB515" s="38"/>
      <c r="AC515" s="38"/>
      <c r="AD515" s="38"/>
      <c r="AE515" s="38"/>
      <c r="AF515" s="861"/>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454"/>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4"/>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4"/>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4"/>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4"/>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4"/>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4"/>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4"/>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4"/>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4"/>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454"/>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D113">
    <cfRule type="expression" dxfId="125" priority="31" stopIfTrue="1">
      <formula>"esterreur(reference)"</formula>
    </cfRule>
  </conditionalFormatting>
  <conditionalFormatting sqref="D173:D182">
    <cfRule type="expression" dxfId="124" priority="389" stopIfTrue="1">
      <formula>"esterreur(reference)"</formula>
    </cfRule>
  </conditionalFormatting>
  <conditionalFormatting sqref="D401">
    <cfRule type="expression" dxfId="123" priority="38" stopIfTrue="1">
      <formula>"esterreur(reference)"</formula>
    </cfRule>
  </conditionalFormatting>
  <conditionalFormatting sqref="E187">
    <cfRule type="expression" dxfId="122" priority="390" stopIfTrue="1">
      <formula>"esterreur(reference)"</formula>
    </cfRule>
  </conditionalFormatting>
  <conditionalFormatting sqref="F5">
    <cfRule type="expression" dxfId="121" priority="387" stopIfTrue="1">
      <formula>"esterreur(reference)"</formula>
    </cfRule>
  </conditionalFormatting>
  <conditionalFormatting sqref="F83:F85">
    <cfRule type="expression" dxfId="120" priority="386" stopIfTrue="1">
      <formula>"esterreur(reference)"</formula>
    </cfRule>
  </conditionalFormatting>
  <conditionalFormatting sqref="F102">
    <cfRule type="expression" dxfId="119" priority="391" stopIfTrue="1">
      <formula>"esterreur(reference)"</formula>
    </cfRule>
  </conditionalFormatting>
  <conditionalFormatting sqref="F185">
    <cfRule type="expression" dxfId="118" priority="188" stopIfTrue="1">
      <formula>"esterreur(reference)"</formula>
    </cfRule>
  </conditionalFormatting>
  <conditionalFormatting sqref="G31:G32">
    <cfRule type="expression" dxfId="117" priority="384" stopIfTrue="1">
      <formula>"esterreur(reference)"</formula>
    </cfRule>
  </conditionalFormatting>
  <conditionalFormatting sqref="G113:G114">
    <cfRule type="expression" dxfId="116" priority="367" stopIfTrue="1">
      <formula>"esterreur(reference)"</formula>
    </cfRule>
  </conditionalFormatting>
  <conditionalFormatting sqref="G173:G182">
    <cfRule type="expression" dxfId="115" priority="388" stopIfTrue="1">
      <formula>"esterreur(reference)"</formula>
    </cfRule>
  </conditionalFormatting>
  <conditionalFormatting sqref="H25:H26 H28:H72">
    <cfRule type="expression" dxfId="114" priority="379" stopIfTrue="1">
      <formula>"esterreur(reference)"</formula>
    </cfRule>
  </conditionalFormatting>
  <conditionalFormatting sqref="H361 J361:L361">
    <cfRule type="expression" dxfId="113" priority="58" stopIfTrue="1">
      <formula>"esterreur(reference)"</formula>
    </cfRule>
  </conditionalFormatting>
  <conditionalFormatting sqref="H244:J244">
    <cfRule type="expression" dxfId="112" priority="25" stopIfTrue="1">
      <formula>"esterreur(reference)"</formula>
    </cfRule>
  </conditionalFormatting>
  <conditionalFormatting sqref="H198:L198">
    <cfRule type="expression" dxfId="111" priority="61" stopIfTrue="1">
      <formula>"esterreur(reference)"</formula>
    </cfRule>
  </conditionalFormatting>
  <conditionalFormatting sqref="H397:L400">
    <cfRule type="expression" dxfId="110" priority="55" stopIfTrue="1">
      <formula>"esterreur(reference)"</formula>
    </cfRule>
  </conditionalFormatting>
  <conditionalFormatting sqref="I16:I18 I20 I24:I30">
    <cfRule type="expression" dxfId="109" priority="385" stopIfTrue="1">
      <formula>"esterreur(reference)"</formula>
    </cfRule>
  </conditionalFormatting>
  <conditionalFormatting sqref="I378:L378 J379:L395 H379:H396">
    <cfRule type="expression" dxfId="108" priority="56" stopIfTrue="1">
      <formula>"esterreur(reference)"</formula>
    </cfRule>
  </conditionalFormatting>
  <conditionalFormatting sqref="J3 L6:L14 I13:J14 J18:J24 J25:L26 J27 J28:L30 J31:K36 J37 J38:K52 H83:L85 H86:K88 L86:L90 H90:I90 K90 J90:J91 K93:L95 P93:Q95 L96 Q96 H97:I97 H98:L98 O98:Q98 K99:L101 P99:Q101 I102:L102 H102:H105 O102:Q122 J103:L105 I106:L112 H107:H135 J113:L122 I123:K123 O123:P133 J124:K133 J134:L135 O134:Q154 H136:L136 H137:H153 J137:L153 H154:L154 H157:H158 J157:K158 O157:P158 H165:L165 O165:Q165 H166 J166:K166 O166:P166 H167:K168 L168:L170 H170:I170 K170 J170:J172 H172:I172 K172:L174 H174:I174 J174:J175 I175 L175 K176:L177 H177:J177 I178:J178 L178 K179:L179 H180:L180 I181:J181 L181 K182:L183 H183:I184 J183:J188 L184 K184:K185 H186:I188 K186:L197 H190:J191 H193:J197 J199:K201 H199:H230 J202 J203:K230 H233:L233 H234 J234:K234 H235:K236 L235:L238 H238:I238 K238 J238:J241 H240:I241 K240:L242 K244:L245 H253:L254 H255:H285 J255:K285 L268:L286 H286:J286 H289:L289 H290 J290:K290 H291:K291 L291:L293 H293:I293 K293 J293:J294 H295:I295 K295:L295 K296:K304 H305:I307 K305:L307 K308:K309 H310:I312 K310:L312 K313:M313 H314:I315 K314:L315 H316:L318 L319:L330 H319:H349 J319:K349 H350:L350 H353:L353 H354:H356 J354:K356 H362:L365 H366:H377 J366:L377 H401 J401:K401">
    <cfRule type="expression" dxfId="107" priority="40" stopIfTrue="1">
      <formula>"esterreur(reference)"</formula>
    </cfRule>
  </conditionalFormatting>
  <conditionalFormatting sqref="J16 L16:L24">
    <cfRule type="expression" dxfId="106" priority="27" stopIfTrue="1">
      <formula>"esterreur(reference)"</formula>
    </cfRule>
  </conditionalFormatting>
  <conditionalFormatting sqref="J296:J315">
    <cfRule type="expression" dxfId="105" priority="1" stopIfTrue="1">
      <formula>"esterreur(reference)"</formula>
    </cfRule>
  </conditionalFormatting>
  <conditionalFormatting sqref="J53:L72">
    <cfRule type="expression" dxfId="104" priority="26" stopIfTrue="1">
      <formula>"esterreur(reference)"</formula>
    </cfRule>
  </conditionalFormatting>
  <conditionalFormatting sqref="K396">
    <cfRule type="expression" dxfId="103" priority="59" stopIfTrue="1">
      <formula>"esterreur(reference)"</formula>
    </cfRule>
  </conditionalFormatting>
  <conditionalFormatting sqref="K5:L5">
    <cfRule type="expression" dxfId="102" priority="167" stopIfTrue="1">
      <formula>"esterreur(reference)"</formula>
    </cfRule>
  </conditionalFormatting>
  <conditionalFormatting sqref="K248:L248">
    <cfRule type="expression" dxfId="101" priority="147" stopIfTrue="1">
      <formula>"esterreur(reference)"</formula>
    </cfRule>
  </conditionalFormatting>
  <conditionalFormatting sqref="L36:L37">
    <cfRule type="expression" dxfId="100" priority="28" stopIfTrue="1">
      <formula>"esterreur(reference)"</formula>
    </cfRule>
  </conditionalFormatting>
  <conditionalFormatting sqref="L75:L82">
    <cfRule type="expression" dxfId="99" priority="47" stopIfTrue="1">
      <formula>"esterreur(reference)"</formula>
    </cfRule>
  </conditionalFormatting>
  <conditionalFormatting sqref="L157:L163">
    <cfRule type="expression" dxfId="98" priority="125" stopIfTrue="1">
      <formula>"esterreur(reference)"</formula>
    </cfRule>
  </conditionalFormatting>
  <conditionalFormatting sqref="L199:L210">
    <cfRule type="expression" dxfId="97" priority="102" stopIfTrue="1">
      <formula>"esterreur(reference)"</formula>
    </cfRule>
  </conditionalFormatting>
  <conditionalFormatting sqref="L212:L229">
    <cfRule type="expression" dxfId="96" priority="104" stopIfTrue="1">
      <formula>"esterreur(reference)"</formula>
    </cfRule>
  </conditionalFormatting>
  <conditionalFormatting sqref="L255:L266">
    <cfRule type="expression" dxfId="95" priority="148" stopIfTrue="1">
      <formula>"esterreur(reference)"</formula>
    </cfRule>
  </conditionalFormatting>
  <conditionalFormatting sqref="L347:L349">
    <cfRule type="expression" dxfId="94" priority="68" stopIfTrue="1">
      <formula>"esterreur(reference)"</formula>
    </cfRule>
  </conditionalFormatting>
  <conditionalFormatting sqref="L357:L358 H358:I358 K358 J358:J359 H360:L360">
    <cfRule type="expression" dxfId="93" priority="54" stopIfTrue="1">
      <formula>"esterreur(reference)"</formula>
    </cfRule>
  </conditionalFormatting>
  <conditionalFormatting sqref="M95:M97">
    <cfRule type="expression" dxfId="92" priority="41" stopIfTrue="1">
      <formula>"esterreur(reference)"</formula>
    </cfRule>
  </conditionalFormatting>
  <conditionalFormatting sqref="N210">
    <cfRule type="expression" dxfId="91" priority="30" stopIfTrue="1">
      <formula>"esterreur(reference)"</formula>
    </cfRule>
  </conditionalFormatting>
  <conditionalFormatting sqref="N319:N329">
    <cfRule type="expression" dxfId="90" priority="35" stopIfTrue="1">
      <formula>"esterreur(reference)"</formula>
    </cfRule>
  </conditionalFormatting>
  <conditionalFormatting sqref="N198:Q198">
    <cfRule type="expression" dxfId="89" priority="15" stopIfTrue="1">
      <formula>"esterreur(reference)"</formula>
    </cfRule>
  </conditionalFormatting>
  <conditionalFormatting sqref="O16 Q16:Q24">
    <cfRule type="expression" dxfId="88" priority="20" stopIfTrue="1">
      <formula>"esterreur(reference)"</formula>
    </cfRule>
  </conditionalFormatting>
  <conditionalFormatting sqref="O172 P172:Q174 O174:O175 Q175 P176:Q177 O177:O178 Q178 P179:Q179 O180:Q180 O181 Q181 P182:Q183 O183:O188 Q184 P184:P185 P186:Q197 O190:O191 O193:O197 O199:P201 O202 O203:P230 O233:Q233 O234:P234">
    <cfRule type="expression" dxfId="87" priority="14" stopIfTrue="1">
      <formula>"esterreur(reference)"</formula>
    </cfRule>
  </conditionalFormatting>
  <conditionalFormatting sqref="O244">
    <cfRule type="expression" dxfId="86" priority="9" stopIfTrue="1">
      <formula>"esterreur(reference)"</formula>
    </cfRule>
  </conditionalFormatting>
  <conditionalFormatting sqref="O296:P304 O305:Q307 O308:P309 O310:Q318 Q319:Q330 O319:P349 O350:Q350 O353:Q353 O354:P354">
    <cfRule type="expression" dxfId="85" priority="7" stopIfTrue="1">
      <formula>"esterreur(reference)"</formula>
    </cfRule>
  </conditionalFormatting>
  <conditionalFormatting sqref="O53:Q72">
    <cfRule type="expression" dxfId="84" priority="19" stopIfTrue="1">
      <formula>"esterreur(reference)"</formula>
    </cfRule>
  </conditionalFormatting>
  <conditionalFormatting sqref="O360:Q395">
    <cfRule type="expression" dxfId="83" priority="2" stopIfTrue="1">
      <formula>"esterreur(reference)"</formula>
    </cfRule>
  </conditionalFormatting>
  <conditionalFormatting sqref="O397:Q400">
    <cfRule type="expression" dxfId="82" priority="3" stopIfTrue="1">
      <formula>"esterreur(reference)"</formula>
    </cfRule>
  </conditionalFormatting>
  <conditionalFormatting sqref="P396">
    <cfRule type="expression" dxfId="81" priority="6" stopIfTrue="1">
      <formula>"esterreur(reference)"</formula>
    </cfRule>
  </conditionalFormatting>
  <conditionalFormatting sqref="P5:Q5">
    <cfRule type="expression" dxfId="80" priority="24" stopIfTrue="1">
      <formula>"esterreur(reference)"</formula>
    </cfRule>
  </conditionalFormatting>
  <conditionalFormatting sqref="P242:Q242 P244:Q245 O253:Q254 O255:P285 Q268:Q286 O286 O289:Q289 O290:P290">
    <cfRule type="expression" dxfId="79" priority="10" stopIfTrue="1">
      <formula>"esterreur(reference)"</formula>
    </cfRule>
  </conditionalFormatting>
  <conditionalFormatting sqref="P248:Q248">
    <cfRule type="expression" dxfId="78" priority="12" stopIfTrue="1">
      <formula>"esterreur(reference)"</formula>
    </cfRule>
  </conditionalFormatting>
  <conditionalFormatting sqref="Q6:Q14 O13:O14 O18:O24 O25:Q26 O27 O28:Q30 O31:P36 O37 O38:P52 O83:Q85">
    <cfRule type="expression" dxfId="77" priority="22" stopIfTrue="1">
      <formula>"esterreur(reference)"</formula>
    </cfRule>
  </conditionalFormatting>
  <conditionalFormatting sqref="Q36:Q37">
    <cfRule type="expression" dxfId="76" priority="21" stopIfTrue="1">
      <formula>"esterreur(reference)"</formula>
    </cfRule>
  </conditionalFormatting>
  <conditionalFormatting sqref="Q75:Q82">
    <cfRule type="expression" dxfId="75" priority="23" stopIfTrue="1">
      <formula>"esterreur(reference)"</formula>
    </cfRule>
  </conditionalFormatting>
  <conditionalFormatting sqref="Q157:Q163">
    <cfRule type="expression" dxfId="74" priority="18" stopIfTrue="1">
      <formula>"esterreur(reference)"</formula>
    </cfRule>
  </conditionalFormatting>
  <conditionalFormatting sqref="Q199:Q210">
    <cfRule type="expression" dxfId="73" priority="16" stopIfTrue="1">
      <formula>"esterreur(reference)"</formula>
    </cfRule>
  </conditionalFormatting>
  <conditionalFormatting sqref="Q212:Q229">
    <cfRule type="expression" dxfId="72" priority="17" stopIfTrue="1">
      <formula>"esterreur(reference)"</formula>
    </cfRule>
  </conditionalFormatting>
  <conditionalFormatting sqref="Q255:Q266">
    <cfRule type="expression" dxfId="71" priority="13" stopIfTrue="1">
      <formula>"esterreur(reference)"</formula>
    </cfRule>
  </conditionalFormatting>
  <conditionalFormatting sqref="Q347:Q349">
    <cfRule type="expression" dxfId="70" priority="8" stopIfTrue="1">
      <formula>"esterreur(reference)"</formula>
    </cfRule>
  </conditionalFormatting>
  <conditionalFormatting sqref="R313">
    <cfRule type="expression" dxfId="69" priority="49" stopIfTrue="1">
      <formula>"esterreur(reference)"</formula>
    </cfRule>
  </conditionalFormatting>
  <conditionalFormatting sqref="S187">
    <cfRule type="expression" dxfId="68" priority="191" stopIfTrue="1">
      <formula>"esterreur(reference)"</formula>
    </cfRule>
  </conditionalFormatting>
  <conditionalFormatting sqref="AG410:AI419 AH421:AI433 AH435:AI452 AH454:AI461 AH462:AH463 AH464:AI466 AH468:AI468 AH492:AI498">
    <cfRule type="cellIs" dxfId="67" priority="50" operator="greaterThan">
      <formula>0</formula>
    </cfRule>
  </conditionalFormatting>
  <conditionalFormatting sqref="AH470:AI477 AH481:AI481">
    <cfRule type="cellIs" dxfId="66" priority="51" operator="lessThan">
      <formula>0</formula>
    </cfRule>
  </conditionalFormatting>
  <conditionalFormatting sqref="AH478:AI480">
    <cfRule type="cellIs" dxfId="65" priority="375" operator="greaterThan">
      <formula>0</formula>
    </cfRule>
  </conditionalFormatting>
  <conditionalFormatting sqref="AO410:AO419">
    <cfRule type="cellIs" dxfId="64" priority="192"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6" min="2" max="18" man="1"/>
    <brk id="234" min="2" max="18" man="1"/>
    <brk id="290" min="2" max="18" man="1"/>
    <brk id="354" man="1"/>
    <brk id="290" man="1"/>
    <brk id="291" man="1"/>
    <brk id="484" man="1"/>
    <brk id="356" man="1"/>
    <brk id="485" man="1"/>
    <brk id="85" man="1"/>
    <brk id="168" man="1"/>
    <brk id="88" man="1"/>
    <brk id="236" man="1"/>
    <brk id="400" man="1"/>
  </rowBreaks>
  <ignoredErrors>
    <ignoredError sqref="AF458 AF496 Z496 AH449:AI469 AH471:AI471 AH470" formula="1"/>
    <ignoredError sqref="AI470"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00"/>
  <sheetViews>
    <sheetView topLeftCell="T454" zoomScale="80" zoomScaleNormal="80" workbookViewId="0">
      <selection activeCell="AS431" sqref="AS431"/>
    </sheetView>
  </sheetViews>
  <sheetFormatPr baseColWidth="10" defaultColWidth="12.625" defaultRowHeight="15" customHeight="1"/>
  <cols>
    <col min="1" max="1" width="24.125" hidden="1" customWidth="1"/>
    <col min="2" max="2" width="23.375" hidden="1" customWidth="1"/>
    <col min="3" max="3" width="34.625" customWidth="1"/>
    <col min="4" max="4" width="16.375" hidden="1" customWidth="1"/>
    <col min="5" max="5" width="15.625" hidden="1" customWidth="1"/>
    <col min="6" max="6" width="16.875" hidden="1"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hidden="1" customWidth="1"/>
    <col min="14" max="14" width="18.625" hidden="1"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hidden="1" customWidth="1"/>
    <col min="25" max="25" width="12.5" hidden="1" customWidth="1"/>
    <col min="26" max="26" width="17.375" hidden="1"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hidden="1" customWidth="1"/>
    <col min="34" max="34" width="16.25" hidden="1" customWidth="1"/>
    <col min="35" max="35" width="15" hidden="1" customWidth="1"/>
    <col min="36" max="37" width="13.125" customWidth="1"/>
    <col min="38" max="38" width="17.5" customWidth="1"/>
    <col min="39" max="39" width="10.875" customWidth="1"/>
    <col min="40" max="40" width="16" customWidth="1"/>
    <col min="41" max="41" width="12.375" customWidth="1"/>
    <col min="42" max="42" width="11" customWidth="1"/>
    <col min="43" max="43" width="15.75" hidden="1" customWidth="1"/>
    <col min="44" max="44" width="19.875" hidden="1" customWidth="1"/>
    <col min="45" max="62" width="11" customWidth="1"/>
  </cols>
  <sheetData>
    <row r="1" spans="1:40" ht="35.25">
      <c r="B1" s="36"/>
      <c r="C1" s="764" t="str">
        <f>Parametres!B1</f>
        <v>Hyundai</v>
      </c>
      <c r="D1" s="231"/>
      <c r="E1" s="231"/>
      <c r="F1" s="231"/>
      <c r="G1" s="231"/>
      <c r="H1" s="36"/>
      <c r="I1" s="231"/>
      <c r="J1" s="36"/>
      <c r="K1" s="9" t="s">
        <v>88</v>
      </c>
      <c r="L1" s="231"/>
      <c r="M1" s="231"/>
      <c r="N1" s="233"/>
      <c r="O1" s="774"/>
      <c r="P1" s="773"/>
      <c r="Q1" s="774"/>
      <c r="R1" s="773"/>
      <c r="S1" s="775" t="str">
        <f>CONCATENATE("Réalisé AAJ,"," ",Parametres!B3," ",Parametres!B4)</f>
        <v>Réalisé AAJ, Mai 2025</v>
      </c>
      <c r="T1" s="231" t="s">
        <v>333</v>
      </c>
      <c r="U1" s="36"/>
      <c r="V1" s="36"/>
      <c r="W1" s="36"/>
      <c r="X1" s="36"/>
      <c r="Y1" s="36"/>
      <c r="Z1" s="36"/>
      <c r="AA1" s="36"/>
      <c r="AB1" s="36"/>
      <c r="AC1" s="36"/>
      <c r="AD1" s="36"/>
      <c r="AE1" s="36"/>
      <c r="AF1" s="36"/>
      <c r="AG1" s="36"/>
      <c r="AH1" s="36"/>
      <c r="AI1" s="36"/>
      <c r="AJ1" s="36"/>
      <c r="AK1" s="36"/>
      <c r="AL1" s="36"/>
      <c r="AM1" s="36"/>
      <c r="AN1" s="36"/>
    </row>
    <row r="2" spans="1:40" ht="15" customHeight="1" thickBot="1">
      <c r="B2" s="3"/>
      <c r="C2" s="37"/>
      <c r="D2" s="234" t="s">
        <v>334</v>
      </c>
      <c r="E2" s="234" t="s">
        <v>335</v>
      </c>
      <c r="F2" s="234" t="s">
        <v>336</v>
      </c>
      <c r="G2" s="234"/>
      <c r="H2" s="234"/>
      <c r="I2" s="234"/>
      <c r="J2" s="234" t="s">
        <v>337</v>
      </c>
      <c r="K2" s="234"/>
      <c r="L2" s="234" t="s">
        <v>299</v>
      </c>
      <c r="M2" s="38"/>
      <c r="N2" s="38"/>
      <c r="O2" s="234" t="s">
        <v>337</v>
      </c>
      <c r="P2" s="234"/>
      <c r="Q2" s="234" t="s">
        <v>299</v>
      </c>
      <c r="R2" s="38"/>
      <c r="S2" s="38"/>
      <c r="T2" s="38"/>
      <c r="U2" s="38"/>
      <c r="X2" s="234" t="s">
        <v>334</v>
      </c>
      <c r="Y2" s="234" t="s">
        <v>335</v>
      </c>
      <c r="Z2" s="234" t="s">
        <v>336</v>
      </c>
      <c r="AC2" s="5"/>
      <c r="AJ2" s="234" t="s">
        <v>334</v>
      </c>
      <c r="AK2" s="234" t="s">
        <v>335</v>
      </c>
      <c r="AL2" s="234" t="s">
        <v>336</v>
      </c>
    </row>
    <row r="3" spans="1:40" ht="21" thickTop="1">
      <c r="B3" s="41"/>
      <c r="C3" s="237"/>
      <c r="D3" s="1058" t="s">
        <v>339</v>
      </c>
      <c r="E3" s="1059"/>
      <c r="F3" s="1060"/>
      <c r="G3" s="1061"/>
      <c r="H3" s="1059"/>
      <c r="I3" s="1060"/>
      <c r="J3" s="1061" t="s">
        <v>340</v>
      </c>
      <c r="K3" s="1059"/>
      <c r="L3" s="1060"/>
      <c r="M3" s="1061" t="s">
        <v>681</v>
      </c>
      <c r="N3" s="1060"/>
      <c r="O3" s="1058" t="s">
        <v>341</v>
      </c>
      <c r="P3" s="1059"/>
      <c r="Q3" s="1060"/>
      <c r="R3" s="1062" t="s">
        <v>683</v>
      </c>
      <c r="S3" s="1063"/>
      <c r="T3" s="41"/>
      <c r="U3" s="41"/>
      <c r="V3" s="5" t="s">
        <v>343</v>
      </c>
      <c r="W3" s="550">
        <v>0.45</v>
      </c>
      <c r="X3" s="41"/>
      <c r="Y3" s="41"/>
      <c r="Z3" s="41"/>
      <c r="AA3" s="41"/>
      <c r="AB3" s="41"/>
      <c r="AC3" s="41"/>
      <c r="AD3" s="41"/>
      <c r="AE3" s="41"/>
      <c r="AF3" s="41"/>
      <c r="AG3" s="41"/>
      <c r="AH3" s="41"/>
      <c r="AI3" s="41"/>
      <c r="AJ3" s="41"/>
      <c r="AK3" s="41"/>
      <c r="AL3" s="41"/>
      <c r="AM3" s="41"/>
      <c r="AN3" s="41"/>
    </row>
    <row r="4" spans="1:40" ht="20.25">
      <c r="B4" s="41"/>
      <c r="C4" s="240"/>
      <c r="D4" s="241" t="s">
        <v>89</v>
      </c>
      <c r="E4" s="242" t="s">
        <v>344</v>
      </c>
      <c r="F4" s="243" t="s">
        <v>91</v>
      </c>
      <c r="G4" s="244"/>
      <c r="H4" s="242"/>
      <c r="I4" s="243"/>
      <c r="J4" s="244" t="s">
        <v>684</v>
      </c>
      <c r="K4" s="242" t="s">
        <v>90</v>
      </c>
      <c r="L4" s="243" t="s">
        <v>91</v>
      </c>
      <c r="M4" s="244" t="s">
        <v>684</v>
      </c>
      <c r="N4" s="243" t="s">
        <v>91</v>
      </c>
      <c r="O4" s="244" t="s">
        <v>684</v>
      </c>
      <c r="P4" s="242" t="s">
        <v>90</v>
      </c>
      <c r="Q4" s="243" t="s">
        <v>91</v>
      </c>
      <c r="R4" s="244" t="s">
        <v>684</v>
      </c>
      <c r="S4" s="243" t="s">
        <v>91</v>
      </c>
      <c r="T4" s="41"/>
      <c r="U4" s="41"/>
      <c r="V4" s="5" t="s">
        <v>345</v>
      </c>
      <c r="W4" s="550">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5" t="s">
        <v>92</v>
      </c>
      <c r="D5" s="246"/>
      <c r="E5" s="246"/>
      <c r="F5" s="247" cm="1">
        <f t="array" ref="F5">+SUMPRODUCT(('Budget original'!$A$8:$A$501=$A5)*('Budget original'!$C$3:$AO$3=F$2),'Budget original'!$C$8:$AO$501)</f>
        <v>0</v>
      </c>
      <c r="G5" s="245"/>
      <c r="H5" s="246"/>
      <c r="I5" s="248"/>
      <c r="J5" s="245"/>
      <c r="K5" s="249"/>
      <c r="L5" s="247">
        <f>-SUMIFS(BV_Data_An_Cour!$AN:$AN,BV_Data_An_Cour!$AS:$AS,"Oui",BV_Data_An_Cour!$AP:$AP,$B5)</f>
        <v>17755633.539999999</v>
      </c>
      <c r="M5" s="250"/>
      <c r="N5" s="251"/>
      <c r="O5" s="245"/>
      <c r="P5" s="249"/>
      <c r="Q5" s="247">
        <f>-SUMIFS(BV_Data_An_Prec!$AN:$AN,BV_Data_An_Prec!$AS:$AS,"Oui",BV_Data_An_Prec!$AP:$AP,$B5)</f>
        <v>0</v>
      </c>
      <c r="R5" s="250"/>
      <c r="S5" s="251"/>
      <c r="T5" s="41"/>
      <c r="U5" s="41"/>
      <c r="V5" s="551" t="s">
        <v>347</v>
      </c>
      <c r="W5" s="552">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2" t="s">
        <v>93</v>
      </c>
      <c r="D6" s="253" cm="1">
        <f t="array" ref="D6">+SUMPRODUCT(('Budget original'!$A$8:$A$501=$A6)*('Budget original'!$C$3:$AO$3=D$2),'Budget original'!$C$8:$AO$501)</f>
        <v>0</v>
      </c>
      <c r="E6" s="253">
        <f t="shared" ref="E6:E12" si="2">IF(D6=0,0,F6/D6)</f>
        <v>0</v>
      </c>
      <c r="F6" s="253" cm="1">
        <f t="array" ref="F6">+SUMPRODUCT(('Budget original'!$A$8:$A$501=$A6)*('Budget original'!$C$3:$AO$3=F$2),'Budget original'!$C$8:$AO$501)</f>
        <v>0</v>
      </c>
      <c r="G6" s="254"/>
      <c r="H6" s="253"/>
      <c r="I6" s="253"/>
      <c r="J6" s="254">
        <f>SUMIFS(BV_Data_An_Cour!$AX:$AX,BV_Data_An_Cour!$AP:$AP,$B6,BV_Data_An_Cour!$AQ:$AQ,$C6,BV_Data_An_Cour!$AY:$AY,J$2)</f>
        <v>51</v>
      </c>
      <c r="K6" s="253">
        <f t="shared" ref="K6:K12" si="3">IF(J6=0,0,L6/J6)</f>
        <v>1887.034117647059</v>
      </c>
      <c r="L6" s="255">
        <f>-SUMIFS(BV_Data_An_Cour!$AN:$AN,BV_Data_An_Cour!$AP:$AP,$B6,BV_Data_An_Cour!$AQ:$AQ,$C6,BV_Data_An_Cour!$AR:$AR,L$2)</f>
        <v>96238.74</v>
      </c>
      <c r="M6" s="254">
        <f t="shared" ref="M6:M12" si="4">J6-D6</f>
        <v>51</v>
      </c>
      <c r="N6" s="255">
        <f t="shared" ref="N6:N12" si="5">L6-F6</f>
        <v>96238.74</v>
      </c>
      <c r="O6" s="254">
        <f>SUMIFS(BV_Data_An_Prec!$AX:$AX,BV_Data_An_Prec!$AP:$AP,$B6,BV_Data_An_Prec!$AQ:$AQ,$C6,BV_Data_An_Prec!$AY:$AY,O$2)</f>
        <v>0</v>
      </c>
      <c r="P6" s="253">
        <f t="shared" ref="P6:P12" si="6">IF(O6=0,0,Q6/O6)</f>
        <v>0</v>
      </c>
      <c r="Q6" s="255">
        <f>-SUMIFS(BV_Data_An_Prec!$AN:$AN,BV_Data_An_Prec!$AP:$AP,$B6,BV_Data_An_Prec!$AQ:$AQ,$C6,BV_Data_An_Prec!$AR:$AR,Q$2)</f>
        <v>0</v>
      </c>
      <c r="R6" s="254">
        <f t="shared" ref="R6:R12" si="7">J6-O6</f>
        <v>51</v>
      </c>
      <c r="S6" s="255">
        <f t="shared" ref="S6:S12" si="8">L6-Q6</f>
        <v>96238.74</v>
      </c>
      <c r="T6" s="41"/>
      <c r="U6" s="41"/>
      <c r="V6" s="551" t="s">
        <v>349</v>
      </c>
      <c r="W6" s="552">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2" t="s">
        <v>94</v>
      </c>
      <c r="D7" s="253" cm="1">
        <f t="array" ref="D7">+SUMPRODUCT(('Budget original'!$A$8:$A$501=$A7)*('Budget original'!$C$3:$AO$3=D$2),'Budget original'!$C$8:$AO$501)</f>
        <v>0</v>
      </c>
      <c r="E7" s="253">
        <f t="shared" si="2"/>
        <v>0</v>
      </c>
      <c r="F7" s="253" cm="1">
        <f t="array" ref="F7">+SUMPRODUCT(('Budget original'!$A$8:$A$501=$A7)*('Budget original'!$C$3:$AO$3=F$2),'Budget original'!$C$8:$AO$501)</f>
        <v>0</v>
      </c>
      <c r="G7" s="254"/>
      <c r="H7" s="253"/>
      <c r="I7" s="253"/>
      <c r="J7" s="254">
        <f>SUMIFS(BV_Data_An_Cour!$AX:$AX,BV_Data_An_Cour!$AP:$AP,$B7,BV_Data_An_Cour!$AQ:$AQ,$C7,BV_Data_An_Cour!$AY:$AY,J$2)</f>
        <v>233</v>
      </c>
      <c r="K7" s="253">
        <f t="shared" si="3"/>
        <v>2152.0801287553568</v>
      </c>
      <c r="L7" s="255">
        <f>-SUMIFS(BV_Data_An_Cour!$AN:$AN,BV_Data_An_Cour!$AP:$AP,$B7,BV_Data_An_Cour!$AQ:$AQ,$C7,BV_Data_An_Cour!$AR:$AR,L$2)</f>
        <v>501434.66999999818</v>
      </c>
      <c r="M7" s="254">
        <f t="shared" si="4"/>
        <v>233</v>
      </c>
      <c r="N7" s="255">
        <f t="shared" si="5"/>
        <v>501434.66999999818</v>
      </c>
      <c r="O7" s="254">
        <f>SUMIFS(BV_Data_An_Prec!$AX:$AX,BV_Data_An_Prec!$AP:$AP,$B7,BV_Data_An_Prec!$AQ:$AQ,$C7,BV_Data_An_Prec!$AY:$AY,O$2)</f>
        <v>0</v>
      </c>
      <c r="P7" s="253">
        <f t="shared" si="6"/>
        <v>0</v>
      </c>
      <c r="Q7" s="255">
        <f>-SUMIFS(BV_Data_An_Prec!$AN:$AN,BV_Data_An_Prec!$AP:$AP,$B7,BV_Data_An_Prec!$AQ:$AQ,$C7,BV_Data_An_Prec!$AR:$AR,Q$2)</f>
        <v>0</v>
      </c>
      <c r="R7" s="254">
        <f t="shared" si="7"/>
        <v>233</v>
      </c>
      <c r="S7" s="255">
        <f t="shared" si="8"/>
        <v>501434.66999999818</v>
      </c>
      <c r="T7" s="41"/>
      <c r="U7" s="41"/>
      <c r="V7" s="5" t="s">
        <v>351</v>
      </c>
      <c r="W7" s="550">
        <v>0.2</v>
      </c>
      <c r="X7" s="41"/>
      <c r="Y7" s="41"/>
      <c r="Z7" s="41"/>
      <c r="AA7" s="41"/>
      <c r="AB7" s="41"/>
      <c r="AC7" s="41"/>
      <c r="AD7" s="41"/>
      <c r="AE7" s="41"/>
      <c r="AF7" s="41"/>
      <c r="AG7" s="41"/>
      <c r="AH7" s="41"/>
      <c r="AI7" s="41"/>
      <c r="AJ7" s="41"/>
      <c r="AK7" s="41"/>
      <c r="AL7" s="41"/>
      <c r="AM7" s="41"/>
      <c r="AN7" s="41"/>
    </row>
    <row r="8" spans="1:40" ht="20.25">
      <c r="A8" s="5" t="str">
        <f t="shared" si="0"/>
        <v>Véhicules neufsVoitures electriques</v>
      </c>
      <c r="B8" s="41" t="str">
        <f t="shared" si="1"/>
        <v>Véhicules neufs</v>
      </c>
      <c r="C8" s="252" t="s">
        <v>2712</v>
      </c>
      <c r="D8" s="253" cm="1">
        <f t="array" ref="D8">+SUMPRODUCT(('Budget original'!$A$8:$A$501=$A8)*('Budget original'!$C$3:$AO$3=D$2),'Budget original'!$C$8:$AO$501)</f>
        <v>0</v>
      </c>
      <c r="E8" s="253">
        <f t="shared" si="2"/>
        <v>0</v>
      </c>
      <c r="F8" s="253" cm="1">
        <f t="array" ref="F8">+SUMPRODUCT(('Budget original'!$A$8:$A$501=$A8)*('Budget original'!$C$3:$AO$3=F$2),'Budget original'!$C$8:$AO$501)</f>
        <v>0</v>
      </c>
      <c r="G8" s="254"/>
      <c r="H8" s="253"/>
      <c r="I8" s="253"/>
      <c r="J8" s="254">
        <f>SUMIFS(BV_Data_An_Cour!$AX:$AX,BV_Data_An_Cour!$AP:$AP,$B8,BV_Data_An_Cour!$AQ:$AQ,$C8,BV_Data_An_Cour!$AY:$AY,J$2)</f>
        <v>111</v>
      </c>
      <c r="K8" s="253">
        <f t="shared" si="3"/>
        <v>1878.8221621621665</v>
      </c>
      <c r="L8" s="255">
        <f>-SUMIFS(BV_Data_An_Cour!$AN:$AN,BV_Data_An_Cour!$AP:$AP,$B8,BV_Data_An_Cour!$AQ:$AQ,$C8,BV_Data_An_Cour!$AR:$AR,L$2)</f>
        <v>208549.26000000047</v>
      </c>
      <c r="M8" s="254">
        <f t="shared" si="4"/>
        <v>111</v>
      </c>
      <c r="N8" s="255">
        <f t="shared" si="5"/>
        <v>208549.26000000047</v>
      </c>
      <c r="O8" s="254">
        <f>SUMIFS(BV_Data_An_Prec!$AX:$AX,BV_Data_An_Prec!$AP:$AP,$B8,BV_Data_An_Prec!$AQ:$AQ,$C8,BV_Data_An_Prec!$AY:$AY,O$2)</f>
        <v>0</v>
      </c>
      <c r="P8" s="253">
        <f t="shared" si="6"/>
        <v>0</v>
      </c>
      <c r="Q8" s="255">
        <f>-SUMIFS(BV_Data_An_Prec!$AN:$AN,BV_Data_An_Prec!$AP:$AP,$B8,BV_Data_An_Prec!$AQ:$AQ,$C8,BV_Data_An_Prec!$AR:$AR,Q$2)</f>
        <v>0</v>
      </c>
      <c r="R8" s="254">
        <f t="shared" si="7"/>
        <v>111</v>
      </c>
      <c r="S8" s="255">
        <f t="shared" si="8"/>
        <v>208549.26000000047</v>
      </c>
      <c r="T8" s="41"/>
      <c r="U8" s="41"/>
      <c r="W8" s="550">
        <f>SUM(W3:W7)</f>
        <v>1</v>
      </c>
      <c r="X8" s="41"/>
      <c r="Y8" s="41"/>
      <c r="Z8" s="41"/>
      <c r="AA8" s="41"/>
      <c r="AB8" s="41"/>
      <c r="AC8" s="41"/>
      <c r="AD8" s="41"/>
      <c r="AE8" s="41"/>
      <c r="AF8" s="41"/>
      <c r="AG8" s="41"/>
      <c r="AH8" s="41"/>
      <c r="AI8" s="41"/>
      <c r="AJ8" s="41"/>
      <c r="AK8" s="41"/>
      <c r="AL8" s="41"/>
      <c r="AM8" s="41"/>
      <c r="AN8" s="41"/>
    </row>
    <row r="9" spans="1:40" ht="20.25">
      <c r="A9" s="5" t="str">
        <f t="shared" si="0"/>
        <v>Véhicules neufsDealer Trade</v>
      </c>
      <c r="B9" s="41" t="str">
        <f t="shared" si="1"/>
        <v>Véhicules neufs</v>
      </c>
      <c r="C9" s="252" t="s">
        <v>1116</v>
      </c>
      <c r="D9" s="253" cm="1">
        <f t="array" ref="D9">+SUMPRODUCT(('Budget original'!$A$8:$A$501=$A9)*('Budget original'!$C$3:$AO$3=D$2),'Budget original'!$C$8:$AO$501)</f>
        <v>0</v>
      </c>
      <c r="E9" s="253">
        <f t="shared" si="2"/>
        <v>0</v>
      </c>
      <c r="F9" s="253" cm="1">
        <f t="array" ref="F9">+SUMPRODUCT(('Budget original'!$A$8:$A$501=$A9)*('Budget original'!$C$3:$AO$3=F$2),'Budget original'!$C$8:$AO$501)</f>
        <v>0</v>
      </c>
      <c r="G9" s="254"/>
      <c r="H9" s="253"/>
      <c r="I9" s="253"/>
      <c r="J9" s="254">
        <f>SUMIFS(BV_Data_An_Cour!$AX:$AX,BV_Data_An_Cour!$AP:$AP,$B9,BV_Data_An_Cour!$AQ:$AQ,$C9,BV_Data_An_Cour!$AY:$AY,J$2)</f>
        <v>35</v>
      </c>
      <c r="K9" s="253">
        <f t="shared" si="3"/>
        <v>16.453428571431765</v>
      </c>
      <c r="L9" s="255">
        <f>-SUMIFS(BV_Data_An_Cour!$AN:$AN,BV_Data_An_Cour!$AP:$AP,$B9,BV_Data_An_Cour!$AQ:$AQ,$C9,BV_Data_An_Cour!$AR:$AR,L$2)</f>
        <v>575.87000000011176</v>
      </c>
      <c r="M9" s="254">
        <f t="shared" si="4"/>
        <v>35</v>
      </c>
      <c r="N9" s="255">
        <f t="shared" si="5"/>
        <v>575.87000000011176</v>
      </c>
      <c r="O9" s="254">
        <f>SUMIFS(BV_Data_An_Prec!$AX:$AX,BV_Data_An_Prec!$AP:$AP,$B9,BV_Data_An_Prec!$AQ:$AQ,$C9,BV_Data_An_Prec!$AY:$AY,O$2)</f>
        <v>0</v>
      </c>
      <c r="P9" s="253">
        <f t="shared" si="6"/>
        <v>0</v>
      </c>
      <c r="Q9" s="255">
        <f>-SUMIFS(BV_Data_An_Prec!$AN:$AN,BV_Data_An_Prec!$AP:$AP,$B9,BV_Data_An_Prec!$AQ:$AQ,$C9,BV_Data_An_Prec!$AR:$AR,Q$2)</f>
        <v>0</v>
      </c>
      <c r="R9" s="254">
        <f t="shared" si="7"/>
        <v>35</v>
      </c>
      <c r="S9" s="255">
        <f t="shared" si="8"/>
        <v>575.87000000011176</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2" t="s">
        <v>55</v>
      </c>
      <c r="D10" s="253" cm="1">
        <f t="array" ref="D10">+SUMPRODUCT(('Budget original'!$A$8:$A$501=$A10)*('Budget original'!$C$3:$AO$3=D$2),'Budget original'!$C$8:$AO$501)</f>
        <v>0</v>
      </c>
      <c r="E10" s="253">
        <f t="shared" si="2"/>
        <v>0</v>
      </c>
      <c r="F10" s="253" cm="1">
        <f t="array" ref="F10">+SUMPRODUCT(('Budget original'!$A$8:$A$501=$A10)*('Budget original'!$C$3:$AO$3=F$2),'Budget original'!$C$8:$AO$501)</f>
        <v>0</v>
      </c>
      <c r="G10" s="254"/>
      <c r="H10" s="253"/>
      <c r="I10" s="253"/>
      <c r="J10" s="254">
        <f>-SUMIFS(BV_Data_An_Cour!$AN:$AN,BV_Data_An_Cour!$AP:$AP,$B10,BV_Data_An_Cour!$AQ:$AQ,$C10,BV_Data_An_Cour!$AR:$AR,J$2)</f>
        <v>0</v>
      </c>
      <c r="K10" s="253">
        <f t="shared" si="3"/>
        <v>0</v>
      </c>
      <c r="L10" s="255">
        <f>-SUMIFS(BV_Data_An_Cour!$AN:$AN,BV_Data_An_Cour!$AP:$AP,$B10,BV_Data_An_Cour!$AQ:$AQ,$C10,BV_Data_An_Cour!$AR:$AR,L$2)</f>
        <v>0</v>
      </c>
      <c r="M10" s="254">
        <f t="shared" si="4"/>
        <v>0</v>
      </c>
      <c r="N10" s="255">
        <f t="shared" si="5"/>
        <v>0</v>
      </c>
      <c r="O10" s="254">
        <f>-SUMIFS(BV_Data_An_Prec!$AN:$AN,BV_Data_An_Prec!$AP:$AP,$B10,BV_Data_An_Prec!$AQ:$AQ,$C10,BV_Data_An_Prec!$AR:$AR,O$2)</f>
        <v>0</v>
      </c>
      <c r="P10" s="253">
        <f t="shared" si="6"/>
        <v>0</v>
      </c>
      <c r="Q10" s="255">
        <f>-SUMIFS(BV_Data_An_Prec!$AN:$AN,BV_Data_An_Prec!$AP:$AP,$B10,BV_Data_An_Prec!$AQ:$AQ,$C10,BV_Data_An_Prec!$AR:$AR,Q$2)</f>
        <v>0</v>
      </c>
      <c r="R10" s="254">
        <f t="shared" si="7"/>
        <v>0</v>
      </c>
      <c r="S10" s="255">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2" t="s">
        <v>55</v>
      </c>
      <c r="D11" s="253" cm="1">
        <f t="array" ref="D11">+SUMPRODUCT(('Budget original'!$A$8:$A$501=$A11)*('Budget original'!$C$3:$AO$3=D$2),'Budget original'!$C$8:$AO$501)</f>
        <v>0</v>
      </c>
      <c r="E11" s="253">
        <f t="shared" si="2"/>
        <v>0</v>
      </c>
      <c r="F11" s="253" cm="1">
        <f t="array" ref="F11">+SUMPRODUCT(('Budget original'!$A$8:$A$501=$A11)*('Budget original'!$C$3:$AO$3=F$2),'Budget original'!$C$8:$AO$501)</f>
        <v>0</v>
      </c>
      <c r="G11" s="254"/>
      <c r="H11" s="253"/>
      <c r="I11" s="253"/>
      <c r="J11" s="254">
        <f>-SUMIFS(BV_Data_An_Cour!$AN:$AN,BV_Data_An_Cour!$AP:$AP,$B11,BV_Data_An_Cour!$AQ:$AQ,$C11,BV_Data_An_Cour!$AR:$AR,J$2)</f>
        <v>0</v>
      </c>
      <c r="K11" s="253">
        <f t="shared" si="3"/>
        <v>0</v>
      </c>
      <c r="L11" s="255">
        <f>-SUMIFS(BV_Data_An_Cour!$AN:$AN,BV_Data_An_Cour!$AP:$AP,$B11,BV_Data_An_Cour!$AQ:$AQ,$C11,BV_Data_An_Cour!$AR:$AR,L$2)</f>
        <v>0</v>
      </c>
      <c r="M11" s="254">
        <f t="shared" si="4"/>
        <v>0</v>
      </c>
      <c r="N11" s="255">
        <f t="shared" si="5"/>
        <v>0</v>
      </c>
      <c r="O11" s="254">
        <f>-SUMIFS(BV_Data_An_Prec!$AN:$AN,BV_Data_An_Prec!$AP:$AP,$B11,BV_Data_An_Prec!$AQ:$AQ,$C11,BV_Data_An_Prec!$AR:$AR,O$2)</f>
        <v>0</v>
      </c>
      <c r="P11" s="253">
        <f t="shared" si="6"/>
        <v>0</v>
      </c>
      <c r="Q11" s="255">
        <f>-SUMIFS(BV_Data_An_Prec!$AN:$AN,BV_Data_An_Prec!$AP:$AP,$B11,BV_Data_An_Prec!$AQ:$AQ,$C11,BV_Data_An_Prec!$AR:$AR,Q$2)</f>
        <v>0</v>
      </c>
      <c r="R11" s="254">
        <f t="shared" si="7"/>
        <v>0</v>
      </c>
      <c r="S11" s="255">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2" t="s">
        <v>55</v>
      </c>
      <c r="D12" s="253" cm="1">
        <f t="array" ref="D12">+SUMPRODUCT(('Budget original'!$A$8:$A$501=$A12)*('Budget original'!$C$3:$AO$3=D$2),'Budget original'!$C$8:$AO$501)</f>
        <v>0</v>
      </c>
      <c r="E12" s="253">
        <f t="shared" si="2"/>
        <v>0</v>
      </c>
      <c r="F12" s="253" cm="1">
        <f t="array" ref="F12">+SUMPRODUCT(('Budget original'!$A$8:$A$501=$A12)*('Budget original'!$C$3:$AO$3=F$2),'Budget original'!$C$8:$AO$501)</f>
        <v>0</v>
      </c>
      <c r="G12" s="254"/>
      <c r="H12" s="253"/>
      <c r="I12" s="253"/>
      <c r="J12" s="254">
        <f>-SUMIFS(BV_Data_An_Cour!$AN:$AN,BV_Data_An_Cour!$AP:$AP,$B12,BV_Data_An_Cour!$AQ:$AQ,$C12,BV_Data_An_Cour!$AR:$AR,J$2)</f>
        <v>0</v>
      </c>
      <c r="K12" s="253">
        <f t="shared" si="3"/>
        <v>0</v>
      </c>
      <c r="L12" s="255">
        <f>-SUMIFS(BV_Data_An_Cour!$AN:$AN,BV_Data_An_Cour!$AP:$AP,$B12,BV_Data_An_Cour!$AQ:$AQ,$C12,BV_Data_An_Cour!$AR:$AR,L$2)</f>
        <v>0</v>
      </c>
      <c r="M12" s="254">
        <f t="shared" si="4"/>
        <v>0</v>
      </c>
      <c r="N12" s="255">
        <f t="shared" si="5"/>
        <v>0</v>
      </c>
      <c r="O12" s="254">
        <f>-SUMIFS(BV_Data_An_Prec!$AN:$AN,BV_Data_An_Prec!$AP:$AP,$B12,BV_Data_An_Prec!$AQ:$AQ,$C12,BV_Data_An_Prec!$AR:$AR,O$2)</f>
        <v>0</v>
      </c>
      <c r="P12" s="253">
        <f t="shared" si="6"/>
        <v>0</v>
      </c>
      <c r="Q12" s="255">
        <f>-SUMIFS(BV_Data_An_Prec!$AN:$AN,BV_Data_An_Prec!$AP:$AP,$B12,BV_Data_An_Prec!$AQ:$AQ,$C12,BV_Data_An_Prec!$AR:$AR,Q$2)</f>
        <v>0</v>
      </c>
      <c r="R12" s="254">
        <f t="shared" si="7"/>
        <v>0</v>
      </c>
      <c r="S12" s="255">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8" t="s">
        <v>97</v>
      </c>
      <c r="D13" s="259">
        <f>+SUM(D6:D12)</f>
        <v>0</v>
      </c>
      <c r="E13" s="259">
        <f>IF(D13&lt;=0,0,F13/D13)</f>
        <v>0</v>
      </c>
      <c r="F13" s="260">
        <f t="shared" ref="F13" si="9">+SUM(F6:F12)</f>
        <v>0</v>
      </c>
      <c r="G13" s="261"/>
      <c r="H13" s="259"/>
      <c r="I13" s="260"/>
      <c r="J13" s="261">
        <f>+SUM(J6:J8)</f>
        <v>395</v>
      </c>
      <c r="K13" s="259">
        <f>IF(J13&lt;=0,0,L13/J13)</f>
        <v>2042.5279493670855</v>
      </c>
      <c r="L13" s="260">
        <f t="shared" ref="L13" si="10">+SUM(L6:L12)</f>
        <v>806798.53999999876</v>
      </c>
      <c r="M13" s="261">
        <f>+SUM(M6:M12)</f>
        <v>430</v>
      </c>
      <c r="N13" s="260">
        <f t="shared" ref="N13" si="11">+SUM(N6:N12)</f>
        <v>806798.53999999876</v>
      </c>
      <c r="O13" s="261">
        <f>+SUM(O6:O8)</f>
        <v>0</v>
      </c>
      <c r="P13" s="259">
        <f>IF(O13&lt;=0,0,Q13/O13)</f>
        <v>0</v>
      </c>
      <c r="Q13" s="260">
        <f t="shared" ref="Q13" si="12">+SUM(Q6:Q12)</f>
        <v>0</v>
      </c>
      <c r="R13" s="261">
        <f t="shared" ref="R13:S13" si="13">+SUM(R6:R12)</f>
        <v>430</v>
      </c>
      <c r="S13" s="260">
        <f t="shared" si="13"/>
        <v>806798.53999999876</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2"/>
      <c r="D14" s="41"/>
      <c r="E14" s="253"/>
      <c r="F14" s="262"/>
      <c r="G14" s="252"/>
      <c r="H14" s="253"/>
      <c r="I14" s="262"/>
      <c r="J14" s="252"/>
      <c r="K14" s="253"/>
      <c r="L14" s="262"/>
      <c r="M14" s="263">
        <f>IF(D13=0,0,M13/D13)</f>
        <v>0</v>
      </c>
      <c r="N14" s="264">
        <f>IF(F13=0,0,N13/F13)</f>
        <v>0</v>
      </c>
      <c r="O14" s="252"/>
      <c r="P14" s="253"/>
      <c r="Q14" s="262"/>
      <c r="R14" s="263" t="e">
        <f>R13/O13</f>
        <v>#DIV/0!</v>
      </c>
      <c r="S14" s="264">
        <f>IF(Q13=0,0,(S13/Q13))</f>
        <v>0</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5" t="s">
        <v>98</v>
      </c>
      <c r="D15" s="249" cm="1">
        <f t="array" ref="D15">+SUMPRODUCT(('Budget original'!$A$8:$A$501=$A15)*('Budget original'!$C$3:$AO$3=D$2),'Budget original'!$C$8:$AO$501)</f>
        <v>0</v>
      </c>
      <c r="E15" s="249">
        <f>IF(D15=0,0,F15/D15)</f>
        <v>0</v>
      </c>
      <c r="F15" s="247" cm="1">
        <f t="array" ref="F15">+SUMPRODUCT(('Budget original'!$A$8:$A$501=$A15)*('Budget original'!$C$3:$AO$3=F$2),'Budget original'!$C$8:$AO$501)</f>
        <v>0</v>
      </c>
      <c r="G15" s="266"/>
      <c r="H15" s="249"/>
      <c r="I15" s="247"/>
      <c r="J15" s="267">
        <f>SUMIFS(BV_Data_An_Cour!$AX:$AX,BV_Data_An_Cour!$AP:$AP,$B15,BV_Data_An_Cour!$AQ:$AQ,$C15,BV_Data_An_Cour!$AY:$AY,J$2)</f>
        <v>0</v>
      </c>
      <c r="K15" s="268">
        <f>IF(J15=0,0,L15/J15)</f>
        <v>0</v>
      </c>
      <c r="L15" s="268">
        <f>-SUMIFS(BV_Data_An_Cour!$AN:$AN,BV_Data_An_Cour!$AP:$AP,$B15,BV_Data_An_Cour!$AQ:$AQ,$C15,BV_Data_An_Cour!$AR:$AR,L$2)</f>
        <v>0</v>
      </c>
      <c r="M15" s="266">
        <f>J15-D15</f>
        <v>0</v>
      </c>
      <c r="N15" s="247">
        <f>L15-F15</f>
        <v>0</v>
      </c>
      <c r="O15" s="267">
        <f>SUMIFS(BV_Data_An_Prec!$AX:$AX,BV_Data_An_Prec!$AP:$AP,$B15,BV_Data_An_Prec!$AQ:$AQ,$C15,BV_Data_An_Prec!$AY:$AY,O$2)</f>
        <v>0</v>
      </c>
      <c r="P15" s="268">
        <f>IF(O15=0,0,Q15/O15)</f>
        <v>0</v>
      </c>
      <c r="Q15" s="268">
        <f>-SUMIFS(BV_Data_An_Prec!$AN:$AN,BV_Data_An_Prec!$AP:$AP,$B15,BV_Data_An_Prec!$AQ:$AQ,$C15,BV_Data_An_Prec!$AR:$AR,Q$2)</f>
        <v>0</v>
      </c>
      <c r="R15" s="266">
        <f>J15-O15</f>
        <v>0</v>
      </c>
      <c r="S15" s="247">
        <f>L15-Q15</f>
        <v>0</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2"/>
      <c r="D16" s="41"/>
      <c r="E16" s="253"/>
      <c r="F16" s="262"/>
      <c r="G16" s="252"/>
      <c r="H16" s="253"/>
      <c r="I16" s="262"/>
      <c r="J16" s="252"/>
      <c r="K16" s="253"/>
      <c r="L16" s="255"/>
      <c r="M16" s="263"/>
      <c r="N16" s="264"/>
      <c r="O16" s="252"/>
      <c r="P16" s="253"/>
      <c r="Q16" s="255"/>
      <c r="R16" s="263"/>
      <c r="S16" s="264"/>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69" t="s">
        <v>99</v>
      </c>
      <c r="D17" s="253" cm="1">
        <f t="array" ref="D17">+SUMPRODUCT(('Budget original'!$A$8:$A$501=$A17)*('Budget original'!$C$3:$AO$3=D$2),'Budget original'!$C$8:$AO$501)</f>
        <v>0</v>
      </c>
      <c r="E17" s="253">
        <f>IF(D17=0,0,F17/D17)</f>
        <v>0</v>
      </c>
      <c r="F17" s="253" cm="1">
        <f t="array" ref="F17">+SUMPRODUCT(('Budget original'!$A$8:$A$501=$A17)*('Budget original'!$C$3:$AO$3=F$2),'Budget original'!$C$8:$AO$501)</f>
        <v>0</v>
      </c>
      <c r="G17" s="254"/>
      <c r="H17" s="253"/>
      <c r="I17" s="253"/>
      <c r="J17" s="266">
        <f>SUMIFS(BV_Data_An_Cour!$AX:$AX,BV_Data_An_Cour!$AP:$AP,$B17,BV_Data_An_Cour!$AQ:$AQ,$C17,BV_Data_An_Cour!$AY:$AY,J$2)</f>
        <v>3</v>
      </c>
      <c r="K17" s="253">
        <f>IF(J17=0,0,L17/J17)</f>
        <v>2224.3333333333358</v>
      </c>
      <c r="L17" s="255">
        <f>-SUMIFS(BV_Data_An_Cour!$AN:$AN,BV_Data_An_Cour!$AP:$AP,$B17,BV_Data_An_Cour!$AQ:$AQ,$C17,BV_Data_An_Cour!$AR:$AR,L$2)</f>
        <v>6673.0000000000073</v>
      </c>
      <c r="M17" s="266">
        <f>J17-D17</f>
        <v>3</v>
      </c>
      <c r="N17" s="255">
        <f>L17-F17</f>
        <v>6673.0000000000073</v>
      </c>
      <c r="O17" s="266">
        <f>SUMIFS(BV_Data_An_Prec!$AX:$AX,BV_Data_An_Prec!$AP:$AP,$B17,BV_Data_An_Prec!$AQ:$AQ,$C17,BV_Data_An_Prec!$AY:$AY,O$2)</f>
        <v>0</v>
      </c>
      <c r="P17" s="253">
        <f>IF(O17=0,0,Q17/O17)</f>
        <v>0</v>
      </c>
      <c r="Q17" s="255">
        <f>-SUMIFS(BV_Data_An_Prec!$AN:$AN,BV_Data_An_Prec!$AP:$AP,$B17,BV_Data_An_Prec!$AQ:$AQ,$C17,BV_Data_An_Prec!$AR:$AR,Q$2)</f>
        <v>0</v>
      </c>
      <c r="R17" s="254">
        <f>J17-O17</f>
        <v>3</v>
      </c>
      <c r="S17" s="255">
        <f>L17-Q17</f>
        <v>6673.0000000000073</v>
      </c>
      <c r="T17" s="41"/>
      <c r="U17" s="41"/>
      <c r="V17" s="41"/>
      <c r="W17" s="41"/>
      <c r="X17" s="41"/>
      <c r="Y17" s="41"/>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8"/>
      <c r="D18" s="270"/>
      <c r="E18" s="270"/>
      <c r="F18" s="271"/>
      <c r="G18" s="272"/>
      <c r="H18" s="270"/>
      <c r="I18" s="271"/>
      <c r="J18" s="254"/>
      <c r="K18" s="270"/>
      <c r="L18" s="271"/>
      <c r="M18" s="254"/>
      <c r="N18" s="271"/>
      <c r="O18" s="254"/>
      <c r="P18" s="270"/>
      <c r="Q18" s="271"/>
      <c r="R18" s="272"/>
      <c r="S18" s="271"/>
      <c r="T18" s="41"/>
      <c r="U18" s="41"/>
      <c r="V18" s="41"/>
      <c r="W18" s="457"/>
      <c r="X18" s="457"/>
      <c r="Y18" s="457"/>
      <c r="Z18" s="41"/>
      <c r="AA18" s="41"/>
      <c r="AB18" s="41"/>
      <c r="AC18" s="41"/>
      <c r="AD18" s="41"/>
      <c r="AE18" s="41"/>
      <c r="AF18" s="41"/>
      <c r="AG18" s="41"/>
      <c r="AH18" s="41"/>
      <c r="AI18" s="41"/>
      <c r="AJ18" s="41"/>
      <c r="AK18" s="41"/>
      <c r="AL18" s="41"/>
      <c r="AM18" s="41"/>
      <c r="AN18" s="41"/>
    </row>
    <row r="19" spans="1:40" ht="20.25">
      <c r="A19" s="5" t="str">
        <f t="shared" si="0"/>
        <v>Véhicules neufs</v>
      </c>
      <c r="B19" s="41" t="str">
        <f t="shared" si="1"/>
        <v>Véhicules neufs</v>
      </c>
      <c r="C19" s="265"/>
      <c r="D19" s="253"/>
      <c r="E19" s="253"/>
      <c r="F19" s="253"/>
      <c r="G19" s="254"/>
      <c r="H19" s="253"/>
      <c r="I19" s="253"/>
      <c r="J19" s="266"/>
      <c r="K19" s="253"/>
      <c r="L19" s="255"/>
      <c r="M19" s="254"/>
      <c r="N19" s="255"/>
      <c r="O19" s="266"/>
      <c r="P19" s="253"/>
      <c r="Q19" s="255"/>
      <c r="R19" s="254"/>
      <c r="S19" s="255"/>
      <c r="T19" s="41"/>
      <c r="U19" s="41"/>
      <c r="V19" s="41"/>
      <c r="W19" s="457"/>
      <c r="X19" s="457"/>
      <c r="Y19" s="457"/>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8"/>
      <c r="D20" s="270"/>
      <c r="E20" s="270"/>
      <c r="F20" s="271"/>
      <c r="G20" s="272"/>
      <c r="H20" s="270"/>
      <c r="I20" s="271"/>
      <c r="J20" s="254"/>
      <c r="K20" s="270"/>
      <c r="L20" s="271"/>
      <c r="M20" s="272"/>
      <c r="N20" s="271"/>
      <c r="O20" s="254"/>
      <c r="P20" s="270"/>
      <c r="Q20" s="271"/>
      <c r="R20" s="272"/>
      <c r="S20" s="271"/>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2" t="s">
        <v>101</v>
      </c>
      <c r="D21" s="253"/>
      <c r="E21" s="253"/>
      <c r="F21" s="253" cm="1">
        <f t="array" ref="F21">+SUMPRODUCT(('Budget original'!$A$8:$A$501=$A21)*('Budget original'!$C$3:$AO$3=F$2),'Budget original'!$C$8:$AO$501)</f>
        <v>0</v>
      </c>
      <c r="G21" s="252"/>
      <c r="H21" s="253"/>
      <c r="I21" s="253"/>
      <c r="J21" s="254"/>
      <c r="K21" s="253">
        <f>IF(J13=0,0,L21/(J13+J15))</f>
        <v>4.9764303797468354</v>
      </c>
      <c r="L21" s="255">
        <f>-SUMIFS(BV_Data_An_Cour!$AN:$AN,BV_Data_An_Cour!$AP:$AP,$B21,BV_Data_An_Cour!$AQ:$AQ,$C21,BV_Data_An_Cour!$AR:$AR,L$2)</f>
        <v>1965.69</v>
      </c>
      <c r="M21" s="254"/>
      <c r="N21" s="255">
        <f>L21-F21</f>
        <v>1965.69</v>
      </c>
      <c r="O21" s="254"/>
      <c r="P21" s="253">
        <f>IF(O13=0,0,Q21/(O13+O15))</f>
        <v>0</v>
      </c>
      <c r="Q21" s="255">
        <f>-SUMIFS(BV_Data_An_Prec!$AN:$AN,BV_Data_An_Prec!$AP:$AP,$B21,BV_Data_An_Prec!$AQ:$AQ,$C21,BV_Data_An_Prec!$AR:$AR,Q$2)</f>
        <v>0</v>
      </c>
      <c r="R21" s="254">
        <f t="shared" ref="R21:R23" si="14">O21-K21</f>
        <v>-4.9764303797468354</v>
      </c>
      <c r="S21" s="255">
        <f t="shared" ref="S21:S24" si="15">L21-Q21</f>
        <v>1965.69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2" t="s">
        <v>102</v>
      </c>
      <c r="D22" s="253"/>
      <c r="E22" s="253"/>
      <c r="F22" s="253" cm="1">
        <f t="array" ref="F22">+SUMPRODUCT(('Budget original'!$A$8:$A$501=$A22)*('Budget original'!$C$3:$AO$3=F$2),'Budget original'!$C$8:$AO$501)</f>
        <v>0</v>
      </c>
      <c r="G22" s="252"/>
      <c r="H22" s="253"/>
      <c r="I22" s="253"/>
      <c r="J22" s="254"/>
      <c r="K22" s="253">
        <f>IF(J13=0,0,L22/(J13+J15))</f>
        <v>1089.246658227848</v>
      </c>
      <c r="L22" s="255">
        <f>-SUMIFS(BV_Data_An_Cour!$AN:$AN,BV_Data_An_Cour!$AP:$AP,$B22,BV_Data_An_Cour!$AQ:$AQ,$C22,BV_Data_An_Cour!$AR:$AR,L$2)</f>
        <v>430252.43</v>
      </c>
      <c r="M22" s="254"/>
      <c r="N22" s="255">
        <f>L22-F22</f>
        <v>430252.43</v>
      </c>
      <c r="O22" s="254"/>
      <c r="P22" s="253">
        <f>IF(O13=0,0,Q22/(O13+O15))</f>
        <v>0</v>
      </c>
      <c r="Q22" s="255">
        <f>-SUMIFS(BV_Data_An_Prec!$AN:$AN,BV_Data_An_Prec!$AP:$AP,$B22,BV_Data_An_Prec!$AQ:$AQ,$C22,BV_Data_An_Prec!$AR:$AR,Q$2)</f>
        <v>0</v>
      </c>
      <c r="R22" s="254">
        <f t="shared" si="14"/>
        <v>-1089.246658227848</v>
      </c>
      <c r="S22" s="255">
        <f t="shared" si="15"/>
        <v>430252.43</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2" t="s">
        <v>103</v>
      </c>
      <c r="D23" s="253"/>
      <c r="E23" s="253"/>
      <c r="F23" s="253" cm="1">
        <f t="array" ref="F23">+SUMPRODUCT(('Budget original'!$A$8:$A$501=$A23)*('Budget original'!$C$3:$AO$3=F$2),'Budget original'!$C$8:$AO$501)</f>
        <v>0</v>
      </c>
      <c r="G23" s="252"/>
      <c r="H23" s="253"/>
      <c r="I23" s="253"/>
      <c r="J23" s="254"/>
      <c r="K23" s="253">
        <f>IF(J13=0,0,L23/(J13+J15))</f>
        <v>0</v>
      </c>
      <c r="L23" s="255">
        <f>-SUMIFS(BV_Data_An_Cour!$AN:$AN,BV_Data_An_Cour!$AP:$AP,$B23,BV_Data_An_Cour!$AQ:$AQ,$C23,BV_Data_An_Cour!$AR:$AR,L$2)</f>
        <v>0</v>
      </c>
      <c r="M23" s="266"/>
      <c r="N23" s="255">
        <f>L23-F23</f>
        <v>0</v>
      </c>
      <c r="O23" s="254"/>
      <c r="P23" s="253">
        <f>IF(O13=0,0,Q23/(O13+O15))</f>
        <v>0</v>
      </c>
      <c r="Q23" s="255">
        <f>-SUMIFS(BV_Data_An_Prec!$AN:$AN,BV_Data_An_Prec!$AP:$AP,$B23,BV_Data_An_Prec!$AQ:$AQ,$C23,BV_Data_An_Prec!$AR:$AR,Q$2)</f>
        <v>0</v>
      </c>
      <c r="R23" s="254">
        <f t="shared" si="14"/>
        <v>0</v>
      </c>
      <c r="S23" s="255">
        <f t="shared" si="15"/>
        <v>0</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8" t="s">
        <v>104</v>
      </c>
      <c r="D24" s="259">
        <f>+D15+D13</f>
        <v>0</v>
      </c>
      <c r="E24" s="259">
        <f>IF(D24&lt;=0,0,F24/D24)</f>
        <v>0</v>
      </c>
      <c r="F24" s="260">
        <f>F21+F22+F23</f>
        <v>0</v>
      </c>
      <c r="G24" s="261"/>
      <c r="H24" s="259"/>
      <c r="I24" s="260"/>
      <c r="J24" s="261">
        <f>+J15+J13</f>
        <v>395</v>
      </c>
      <c r="K24" s="259">
        <f>IF(J24&lt;=0,0,L24/J24)</f>
        <v>1094.2230886075949</v>
      </c>
      <c r="L24" s="260">
        <f>L21+L22+L23</f>
        <v>432218.12</v>
      </c>
      <c r="M24" s="274">
        <f>J24-D24</f>
        <v>395</v>
      </c>
      <c r="N24" s="260">
        <f>L24-F24</f>
        <v>432218.12</v>
      </c>
      <c r="O24" s="261">
        <f>+O15+O13</f>
        <v>0</v>
      </c>
      <c r="P24" s="259">
        <f>IF(O24&lt;=0,0,Q24/O24)</f>
        <v>0</v>
      </c>
      <c r="Q24" s="260">
        <f>Q21+Q22+Q23</f>
        <v>0</v>
      </c>
      <c r="R24" s="272"/>
      <c r="S24" s="260">
        <f t="shared" si="15"/>
        <v>432218.12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2"/>
      <c r="D25" s="41"/>
      <c r="E25" s="41"/>
      <c r="F25" s="275"/>
      <c r="G25" s="252"/>
      <c r="H25" s="41"/>
      <c r="I25" s="275"/>
      <c r="J25" s="252"/>
      <c r="K25" s="41"/>
      <c r="L25" s="275"/>
      <c r="M25" s="263"/>
      <c r="N25" s="264" t="e">
        <f>IF(N24=0,0,N24/F24)</f>
        <v>#DIV/0!</v>
      </c>
      <c r="O25" s="252"/>
      <c r="P25" s="41"/>
      <c r="Q25" s="275"/>
      <c r="R25" s="276"/>
      <c r="S25" s="264">
        <f>IF(Q24=0,0,(S24/Q24))</f>
        <v>0</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thickBot="1">
      <c r="A26" s="5" t="str">
        <f t="shared" si="0"/>
        <v>Véhicules neufs</v>
      </c>
      <c r="B26" s="41" t="str">
        <f t="shared" si="1"/>
        <v>Véhicules neufs</v>
      </c>
      <c r="C26" s="252"/>
      <c r="D26" s="41"/>
      <c r="E26" s="41"/>
      <c r="F26" s="262"/>
      <c r="G26" s="252"/>
      <c r="H26" s="41"/>
      <c r="I26" s="262"/>
      <c r="J26" s="252"/>
      <c r="K26" s="41"/>
      <c r="L26" s="262"/>
      <c r="M26" s="252"/>
      <c r="N26" s="262"/>
      <c r="O26" s="252"/>
      <c r="P26" s="41"/>
      <c r="Q26" s="262"/>
      <c r="R26" s="252"/>
      <c r="S26" s="262"/>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thickTop="1">
      <c r="A27" s="5" t="str">
        <f t="shared" si="0"/>
        <v>Véhicules neufsTotal Dépt. Neufs</v>
      </c>
      <c r="B27" s="41" t="str">
        <f t="shared" si="1"/>
        <v>Véhicules neufs</v>
      </c>
      <c r="C27" s="277" t="s">
        <v>105</v>
      </c>
      <c r="D27" s="278">
        <f>+D13+D15+D17</f>
        <v>0</v>
      </c>
      <c r="E27" s="279">
        <f>IF(D27&lt;=0,0,F27/D27)</f>
        <v>0</v>
      </c>
      <c r="F27" s="280">
        <f>F13+F17+F24+F19+F15</f>
        <v>0</v>
      </c>
      <c r="G27" s="281"/>
      <c r="H27" s="279"/>
      <c r="I27" s="280"/>
      <c r="J27" s="281">
        <f>+J13+J15+J17</f>
        <v>398</v>
      </c>
      <c r="K27" s="279">
        <f>IF(J27&lt;=0,0,L27/J27)</f>
        <v>3129.8735175879365</v>
      </c>
      <c r="L27" s="280">
        <f>L13+L17+L24+L19+L15</f>
        <v>1245689.6599999988</v>
      </c>
      <c r="M27" s="281">
        <f>J27-D27</f>
        <v>398</v>
      </c>
      <c r="N27" s="280">
        <f>L27-F27</f>
        <v>1245689.6599999988</v>
      </c>
      <c r="O27" s="281">
        <f>+O13+O15+O17</f>
        <v>0</v>
      </c>
      <c r="P27" s="279">
        <f>IF(O27&lt;=0,0,Q27/O27)</f>
        <v>0</v>
      </c>
      <c r="Q27" s="280">
        <f>Q13+Q17+Q24+Q19+Q15</f>
        <v>0</v>
      </c>
      <c r="R27" s="281">
        <f>J27-O27</f>
        <v>398</v>
      </c>
      <c r="S27" s="280">
        <f>L27-Q27</f>
        <v>1245689.6599999988</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thickBot="1">
      <c r="A28" s="5" t="str">
        <f t="shared" si="0"/>
        <v>Véhicules neufs</v>
      </c>
      <c r="B28" s="41" t="str">
        <f t="shared" si="1"/>
        <v>Véhicules neufs</v>
      </c>
      <c r="C28" s="282"/>
      <c r="D28" s="283"/>
      <c r="E28" s="283"/>
      <c r="F28" s="284"/>
      <c r="G28" s="282"/>
      <c r="H28" s="283"/>
      <c r="I28" s="284"/>
      <c r="J28" s="553"/>
      <c r="K28" s="283"/>
      <c r="L28" s="286"/>
      <c r="M28" s="285"/>
      <c r="N28" s="286"/>
      <c r="O28" s="553"/>
      <c r="P28" s="283"/>
      <c r="Q28" s="286">
        <f>+Q27/K27</f>
        <v>0</v>
      </c>
      <c r="R28" s="285" t="e">
        <f>R27/O27</f>
        <v>#DIV/0!</v>
      </c>
      <c r="S28" s="286">
        <f>IF(Q27=0,0,S27/Q27)</f>
        <v>0</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thickTop="1">
      <c r="A29" s="5" t="str">
        <f t="shared" si="0"/>
        <v>Véhicules neufs</v>
      </c>
      <c r="B29" s="41" t="str">
        <f t="shared" si="1"/>
        <v>Véhicules neufs</v>
      </c>
      <c r="C29" s="269"/>
      <c r="D29" s="11"/>
      <c r="E29" s="11"/>
      <c r="F29" s="287"/>
      <c r="G29" s="269"/>
      <c r="H29" s="11"/>
      <c r="I29" s="287"/>
      <c r="J29" s="269"/>
      <c r="K29" s="11"/>
      <c r="L29" s="287"/>
      <c r="M29" s="263"/>
      <c r="N29" s="264"/>
      <c r="O29" s="269"/>
      <c r="P29" s="11"/>
      <c r="Q29" s="287"/>
      <c r="R29" s="263"/>
      <c r="S29" s="264"/>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8" t="s">
        <v>106</v>
      </c>
      <c r="D30" s="41"/>
      <c r="E30" s="39"/>
      <c r="F30" s="275"/>
      <c r="G30" s="252"/>
      <c r="H30" s="39"/>
      <c r="I30" s="275"/>
      <c r="J30" s="252"/>
      <c r="K30" s="39"/>
      <c r="L30" s="262"/>
      <c r="M30" s="252"/>
      <c r="N30" s="262"/>
      <c r="O30" s="252"/>
      <c r="P30" s="39"/>
      <c r="Q30" s="262"/>
      <c r="R30" s="252"/>
      <c r="S30" s="262"/>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2" t="s">
        <v>107</v>
      </c>
      <c r="D31" s="289"/>
      <c r="E31" s="290" t="e">
        <f t="shared" ref="E31:E40" si="16">F31/D$24</f>
        <v>#DIV/0!</v>
      </c>
      <c r="F31" s="253" cm="1">
        <f t="array" ref="F31">+SUMPRODUCT(('Budget original'!$A$8:$A$501=$A31)*('Budget original'!$C$3:$AO$3=F$2),'Budget original'!$C$8:$AO$501)</f>
        <v>0</v>
      </c>
      <c r="G31" s="297"/>
      <c r="H31" s="290"/>
      <c r="I31" s="253"/>
      <c r="J31" s="291">
        <f>L31/(L13+L15+L17)</f>
        <v>0.39120059443013883</v>
      </c>
      <c r="K31" s="290">
        <f t="shared" ref="K31:K40" si="17">IF(L31=0,0,L31/J$24)</f>
        <v>805.64696202531638</v>
      </c>
      <c r="L31" s="253">
        <f>SUMIFS(BV_Data_An_Cour!$AN:$AN,BV_Data_An_Cour!$AP:$AP,$B31,BV_Data_An_Cour!$AQ:$AQ,$C31,BV_Data_An_Cour!$AR:$AR,L$2)</f>
        <v>318230.55</v>
      </c>
      <c r="M31" s="252"/>
      <c r="N31" s="275">
        <f t="shared" ref="N31:N53" si="18">L31-F31</f>
        <v>318230.55</v>
      </c>
      <c r="O31" s="291" t="e">
        <f>Q31/(Q13+Q15+Q17)</f>
        <v>#DIV/0!</v>
      </c>
      <c r="P31" s="290">
        <f t="shared" ref="P31:P40" si="19">IF(Q31=0,0,Q31/O$24)</f>
        <v>0</v>
      </c>
      <c r="Q31" s="253">
        <f>SUMIFS(BV_Data_An_Prec!$AN:$AN,BV_Data_An_Prec!$AP:$AP,$B31,BV_Data_An_Prec!$AQ:$AQ,$C31,BV_Data_An_Prec!$AR:$AR,Q$2)</f>
        <v>0</v>
      </c>
      <c r="R31" s="252"/>
      <c r="S31" s="275">
        <f t="shared" ref="S31:S41" si="20">L31-Q31</f>
        <v>318230.55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5" t="s">
        <v>108</v>
      </c>
      <c r="D32" s="292"/>
      <c r="E32" s="293" t="e">
        <f t="shared" si="16"/>
        <v>#DIV/0!</v>
      </c>
      <c r="F32" s="247" cm="1">
        <f t="array" ref="F32">+SUMPRODUCT(('Budget original'!$A$8:$A$501=$A32)*('Budget original'!$C$3:$AO$3=F$2),'Budget original'!$C$8:$AO$501)</f>
        <v>0</v>
      </c>
      <c r="G32" s="299"/>
      <c r="H32" s="293"/>
      <c r="I32" s="247"/>
      <c r="J32" s="294">
        <f>L32/L24</f>
        <v>0.36265177868988929</v>
      </c>
      <c r="K32" s="293">
        <f t="shared" si="17"/>
        <v>396.82194936708862</v>
      </c>
      <c r="L32" s="247">
        <f>SUMIFS(BV_Data_An_Cour!$AN:$AN,BV_Data_An_Cour!$AP:$AP,$B32,BV_Data_An_Cour!$AQ:$AQ,$C32,BV_Data_An_Cour!$AR:$AR,L$2)</f>
        <v>156744.67000000001</v>
      </c>
      <c r="M32" s="245"/>
      <c r="N32" s="295">
        <f t="shared" si="18"/>
        <v>156744.67000000001</v>
      </c>
      <c r="O32" s="294" t="e">
        <f>Q32/Q24</f>
        <v>#DIV/0!</v>
      </c>
      <c r="P32" s="293">
        <f t="shared" si="19"/>
        <v>0</v>
      </c>
      <c r="Q32" s="247">
        <f>SUMIFS(BV_Data_An_Prec!$AN:$AN,BV_Data_An_Prec!$AP:$AP,$B32,BV_Data_An_Prec!$AQ:$AQ,$C32,BV_Data_An_Prec!$AR:$AR,Q$2)</f>
        <v>0</v>
      </c>
      <c r="R32" s="245"/>
      <c r="S32" s="295">
        <f t="shared" si="20"/>
        <v>156744.67000000001</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2" t="s">
        <v>109</v>
      </c>
      <c r="D33" s="296"/>
      <c r="E33" s="290" t="e">
        <f t="shared" si="16"/>
        <v>#DIV/0!</v>
      </c>
      <c r="F33" s="253" cm="1">
        <f t="array" ref="F33">+SUMPRODUCT(('Budget original'!$A$8:$A$501=$A33)*('Budget original'!$C$3:$AO$3=F$2),'Budget original'!$C$8:$AO$501)</f>
        <v>0</v>
      </c>
      <c r="G33" s="297"/>
      <c r="H33" s="290"/>
      <c r="I33" s="253"/>
      <c r="J33" s="252"/>
      <c r="K33" s="290">
        <f t="shared" si="17"/>
        <v>18.082911392405062</v>
      </c>
      <c r="L33" s="253">
        <f>SUMIFS(BV_Data_An_Cour!$AN:$AN,BV_Data_An_Cour!$AP:$AP,$B33,BV_Data_An_Cour!$AQ:$AQ,$C33,BV_Data_An_Cour!$AR:$AR,L$2)</f>
        <v>7142.75</v>
      </c>
      <c r="M33" s="252"/>
      <c r="N33" s="275">
        <f t="shared" si="18"/>
        <v>7142.75</v>
      </c>
      <c r="O33" s="252"/>
      <c r="P33" s="290">
        <f t="shared" si="19"/>
        <v>0</v>
      </c>
      <c r="Q33" s="253">
        <f>SUMIFS(BV_Data_An_Prec!$AN:$AN,BV_Data_An_Prec!$AP:$AP,$B33,BV_Data_An_Prec!$AQ:$AQ,$C33,BV_Data_An_Prec!$AR:$AR,Q$2)</f>
        <v>0</v>
      </c>
      <c r="R33" s="252"/>
      <c r="S33" s="275">
        <f t="shared" si="20"/>
        <v>7142.75</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2" t="s">
        <v>110</v>
      </c>
      <c r="D34" s="296"/>
      <c r="E34" s="290" t="e">
        <f t="shared" si="16"/>
        <v>#DIV/0!</v>
      </c>
      <c r="F34" s="253" cm="1">
        <f t="array" ref="F34">+SUMPRODUCT(('Budget original'!$A$8:$A$501=$A34)*('Budget original'!$C$3:$AO$3=F$2),'Budget original'!$C$8:$AO$501)</f>
        <v>0</v>
      </c>
      <c r="G34" s="297"/>
      <c r="H34" s="290"/>
      <c r="I34" s="253"/>
      <c r="J34" s="252"/>
      <c r="K34" s="290">
        <f t="shared" si="17"/>
        <v>0</v>
      </c>
      <c r="L34" s="253">
        <f>SUMIFS(BV_Data_An_Cour!$AN:$AN,BV_Data_An_Cour!$AP:$AP,$B34,BV_Data_An_Cour!$AQ:$AQ,$C34,BV_Data_An_Cour!$AR:$AR,L$2)</f>
        <v>0</v>
      </c>
      <c r="M34" s="252"/>
      <c r="N34" s="275">
        <f t="shared" si="18"/>
        <v>0</v>
      </c>
      <c r="O34" s="252"/>
      <c r="P34" s="290">
        <f t="shared" si="19"/>
        <v>0</v>
      </c>
      <c r="Q34" s="253">
        <f>SUMIFS(BV_Data_An_Prec!$AN:$AN,BV_Data_An_Prec!$AP:$AP,$B34,BV_Data_An_Prec!$AQ:$AQ,$C34,BV_Data_An_Prec!$AR:$AR,Q$2)</f>
        <v>0</v>
      </c>
      <c r="R34" s="252"/>
      <c r="S34" s="275">
        <f t="shared" si="20"/>
        <v>0</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5" t="s">
        <v>111</v>
      </c>
      <c r="D35" s="298"/>
      <c r="E35" s="293" t="e">
        <f t="shared" si="16"/>
        <v>#DIV/0!</v>
      </c>
      <c r="F35" s="247" cm="1">
        <f t="array" ref="F35">+SUMPRODUCT(('Budget original'!$A$8:$A$501=$A35)*('Budget original'!$C$3:$AO$3=F$2),'Budget original'!$C$8:$AO$501)</f>
        <v>0</v>
      </c>
      <c r="G35" s="299"/>
      <c r="H35" s="293"/>
      <c r="I35" s="247"/>
      <c r="J35" s="245"/>
      <c r="K35" s="293">
        <f t="shared" si="17"/>
        <v>10.483443037974684</v>
      </c>
      <c r="L35" s="247">
        <f>SUMIFS(BV_Data_An_Cour!$AN:$AN,BV_Data_An_Cour!$AP:$AP,$B35,BV_Data_An_Cour!$AQ:$AQ,$C35,BV_Data_An_Cour!$AR:$AR,L$2)</f>
        <v>4140.96</v>
      </c>
      <c r="M35" s="245"/>
      <c r="N35" s="295">
        <f t="shared" si="18"/>
        <v>4140.96</v>
      </c>
      <c r="O35" s="245"/>
      <c r="P35" s="293">
        <f t="shared" si="19"/>
        <v>0</v>
      </c>
      <c r="Q35" s="247">
        <f>SUMIFS(BV_Data_An_Prec!$AN:$AN,BV_Data_An_Prec!$AP:$AP,$B35,BV_Data_An_Prec!$AQ:$AQ,$C35,BV_Data_An_Prec!$AR:$AR,Q$2)</f>
        <v>0</v>
      </c>
      <c r="R35" s="245"/>
      <c r="S35" s="295">
        <f t="shared" si="20"/>
        <v>4140.96</v>
      </c>
      <c r="T35" s="41"/>
      <c r="U35" s="41"/>
      <c r="V35" s="41"/>
      <c r="W35" s="253"/>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2" t="s">
        <v>112</v>
      </c>
      <c r="D36" s="296"/>
      <c r="E36" s="290" t="e">
        <f t="shared" si="16"/>
        <v>#DIV/0!</v>
      </c>
      <c r="F36" s="253" cm="1">
        <f t="array" ref="F36">+SUMPRODUCT(('Budget original'!$A$8:$A$501=$A36)*('Budget original'!$C$3:$AO$3=F$2),'Budget original'!$C$8:$AO$501)</f>
        <v>0</v>
      </c>
      <c r="G36" s="297"/>
      <c r="H36" s="290"/>
      <c r="I36" s="253"/>
      <c r="J36" s="252"/>
      <c r="K36" s="290">
        <f t="shared" si="17"/>
        <v>155.38746835443038</v>
      </c>
      <c r="L36" s="300">
        <f>SUMIFS(BV_Data_An_Cour!$AN:$AN,BV_Data_An_Cour!$AP:$AP,$B36,BV_Data_An_Cour!$AQ:$AQ,$C36,BV_Data_An_Cour!$AR:$AR,L$2)</f>
        <v>61378.05</v>
      </c>
      <c r="M36" s="41"/>
      <c r="N36" s="275">
        <f t="shared" si="18"/>
        <v>61378.05</v>
      </c>
      <c r="O36" s="252"/>
      <c r="P36" s="290">
        <f t="shared" si="19"/>
        <v>0</v>
      </c>
      <c r="Q36" s="300">
        <f>SUMIFS(BV_Data_An_Prec!$AN:$AN,BV_Data_An_Prec!$AP:$AP,$B36,BV_Data_An_Prec!$AQ:$AQ,$C36,BV_Data_An_Prec!$AR:$AR,Q$2)</f>
        <v>0</v>
      </c>
      <c r="R36" s="252"/>
      <c r="S36" s="275">
        <f t="shared" si="20"/>
        <v>61378.05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2" t="s">
        <v>113</v>
      </c>
      <c r="D37" s="296"/>
      <c r="E37" s="290" t="e">
        <f t="shared" si="16"/>
        <v>#DIV/0!</v>
      </c>
      <c r="F37" s="253" cm="1">
        <f t="array" ref="F37">+SUMPRODUCT(('Budget original'!$A$8:$A$501=$A37)*('Budget original'!$C$3:$AO$3=F$2),'Budget original'!$C$8:$AO$501)</f>
        <v>0</v>
      </c>
      <c r="G37" s="297"/>
      <c r="H37" s="290"/>
      <c r="I37" s="253"/>
      <c r="J37" s="252"/>
      <c r="K37" s="290">
        <f t="shared" si="17"/>
        <v>420.76724050632913</v>
      </c>
      <c r="L37" s="768">
        <f>SUMIFS(BV_Data_An_Cour!$AN:$AN,BV_Data_An_Cour!$AP:$AP,$B37,BV_Data_An_Cour!$AQ:$AQ,$C37,BV_Data_An_Cour!$AR:$AR,L$2)</f>
        <v>166203.06</v>
      </c>
      <c r="M37" s="800"/>
      <c r="N37" s="777">
        <f t="shared" si="18"/>
        <v>166203.06</v>
      </c>
      <c r="O37" s="252"/>
      <c r="P37" s="290">
        <f t="shared" si="19"/>
        <v>0</v>
      </c>
      <c r="Q37" s="768">
        <f>SUMIFS(BV_Data_An_Prec!$AN:$AN,BV_Data_An_Prec!$AP:$AP,$B37,BV_Data_An_Prec!$AQ:$AQ,$C37,BV_Data_An_Prec!$AR:$AR,Q$2)</f>
        <v>0</v>
      </c>
      <c r="R37" s="252"/>
      <c r="S37" s="275">
        <f t="shared" si="20"/>
        <v>166203.06</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2" t="s">
        <v>55</v>
      </c>
      <c r="D38" s="296"/>
      <c r="E38" s="290" t="e">
        <f t="shared" si="16"/>
        <v>#DIV/0!</v>
      </c>
      <c r="F38" s="253" cm="1">
        <f t="array" ref="F38">+SUMPRODUCT(('Budget original'!$A$8:$A$501=$A38)*('Budget original'!$C$3:$AO$3=F$2),'Budget original'!$C$8:$AO$501)</f>
        <v>0</v>
      </c>
      <c r="G38" s="297"/>
      <c r="H38" s="290"/>
      <c r="I38" s="253"/>
      <c r="J38" s="252"/>
      <c r="K38" s="290">
        <f t="shared" si="17"/>
        <v>0</v>
      </c>
      <c r="L38" s="301">
        <f>SUMIFS(BV_Data_An_Cour!$AN:$AN,BV_Data_An_Cour!$AP:$AP,$B38,BV_Data_An_Cour!$AQ:$AQ,$C38,BV_Data_An_Cour!$AR:$AR,L$2)</f>
        <v>0</v>
      </c>
      <c r="M38" s="41"/>
      <c r="N38" s="275">
        <f t="shared" si="18"/>
        <v>0</v>
      </c>
      <c r="O38" s="252"/>
      <c r="P38" s="290">
        <f t="shared" si="19"/>
        <v>0</v>
      </c>
      <c r="Q38" s="301">
        <f>SUMIFS(BV_Data_An_Prec!$AN:$AN,BV_Data_An_Prec!$AP:$AP,$B38,BV_Data_An_Prec!$AQ:$AQ,$C38,BV_Data_An_Prec!$AR:$AR,Q$2)</f>
        <v>0</v>
      </c>
      <c r="R38" s="252"/>
      <c r="S38" s="275">
        <f t="shared" si="20"/>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2" t="s">
        <v>55</v>
      </c>
      <c r="D39" s="296"/>
      <c r="E39" s="290" t="e">
        <f t="shared" si="16"/>
        <v>#DIV/0!</v>
      </c>
      <c r="F39" s="253" cm="1">
        <f t="array" ref="F39">+SUMPRODUCT(('Budget original'!$A$8:$A$501=$A39)*('Budget original'!$C$3:$AO$3=F$2),'Budget original'!$C$8:$AO$501)</f>
        <v>0</v>
      </c>
      <c r="G39" s="297"/>
      <c r="H39" s="290"/>
      <c r="I39" s="253"/>
      <c r="J39" s="252"/>
      <c r="K39" s="290">
        <f t="shared" si="17"/>
        <v>0</v>
      </c>
      <c r="L39" s="301">
        <f>SUMIFS(BV_Data_An_Cour!$AN:$AN,BV_Data_An_Cour!$AP:$AP,$B39,BV_Data_An_Cour!$AQ:$AQ,$C39,BV_Data_An_Cour!$AR:$AR,L$2)</f>
        <v>0</v>
      </c>
      <c r="M39" s="41"/>
      <c r="N39" s="275">
        <f t="shared" si="18"/>
        <v>0</v>
      </c>
      <c r="O39" s="252"/>
      <c r="P39" s="290">
        <f t="shared" si="19"/>
        <v>0</v>
      </c>
      <c r="Q39" s="301">
        <f>SUMIFS(BV_Data_An_Prec!$AN:$AN,BV_Data_An_Prec!$AP:$AP,$B39,BV_Data_An_Prec!$AQ:$AQ,$C39,BV_Data_An_Prec!$AR:$AR,Q$2)</f>
        <v>0</v>
      </c>
      <c r="R39" s="252"/>
      <c r="S39" s="275">
        <f t="shared" si="20"/>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2" t="s">
        <v>55</v>
      </c>
      <c r="D40" s="296"/>
      <c r="E40" s="290" t="e">
        <f t="shared" si="16"/>
        <v>#DIV/0!</v>
      </c>
      <c r="F40" s="253" cm="1">
        <f t="array" ref="F40">+SUMPRODUCT(('Budget original'!$A$8:$A$501=$A40)*('Budget original'!$C$3:$AO$3=F$2),'Budget original'!$C$8:$AO$501)</f>
        <v>0</v>
      </c>
      <c r="G40" s="297"/>
      <c r="H40" s="290"/>
      <c r="I40" s="253"/>
      <c r="J40" s="252"/>
      <c r="K40" s="290">
        <f t="shared" si="17"/>
        <v>0</v>
      </c>
      <c r="L40" s="302">
        <f>SUMIFS(BV_Data_An_Cour!$AN:$AN,BV_Data_An_Cour!$AP:$AP,$B40,BV_Data_An_Cour!$AQ:$AQ,$C40,BV_Data_An_Cour!$AR:$AR,L$2)</f>
        <v>0</v>
      </c>
      <c r="M40" s="41"/>
      <c r="N40" s="275">
        <f t="shared" si="18"/>
        <v>0</v>
      </c>
      <c r="O40" s="252"/>
      <c r="P40" s="290">
        <f t="shared" si="19"/>
        <v>0</v>
      </c>
      <c r="Q40" s="302">
        <f>SUMIFS(BV_Data_An_Prec!$AN:$AN,BV_Data_An_Prec!$AP:$AP,$B40,BV_Data_An_Prec!$AQ:$AQ,$C40,BV_Data_An_Prec!$AR:$AR,Q$2)</f>
        <v>0</v>
      </c>
      <c r="R40" s="252"/>
      <c r="S40" s="275">
        <f t="shared" si="20"/>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3" t="s">
        <v>114</v>
      </c>
      <c r="D41" s="304" t="s">
        <v>115</v>
      </c>
      <c r="E41" s="305" t="e">
        <f>F41/F$27</f>
        <v>#DIV/0!</v>
      </c>
      <c r="F41" s="306">
        <f>SUM(F31:F40)</f>
        <v>0</v>
      </c>
      <c r="G41" s="307"/>
      <c r="H41" s="305"/>
      <c r="I41" s="306"/>
      <c r="J41" s="307" t="s">
        <v>115</v>
      </c>
      <c r="K41" s="305">
        <f>L41/L$27</f>
        <v>0.57304805757157906</v>
      </c>
      <c r="L41" s="306">
        <f>SUM(L31:L40)</f>
        <v>713840.04</v>
      </c>
      <c r="M41" s="308"/>
      <c r="N41" s="306">
        <f t="shared" si="18"/>
        <v>713840.04</v>
      </c>
      <c r="O41" s="307" t="s">
        <v>115</v>
      </c>
      <c r="P41" s="305" t="e">
        <f>Q41/Q$27</f>
        <v>#DIV/0!</v>
      </c>
      <c r="Q41" s="306">
        <f>SUM(Q31:Q40)</f>
        <v>0</v>
      </c>
      <c r="R41" s="309"/>
      <c r="S41" s="306">
        <f t="shared" si="20"/>
        <v>713840.04</v>
      </c>
      <c r="T41" s="41"/>
      <c r="U41" s="554"/>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0" t="s">
        <v>116</v>
      </c>
      <c r="D42" s="41"/>
      <c r="E42" s="41"/>
      <c r="F42" s="253" cm="1">
        <f t="array" ref="F42">+SUMPRODUCT(('Budget original'!$A$8:$A$501=$A42)*('Budget original'!$C$3:$AO$3=F$2),'Budget original'!$C$8:$AO$501)</f>
        <v>0</v>
      </c>
      <c r="G42" s="252"/>
      <c r="H42" s="41"/>
      <c r="I42" s="253"/>
      <c r="J42" s="252"/>
      <c r="K42" s="41"/>
      <c r="L42" s="253">
        <f>SUMIFS(BV_Data_An_Cour!$AN:$AN,BV_Data_An_Cour!$AP:$AP,$B42,BV_Data_An_Cour!$AQ:$AQ,$C42,BV_Data_An_Cour!$AR:$AR,L$2)</f>
        <v>133384.93</v>
      </c>
      <c r="M42" s="252"/>
      <c r="N42" s="275">
        <f t="shared" si="18"/>
        <v>133384.93</v>
      </c>
      <c r="O42" s="252"/>
      <c r="P42" s="41"/>
      <c r="Q42" s="253">
        <f>SUMIFS(BV_Data_An_Prec!$AN:$AN,BV_Data_An_Prec!$AP:$AP,$B42,BV_Data_An_Prec!$AQ:$AQ,$C42,BV_Data_An_Prec!$AR:$AR,Q$2)</f>
        <v>0</v>
      </c>
      <c r="R42" s="252"/>
      <c r="S42" s="275"/>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1" t="s">
        <v>117</v>
      </c>
      <c r="D43" s="296"/>
      <c r="E43" s="41"/>
      <c r="F43" s="247" cm="1">
        <f t="array" ref="F43">+SUMPRODUCT(('Budget original'!$A$8:$A$501=$A43)*('Budget original'!$C$3:$AO$3=F$2),'Budget original'!$C$8:$AO$501)</f>
        <v>0</v>
      </c>
      <c r="G43" s="297"/>
      <c r="H43" s="41"/>
      <c r="I43" s="247"/>
      <c r="J43" s="252"/>
      <c r="K43" s="555"/>
      <c r="L43" s="255">
        <f>SUMIFS(BV_Data_An_Cour!$AN:$AN,BV_Data_An_Cour!$AP:$AP,$B43,BV_Data_An_Cour!$AQ:$AQ,$C43,BV_Data_An_Cour!$AR:$AR,L$2)</f>
        <v>0</v>
      </c>
      <c r="M43" s="252"/>
      <c r="N43" s="275">
        <f t="shared" si="18"/>
        <v>0</v>
      </c>
      <c r="O43" s="252"/>
      <c r="P43" s="555"/>
      <c r="Q43" s="255">
        <f>SUMIFS(BV_Data_An_Prec!$AN:$AN,BV_Data_An_Prec!$AP:$AP,$B43,BV_Data_An_Prec!$AQ:$AQ,$C43,BV_Data_An_Prec!$AR:$AR,Q$2)</f>
        <v>0</v>
      </c>
      <c r="R43" s="252"/>
      <c r="S43" s="275">
        <f t="shared" ref="S43:S53" si="21">L43-Q43</f>
        <v>0</v>
      </c>
      <c r="T43" s="41"/>
      <c r="U43" s="555"/>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0" t="s">
        <v>118</v>
      </c>
      <c r="D44" s="312"/>
      <c r="E44" s="313"/>
      <c r="F44" s="253" cm="1">
        <f t="array" ref="F44">+SUMPRODUCT(('Budget original'!$A$8:$A$501=$A44)*('Budget original'!$C$3:$AO$3=F$2),'Budget original'!$C$8:$AO$501)</f>
        <v>0</v>
      </c>
      <c r="G44" s="314"/>
      <c r="H44" s="313"/>
      <c r="I44" s="253"/>
      <c r="J44" s="240"/>
      <c r="K44" s="313"/>
      <c r="L44" s="271">
        <f>SUMIFS(BV_Data_An_Cour!$AN:$AN,BV_Data_An_Cour!$AP:$AP,$B44,BV_Data_An_Cour!$AQ:$AQ,$C44,BV_Data_An_Cour!$AR:$AR,L$2)</f>
        <v>16979.849999999999</v>
      </c>
      <c r="M44" s="240"/>
      <c r="N44" s="315">
        <f t="shared" si="18"/>
        <v>16979.849999999999</v>
      </c>
      <c r="O44" s="240"/>
      <c r="P44" s="313"/>
      <c r="Q44" s="271">
        <f>SUMIFS(BV_Data_An_Prec!$AN:$AN,BV_Data_An_Prec!$AP:$AP,$B44,BV_Data_An_Prec!$AQ:$AQ,$C44,BV_Data_An_Prec!$AR:$AR,Q$2)</f>
        <v>0</v>
      </c>
      <c r="R44" s="240"/>
      <c r="S44" s="315">
        <f t="shared" si="21"/>
        <v>16979.849999999999</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0" t="s">
        <v>119</v>
      </c>
      <c r="D45" s="296"/>
      <c r="E45" s="41"/>
      <c r="F45" s="253" cm="1">
        <f t="array" ref="F45">+SUMPRODUCT(('Budget original'!$A$8:$A$501=$A45)*('Budget original'!$C$3:$AO$3=F$2),'Budget original'!$C$8:$AO$501)</f>
        <v>0</v>
      </c>
      <c r="G45" s="297"/>
      <c r="H45" s="41"/>
      <c r="I45" s="253"/>
      <c r="J45" s="252"/>
      <c r="K45" s="41"/>
      <c r="L45" s="255">
        <f>SUMIFS(BV_Data_An_Cour!$AN:$AN,BV_Data_An_Cour!$AP:$AP,$B45,BV_Data_An_Cour!$AQ:$AQ,$C45,BV_Data_An_Cour!$AR:$AR,L$2)</f>
        <v>0</v>
      </c>
      <c r="M45" s="252"/>
      <c r="N45" s="275">
        <f t="shared" si="18"/>
        <v>0</v>
      </c>
      <c r="O45" s="252"/>
      <c r="P45" s="41"/>
      <c r="Q45" s="255">
        <f>SUMIFS(BV_Data_An_Prec!$AN:$AN,BV_Data_An_Prec!$AP:$AP,$B45,BV_Data_An_Prec!$AQ:$AQ,$C45,BV_Data_An_Prec!$AR:$AR,Q$2)</f>
        <v>0</v>
      </c>
      <c r="R45" s="252"/>
      <c r="S45" s="275">
        <f t="shared" si="21"/>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0" t="s">
        <v>55</v>
      </c>
      <c r="D46" s="296"/>
      <c r="E46" s="41"/>
      <c r="F46" s="253" cm="1">
        <f t="array" ref="F46">+SUMPRODUCT(('Budget original'!$A$8:$A$501=$A46)*('Budget original'!$C$3:$AO$3=F$2),'Budget original'!$C$8:$AO$501)</f>
        <v>0</v>
      </c>
      <c r="G46" s="297"/>
      <c r="H46" s="41"/>
      <c r="I46" s="253"/>
      <c r="J46" s="252"/>
      <c r="K46" s="41"/>
      <c r="L46" s="255">
        <f>SUMIFS(BV_Data_An_Cour!$AN:$AN,BV_Data_An_Cour!$AP:$AP,$B46,BV_Data_An_Cour!$AQ:$AQ,$C46,BV_Data_An_Cour!$AR:$AR,L$2)</f>
        <v>0</v>
      </c>
      <c r="M46" s="252"/>
      <c r="N46" s="275">
        <f t="shared" si="18"/>
        <v>0</v>
      </c>
      <c r="O46" s="252"/>
      <c r="P46" s="41"/>
      <c r="Q46" s="255">
        <f>SUMIFS(BV_Data_An_Prec!$AN:$AN,BV_Data_An_Prec!$AP:$AP,$B46,BV_Data_An_Prec!$AQ:$AQ,$C46,BV_Data_An_Prec!$AR:$AR,Q$2)</f>
        <v>0</v>
      </c>
      <c r="R46" s="252"/>
      <c r="S46" s="275">
        <f t="shared" si="21"/>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0" t="s">
        <v>55</v>
      </c>
      <c r="D47" s="296"/>
      <c r="E47" s="41"/>
      <c r="F47" s="253" cm="1">
        <f t="array" ref="F47">+SUMPRODUCT(('Budget original'!$A$8:$A$501=$A47)*('Budget original'!$C$3:$AO$3=F$2),'Budget original'!$C$8:$AO$501)</f>
        <v>0</v>
      </c>
      <c r="G47" s="297"/>
      <c r="H47" s="41"/>
      <c r="I47" s="253"/>
      <c r="J47" s="252"/>
      <c r="K47" s="41"/>
      <c r="L47" s="255">
        <f>SUMIFS(BV_Data_An_Cour!$AN:$AN,BV_Data_An_Cour!$AP:$AP,$B47,BV_Data_An_Cour!$AQ:$AQ,$C47,BV_Data_An_Cour!$AR:$AR,L$2)</f>
        <v>0</v>
      </c>
      <c r="M47" s="252"/>
      <c r="N47" s="275">
        <f t="shared" si="18"/>
        <v>0</v>
      </c>
      <c r="O47" s="252"/>
      <c r="P47" s="41"/>
      <c r="Q47" s="255">
        <f>SUMIFS(BV_Data_An_Prec!$AN:$AN,BV_Data_An_Prec!$AP:$AP,$B47,BV_Data_An_Prec!$AQ:$AQ,$C47,BV_Data_An_Prec!$AR:$AR,Q$2)</f>
        <v>0</v>
      </c>
      <c r="R47" s="252"/>
      <c r="S47" s="275">
        <f t="shared" si="21"/>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0" t="s">
        <v>55</v>
      </c>
      <c r="D48" s="296"/>
      <c r="E48" s="41"/>
      <c r="F48" s="253" cm="1">
        <f t="array" ref="F48">+SUMPRODUCT(('Budget original'!$A$8:$A$501=$A48)*('Budget original'!$C$3:$AO$3=F$2),'Budget original'!$C$8:$AO$501)</f>
        <v>0</v>
      </c>
      <c r="G48" s="297"/>
      <c r="H48" s="41"/>
      <c r="I48" s="253"/>
      <c r="J48" s="252"/>
      <c r="K48" s="41"/>
      <c r="L48" s="255">
        <f>SUMIFS(BV_Data_An_Cour!$AN:$AN,BV_Data_An_Cour!$AP:$AP,$B48,BV_Data_An_Cour!$AQ:$AQ,$C48,BV_Data_An_Cour!$AR:$AR,L$2)</f>
        <v>0</v>
      </c>
      <c r="M48" s="252"/>
      <c r="N48" s="275">
        <f t="shared" si="18"/>
        <v>0</v>
      </c>
      <c r="O48" s="252"/>
      <c r="P48" s="41"/>
      <c r="Q48" s="255">
        <f>SUMIFS(BV_Data_An_Prec!$AN:$AN,BV_Data_An_Prec!$AP:$AP,$B48,BV_Data_An_Prec!$AQ:$AQ,$C48,BV_Data_An_Prec!$AR:$AR,Q$2)</f>
        <v>0</v>
      </c>
      <c r="R48" s="252"/>
      <c r="S48" s="275">
        <f t="shared" si="21"/>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1" t="s">
        <v>120</v>
      </c>
      <c r="D49" s="296"/>
      <c r="E49" s="41"/>
      <c r="F49" s="247" cm="1">
        <f t="array" ref="F49">+SUMPRODUCT(('Budget original'!$A$8:$A$501=$A49)*('Budget original'!$C$3:$AO$3=F$2),'Budget original'!$C$8:$AO$501)</f>
        <v>0</v>
      </c>
      <c r="G49" s="297"/>
      <c r="H49" s="41"/>
      <c r="I49" s="247"/>
      <c r="J49" s="252"/>
      <c r="K49" s="41"/>
      <c r="L49" s="247">
        <f>SUMIFS(BV_Data_An_Cour!$AN:$AN,BV_Data_An_Cour!$AP:$AP,$B49,BV_Data_An_Cour!$AQ:$AQ,$C49,BV_Data_An_Cour!$AR:$AR,L$2)</f>
        <v>41374.44</v>
      </c>
      <c r="M49" s="252"/>
      <c r="N49" s="275">
        <f t="shared" si="18"/>
        <v>41374.44</v>
      </c>
      <c r="O49" s="252"/>
      <c r="P49" s="41"/>
      <c r="Q49" s="247">
        <f>SUMIFS(BV_Data_An_Prec!$AN:$AN,BV_Data_An_Prec!$AP:$AP,$B49,BV_Data_An_Prec!$AQ:$AQ,$C49,BV_Data_An_Prec!$AR:$AR,Q$2)</f>
        <v>0</v>
      </c>
      <c r="R49" s="252"/>
      <c r="S49" s="275">
        <f t="shared" si="21"/>
        <v>41374.44</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0" t="s">
        <v>121</v>
      </c>
      <c r="D50" s="312"/>
      <c r="E50" s="313"/>
      <c r="F50" s="253" cm="1">
        <f t="array" ref="F50">+SUMPRODUCT(('Budget original'!$A$8:$A$501=$A50)*('Budget original'!$C$3:$AO$3=F$2),'Budget original'!$C$8:$AO$501)</f>
        <v>0</v>
      </c>
      <c r="G50" s="314"/>
      <c r="H50" s="313"/>
      <c r="I50" s="253"/>
      <c r="J50" s="240"/>
      <c r="K50" s="313"/>
      <c r="L50" s="255">
        <f>SUMIFS(BV_Data_An_Cour!$AN:$AN,BV_Data_An_Cour!$AP:$AP,$B50,BV_Data_An_Cour!$AQ:$AQ,$C50,BV_Data_An_Cour!$AR:$AR,L$2)</f>
        <v>93381.91</v>
      </c>
      <c r="M50" s="240"/>
      <c r="N50" s="315">
        <f t="shared" si="18"/>
        <v>93381.91</v>
      </c>
      <c r="O50" s="240"/>
      <c r="P50" s="313"/>
      <c r="Q50" s="255">
        <f>SUMIFS(BV_Data_An_Prec!$AN:$AN,BV_Data_An_Prec!$AP:$AP,$B50,BV_Data_An_Prec!$AQ:$AQ,$C50,BV_Data_An_Prec!$AR:$AR,Q$2)</f>
        <v>0</v>
      </c>
      <c r="R50" s="240"/>
      <c r="S50" s="315">
        <f t="shared" si="21"/>
        <v>93381.91</v>
      </c>
      <c r="T50" s="41"/>
      <c r="U50" s="253"/>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0" t="s">
        <v>122</v>
      </c>
      <c r="D51" s="296"/>
      <c r="E51" s="41"/>
      <c r="F51" s="253" cm="1">
        <f t="array" ref="F51">+SUMPRODUCT(('Budget original'!$A$8:$A$501=$A51)*('Budget original'!$C$3:$AO$3=F$2),'Budget original'!$C$8:$AO$501)</f>
        <v>0</v>
      </c>
      <c r="G51" s="297"/>
      <c r="H51" s="41"/>
      <c r="I51" s="253"/>
      <c r="J51" s="252"/>
      <c r="K51" s="41"/>
      <c r="L51" s="255">
        <f>SUMIFS(BV_Data_An_Cour!$AN:$AN,BV_Data_An_Cour!$AP:$AP,$B51,BV_Data_An_Cour!$AQ:$AQ,$C51,BV_Data_An_Cour!$AR:$AR,L$2)</f>
        <v>7463.75</v>
      </c>
      <c r="M51" s="252"/>
      <c r="N51" s="275">
        <f t="shared" si="18"/>
        <v>7463.75</v>
      </c>
      <c r="O51" s="252"/>
      <c r="P51" s="41"/>
      <c r="Q51" s="255">
        <f>SUMIFS(BV_Data_An_Prec!$AN:$AN,BV_Data_An_Prec!$AP:$AP,$B51,BV_Data_An_Prec!$AQ:$AQ,$C51,BV_Data_An_Prec!$AR:$AR,Q$2)</f>
        <v>0</v>
      </c>
      <c r="R51" s="252"/>
      <c r="S51" s="275">
        <f t="shared" si="21"/>
        <v>7463.75</v>
      </c>
      <c r="T51" s="41"/>
      <c r="U51" s="253"/>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0" t="s">
        <v>123</v>
      </c>
      <c r="D52" s="296"/>
      <c r="E52" s="41"/>
      <c r="F52" s="253" cm="1">
        <f t="array" ref="F52">+SUMPRODUCT(('Budget original'!$A$8:$A$501=$A52)*('Budget original'!$C$3:$AO$3=F$2),'Budget original'!$C$8:$AO$501)</f>
        <v>0</v>
      </c>
      <c r="G52" s="297"/>
      <c r="H52" s="41"/>
      <c r="I52" s="253"/>
      <c r="J52" s="252"/>
      <c r="K52" s="41"/>
      <c r="L52" s="255">
        <f>SUMIFS(BV_Data_An_Cour!$AN:$AN,BV_Data_An_Cour!$AP:$AP,$B52,BV_Data_An_Cour!$AQ:$AQ,$C52,BV_Data_An_Cour!$AR:$AR,L$2)</f>
        <v>0</v>
      </c>
      <c r="M52" s="252"/>
      <c r="N52" s="275">
        <f t="shared" si="18"/>
        <v>0</v>
      </c>
      <c r="O52" s="252"/>
      <c r="P52" s="41"/>
      <c r="Q52" s="255">
        <f>SUMIFS(BV_Data_An_Prec!$AN:$AN,BV_Data_An_Prec!$AP:$AP,$B52,BV_Data_An_Prec!$AQ:$AQ,$C52,BV_Data_An_Prec!$AR:$AR,Q$2)</f>
        <v>0</v>
      </c>
      <c r="R52" s="252"/>
      <c r="S52" s="275">
        <f t="shared" si="21"/>
        <v>0</v>
      </c>
      <c r="T52" s="41"/>
      <c r="U52" s="253"/>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2" t="s">
        <v>55</v>
      </c>
      <c r="D53" s="298"/>
      <c r="E53" s="316"/>
      <c r="F53" s="253" cm="1">
        <f t="array" ref="F53">+SUMPRODUCT(('Budget original'!$A$8:$A$501=$A53)*('Budget original'!$C$3:$AO$3=F$2),'Budget original'!$C$8:$AO$501)</f>
        <v>0</v>
      </c>
      <c r="G53" s="299"/>
      <c r="H53" s="316"/>
      <c r="I53" s="253"/>
      <c r="J53" s="245"/>
      <c r="K53" s="316"/>
      <c r="L53" s="255">
        <f>SUMIFS(BV_Data_An_Cour!$AN:$AN,BV_Data_An_Cour!$AP:$AP,$B53,BV_Data_An_Cour!$AQ:$AQ,$C53,BV_Data_An_Cour!$AR:$AR,L$2)</f>
        <v>0</v>
      </c>
      <c r="M53" s="245"/>
      <c r="N53" s="295">
        <f t="shared" si="18"/>
        <v>0</v>
      </c>
      <c r="O53" s="245"/>
      <c r="P53" s="316"/>
      <c r="Q53" s="255">
        <f>SUMIFS(BV_Data_An_Prec!$AN:$AN,BV_Data_An_Prec!$AP:$AP,$B53,BV_Data_An_Prec!$AQ:$AQ,$C53,BV_Data_An_Prec!$AR:$AR,Q$2)</f>
        <v>0</v>
      </c>
      <c r="R53" s="245"/>
      <c r="S53" s="295">
        <f t="shared" si="21"/>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3" t="s">
        <v>124</v>
      </c>
      <c r="D54" s="304" t="s">
        <v>115</v>
      </c>
      <c r="E54" s="305" t="e">
        <f>F54/F$27</f>
        <v>#DIV/0!</v>
      </c>
      <c r="F54" s="306">
        <f>+SUM(F42:F53)</f>
        <v>0</v>
      </c>
      <c r="G54" s="307"/>
      <c r="H54" s="305"/>
      <c r="I54" s="306"/>
      <c r="J54" s="307" t="s">
        <v>115</v>
      </c>
      <c r="K54" s="305">
        <f>L54/L$27</f>
        <v>0.23487782663299966</v>
      </c>
      <c r="L54" s="306">
        <f>+SUM(L42:L53)</f>
        <v>292584.88</v>
      </c>
      <c r="M54" s="309"/>
      <c r="N54" s="306">
        <f>+SUM(N42:N53)</f>
        <v>292584.88</v>
      </c>
      <c r="O54" s="307" t="s">
        <v>115</v>
      </c>
      <c r="P54" s="305" t="e">
        <f>Q54/Q$27</f>
        <v>#DIV/0!</v>
      </c>
      <c r="Q54" s="306">
        <f>+SUM(Q42:Q53)</f>
        <v>0</v>
      </c>
      <c r="R54" s="309"/>
      <c r="S54" s="306">
        <f>+SUM(S42:S53)</f>
        <v>159199.95000000001</v>
      </c>
      <c r="T54" s="290"/>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2" t="s">
        <v>125</v>
      </c>
      <c r="D55" s="296"/>
      <c r="E55" s="41"/>
      <c r="F55" s="253" cm="1">
        <f t="array" ref="F55">+SUMPRODUCT(('Budget original'!$A$8:$A$501=$A55)*('Budget original'!$C$3:$AO$3=F$2),'Budget original'!$C$8:$AO$501)</f>
        <v>0</v>
      </c>
      <c r="G55" s="297"/>
      <c r="H55" s="41"/>
      <c r="I55" s="253"/>
      <c r="J55" s="252"/>
      <c r="K55" s="41"/>
      <c r="L55" s="255">
        <f>SUMIFS(BV_Data_An_Cour!$AN:$AN,BV_Data_An_Cour!$AP:$AP,$B55,BV_Data_An_Cour!$AQ:$AQ,$C55,BV_Data_An_Cour!$AR:$AR,L$2)</f>
        <v>0</v>
      </c>
      <c r="M55" s="252"/>
      <c r="N55" s="275">
        <f t="shared" ref="N55:N71" si="22">L55-F55</f>
        <v>0</v>
      </c>
      <c r="O55" s="252"/>
      <c r="P55" s="41"/>
      <c r="Q55" s="255">
        <f>SUMIFS(BV_Data_An_Prec!$AN:$AN,BV_Data_An_Prec!$AP:$AP,$B55,BV_Data_An_Prec!$AQ:$AQ,$C55,BV_Data_An_Prec!$AR:$AR,Q$2)</f>
        <v>0</v>
      </c>
      <c r="R55" s="252"/>
      <c r="S55" s="275">
        <f t="shared" ref="S55:S71" si="23">L55-Q55</f>
        <v>0</v>
      </c>
      <c r="T55" s="290"/>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2" t="s">
        <v>126</v>
      </c>
      <c r="D56" s="296"/>
      <c r="E56" s="41"/>
      <c r="F56" s="253" cm="1">
        <f t="array" ref="F56">+SUMPRODUCT(('Budget original'!$A$8:$A$501=$A56)*('Budget original'!$C$3:$AO$3=F$2),'Budget original'!$C$8:$AO$501)</f>
        <v>0</v>
      </c>
      <c r="G56" s="297"/>
      <c r="H56" s="41"/>
      <c r="I56" s="253"/>
      <c r="J56" s="252"/>
      <c r="K56" s="41"/>
      <c r="L56" s="255">
        <f>SUMIFS(BV_Data_An_Cour!$AN:$AN,BV_Data_An_Cour!$AP:$AP,$B56,BV_Data_An_Cour!$AQ:$AQ,$C56,BV_Data_An_Cour!$AR:$AR,L$2)</f>
        <v>0</v>
      </c>
      <c r="M56" s="252"/>
      <c r="N56" s="275">
        <f t="shared" si="22"/>
        <v>0</v>
      </c>
      <c r="O56" s="252"/>
      <c r="P56" s="41"/>
      <c r="Q56" s="255">
        <f>SUMIFS(BV_Data_An_Prec!$AN:$AN,BV_Data_An_Prec!$AP:$AP,$B56,BV_Data_An_Prec!$AQ:$AQ,$C56,BV_Data_An_Prec!$AR:$AR,Q$2)</f>
        <v>0</v>
      </c>
      <c r="R56" s="252"/>
      <c r="S56" s="275">
        <f t="shared" si="23"/>
        <v>0</v>
      </c>
      <c r="T56" s="290"/>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5" t="s">
        <v>127</v>
      </c>
      <c r="D57" s="298"/>
      <c r="E57" s="316"/>
      <c r="F57" s="247" cm="1">
        <f t="array" ref="F57">+SUMPRODUCT(('Budget original'!$A$8:$A$501=$A57)*('Budget original'!$C$3:$AO$3=F$2),'Budget original'!$C$8:$AO$501)</f>
        <v>0</v>
      </c>
      <c r="G57" s="299"/>
      <c r="H57" s="316"/>
      <c r="I57" s="247"/>
      <c r="J57" s="245"/>
      <c r="K57" s="316"/>
      <c r="L57" s="247">
        <f>SUMIFS(BV_Data_An_Cour!$AN:$AN,BV_Data_An_Cour!$AP:$AP,$B57,BV_Data_An_Cour!$AQ:$AQ,$C57,BV_Data_An_Cour!$AR:$AR,L$2)</f>
        <v>0</v>
      </c>
      <c r="M57" s="245"/>
      <c r="N57" s="295">
        <f t="shared" si="22"/>
        <v>0</v>
      </c>
      <c r="O57" s="245"/>
      <c r="P57" s="316"/>
      <c r="Q57" s="247">
        <f>SUMIFS(BV_Data_An_Prec!$AN:$AN,BV_Data_An_Prec!$AP:$AP,$B57,BV_Data_An_Prec!$AQ:$AQ,$C57,BV_Data_An_Prec!$AR:$AR,Q$2)</f>
        <v>0</v>
      </c>
      <c r="R57" s="245"/>
      <c r="S57" s="295">
        <f t="shared" si="23"/>
        <v>0</v>
      </c>
      <c r="T57" s="317"/>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2" t="s">
        <v>128</v>
      </c>
      <c r="D58" s="296"/>
      <c r="E58" s="41"/>
      <c r="F58" s="253" cm="1">
        <f t="array" ref="F58">+SUMPRODUCT(('Budget original'!$A$8:$A$501=$A58)*('Budget original'!$C$3:$AO$3=F$2),'Budget original'!$C$8:$AO$501)</f>
        <v>0</v>
      </c>
      <c r="G58" s="297"/>
      <c r="H58" s="41"/>
      <c r="I58" s="253"/>
      <c r="J58" s="252"/>
      <c r="K58" s="41"/>
      <c r="L58" s="255">
        <f>SUMIFS(BV_Data_An_Cour!$AN:$AN,BV_Data_An_Cour!$AP:$AP,$B58,BV_Data_An_Cour!$AQ:$AQ,$C58,BV_Data_An_Cour!$AR:$AR,L$2)</f>
        <v>8521.58</v>
      </c>
      <c r="M58" s="252"/>
      <c r="N58" s="275">
        <f t="shared" si="22"/>
        <v>8521.58</v>
      </c>
      <c r="O58" s="252"/>
      <c r="P58" s="41"/>
      <c r="Q58" s="255">
        <f>SUMIFS(BV_Data_An_Prec!$AN:$AN,BV_Data_An_Prec!$AP:$AP,$B58,BV_Data_An_Prec!$AQ:$AQ,$C58,BV_Data_An_Prec!$AR:$AR,Q$2)</f>
        <v>0</v>
      </c>
      <c r="R58" s="252"/>
      <c r="S58" s="275">
        <f t="shared" si="23"/>
        <v>8521.58</v>
      </c>
      <c r="T58" s="290"/>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2" t="s">
        <v>129</v>
      </c>
      <c r="D59" s="296"/>
      <c r="E59" s="41"/>
      <c r="F59" s="253" cm="1">
        <f t="array" ref="F59">+SUMPRODUCT(('Budget original'!$A$8:$A$501=$A59)*('Budget original'!$C$3:$AO$3=F$2),'Budget original'!$C$8:$AO$501)</f>
        <v>0</v>
      </c>
      <c r="G59" s="297"/>
      <c r="H59" s="41"/>
      <c r="I59" s="253"/>
      <c r="J59" s="252"/>
      <c r="K59" s="41"/>
      <c r="L59" s="255">
        <f>SUMIFS(BV_Data_An_Cour!$AN:$AN,BV_Data_An_Cour!$AP:$AP,$B59,BV_Data_An_Cour!$AQ:$AQ,$C59,BV_Data_An_Cour!$AR:$AR,L$2)</f>
        <v>3434.54</v>
      </c>
      <c r="M59" s="252"/>
      <c r="N59" s="275">
        <f t="shared" si="22"/>
        <v>3434.54</v>
      </c>
      <c r="O59" s="252"/>
      <c r="P59" s="41"/>
      <c r="Q59" s="255">
        <f>SUMIFS(BV_Data_An_Prec!$AN:$AN,BV_Data_An_Prec!$AP:$AP,$B59,BV_Data_An_Prec!$AQ:$AQ,$C59,BV_Data_An_Prec!$AR:$AR,Q$2)</f>
        <v>0</v>
      </c>
      <c r="R59" s="252"/>
      <c r="S59" s="275">
        <f t="shared" si="23"/>
        <v>3434.54</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5" t="s">
        <v>130</v>
      </c>
      <c r="D60" s="298"/>
      <c r="E60" s="316"/>
      <c r="F60" s="247" cm="1">
        <f t="array" ref="F60">+SUMPRODUCT(('Budget original'!$A$8:$A$501=$A60)*('Budget original'!$C$3:$AO$3=F$2),'Budget original'!$C$8:$AO$501)</f>
        <v>0</v>
      </c>
      <c r="G60" s="299"/>
      <c r="H60" s="316"/>
      <c r="I60" s="247"/>
      <c r="J60" s="245"/>
      <c r="K60" s="316"/>
      <c r="L60" s="247">
        <f>SUMIFS(BV_Data_An_Cour!$AN:$AN,BV_Data_An_Cour!$AP:$AP,$B60,BV_Data_An_Cour!$AQ:$AQ,$C60,BV_Data_An_Cour!$AR:$AR,L$2)</f>
        <v>1683.3899999999999</v>
      </c>
      <c r="M60" s="245"/>
      <c r="N60" s="295">
        <f t="shared" si="22"/>
        <v>1683.3899999999999</v>
      </c>
      <c r="O60" s="245"/>
      <c r="P60" s="316"/>
      <c r="Q60" s="247">
        <f>SUMIFS(BV_Data_An_Prec!$AN:$AN,BV_Data_An_Prec!$AP:$AP,$B60,BV_Data_An_Prec!$AQ:$AQ,$C60,BV_Data_An_Prec!$AR:$AR,Q$2)</f>
        <v>0</v>
      </c>
      <c r="R60" s="245"/>
      <c r="S60" s="295">
        <f t="shared" si="23"/>
        <v>1683.3899999999999</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2" t="s">
        <v>131</v>
      </c>
      <c r="D61" s="296"/>
      <c r="E61" s="41"/>
      <c r="F61" s="253" cm="1">
        <f t="array" ref="F61">+SUMPRODUCT(('Budget original'!$A$8:$A$501=$A61)*('Budget original'!$C$3:$AO$3=F$2),'Budget original'!$C$8:$AO$501)</f>
        <v>0</v>
      </c>
      <c r="G61" s="297"/>
      <c r="H61" s="41"/>
      <c r="I61" s="253"/>
      <c r="J61" s="252"/>
      <c r="K61" s="41"/>
      <c r="L61" s="255">
        <f>SUMIFS(BV_Data_An_Cour!$AN:$AN,BV_Data_An_Cour!$AP:$AP,$B61,BV_Data_An_Cour!$AQ:$AQ,$C61,BV_Data_An_Cour!$AR:$AR,L$2)</f>
        <v>0</v>
      </c>
      <c r="M61" s="252"/>
      <c r="N61" s="275">
        <f t="shared" si="22"/>
        <v>0</v>
      </c>
      <c r="O61" s="252"/>
      <c r="P61" s="41"/>
      <c r="Q61" s="255">
        <f>SUMIFS(BV_Data_An_Prec!$AN:$AN,BV_Data_An_Prec!$AP:$AP,$B61,BV_Data_An_Prec!$AQ:$AQ,$C61,BV_Data_An_Prec!$AR:$AR,Q$2)</f>
        <v>0</v>
      </c>
      <c r="R61" s="252"/>
      <c r="S61" s="275">
        <f t="shared" si="23"/>
        <v>0</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2" t="s">
        <v>132</v>
      </c>
      <c r="D62" s="296"/>
      <c r="E62" s="41"/>
      <c r="F62" s="253" cm="1">
        <f t="array" ref="F62">+SUMPRODUCT(('Budget original'!$A$8:$A$501=$A62)*('Budget original'!$C$3:$AO$3=F$2),'Budget original'!$C$8:$AO$501)</f>
        <v>0</v>
      </c>
      <c r="G62" s="297"/>
      <c r="H62" s="41"/>
      <c r="I62" s="253"/>
      <c r="J62" s="252"/>
      <c r="K62" s="41"/>
      <c r="L62" s="255">
        <f>SUMIFS(BV_Data_An_Cour!$AN:$AN,BV_Data_An_Cour!$AP:$AP,$B62,BV_Data_An_Cour!$AQ:$AQ,$C62,BV_Data_An_Cour!$AR:$AR,L$2)</f>
        <v>0</v>
      </c>
      <c r="M62" s="252"/>
      <c r="N62" s="275">
        <f t="shared" si="22"/>
        <v>0</v>
      </c>
      <c r="O62" s="252"/>
      <c r="P62" s="41"/>
      <c r="Q62" s="255">
        <f>SUMIFS(BV_Data_An_Prec!$AN:$AN,BV_Data_An_Prec!$AP:$AP,$B62,BV_Data_An_Prec!$AQ:$AQ,$C62,BV_Data_An_Prec!$AR:$AR,Q$2)</f>
        <v>0</v>
      </c>
      <c r="R62" s="252"/>
      <c r="S62" s="275">
        <f t="shared" si="23"/>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2" t="s">
        <v>133</v>
      </c>
      <c r="D63" s="296"/>
      <c r="E63" s="41"/>
      <c r="F63" s="253" cm="1">
        <f t="array" ref="F63">+SUMPRODUCT(('Budget original'!$A$8:$A$501=$A63)*('Budget original'!$C$3:$AO$3=F$2),'Budget original'!$C$8:$AO$501)</f>
        <v>0</v>
      </c>
      <c r="G63" s="297"/>
      <c r="H63" s="41"/>
      <c r="I63" s="253"/>
      <c r="J63" s="252"/>
      <c r="K63" s="41"/>
      <c r="L63" s="255">
        <f>SUMIFS(BV_Data_An_Cour!$AN:$AN,BV_Data_An_Cour!$AP:$AP,$B63,BV_Data_An_Cour!$AQ:$AQ,$C63,BV_Data_An_Cour!$AR:$AR,L$2)</f>
        <v>3572.29</v>
      </c>
      <c r="M63" s="252"/>
      <c r="N63" s="275">
        <f t="shared" si="22"/>
        <v>3572.29</v>
      </c>
      <c r="O63" s="252"/>
      <c r="P63" s="41"/>
      <c r="Q63" s="255">
        <f>SUMIFS(BV_Data_An_Prec!$AN:$AN,BV_Data_An_Prec!$AP:$AP,$B63,BV_Data_An_Prec!$AQ:$AQ,$C63,BV_Data_An_Prec!$AR:$AR,Q$2)</f>
        <v>0</v>
      </c>
      <c r="R63" s="252"/>
      <c r="S63" s="275">
        <f t="shared" si="23"/>
        <v>3572.29</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2" t="s">
        <v>134</v>
      </c>
      <c r="D64" s="296"/>
      <c r="E64" s="41"/>
      <c r="F64" s="253" cm="1">
        <f t="array" ref="F64">+SUMPRODUCT(('Budget original'!$A$8:$A$501=$A64)*('Budget original'!$C$3:$AO$3=F$2),'Budget original'!$C$8:$AO$501)</f>
        <v>0</v>
      </c>
      <c r="G64" s="297"/>
      <c r="H64" s="41"/>
      <c r="I64" s="253"/>
      <c r="J64" s="252"/>
      <c r="K64" s="41"/>
      <c r="L64" s="255">
        <f>SUMIFS(BV_Data_An_Cour!$AN:$AN,BV_Data_An_Cour!$AP:$AP,$B64,BV_Data_An_Cour!$AQ:$AQ,$C64,BV_Data_An_Cour!$AR:$AR,L$2)</f>
        <v>449.12</v>
      </c>
      <c r="M64" s="252"/>
      <c r="N64" s="275">
        <f t="shared" si="22"/>
        <v>449.12</v>
      </c>
      <c r="O64" s="252"/>
      <c r="P64" s="41"/>
      <c r="Q64" s="255">
        <f>SUMIFS(BV_Data_An_Prec!$AN:$AN,BV_Data_An_Prec!$AP:$AP,$B64,BV_Data_An_Prec!$AQ:$AQ,$C64,BV_Data_An_Prec!$AR:$AR,Q$2)</f>
        <v>0</v>
      </c>
      <c r="R64" s="252"/>
      <c r="S64" s="275">
        <f t="shared" si="23"/>
        <v>449.12</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2" t="s">
        <v>135</v>
      </c>
      <c r="D65" s="296"/>
      <c r="E65" s="41"/>
      <c r="F65" s="253" cm="1">
        <f t="array" ref="F65">+SUMPRODUCT(('Budget original'!$A$8:$A$501=$A65)*('Budget original'!$C$3:$AO$3=F$2),'Budget original'!$C$8:$AO$501)</f>
        <v>0</v>
      </c>
      <c r="G65" s="297"/>
      <c r="H65" s="41"/>
      <c r="I65" s="253"/>
      <c r="J65" s="252"/>
      <c r="K65" s="41"/>
      <c r="L65" s="255">
        <f>SUMIFS(BV_Data_An_Cour!$AN:$AN,BV_Data_An_Cour!$AP:$AP,$B65,BV_Data_An_Cour!$AQ:$AQ,$C65,BV_Data_An_Cour!$AR:$AR,L$2)</f>
        <v>62.93</v>
      </c>
      <c r="M65" s="252"/>
      <c r="N65" s="275">
        <f t="shared" si="22"/>
        <v>62.93</v>
      </c>
      <c r="O65" s="252"/>
      <c r="P65" s="41"/>
      <c r="Q65" s="255">
        <f>SUMIFS(BV_Data_An_Prec!$AN:$AN,BV_Data_An_Prec!$AP:$AP,$B65,BV_Data_An_Prec!$AQ:$AQ,$C65,BV_Data_An_Prec!$AR:$AR,Q$2)</f>
        <v>0</v>
      </c>
      <c r="R65" s="252"/>
      <c r="S65" s="275">
        <f t="shared" si="23"/>
        <v>62.93</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2" t="s">
        <v>136</v>
      </c>
      <c r="D66" s="296"/>
      <c r="E66" s="41"/>
      <c r="F66" s="253" cm="1">
        <f t="array" ref="F66">+SUMPRODUCT(('Budget original'!$A$8:$A$501=$A66)*('Budget original'!$C$3:$AO$3=F$2),'Budget original'!$C$8:$AO$501)</f>
        <v>0</v>
      </c>
      <c r="G66" s="297"/>
      <c r="H66" s="41"/>
      <c r="I66" s="253"/>
      <c r="J66" s="252"/>
      <c r="K66" s="41"/>
      <c r="L66" s="255">
        <f>SUMIFS(BV_Data_An_Cour!$AN:$AN,BV_Data_An_Cour!$AP:$AP,$B66,BV_Data_An_Cour!$AQ:$AQ,$C66,BV_Data_An_Cour!$AR:$AR,L$2)</f>
        <v>62.5</v>
      </c>
      <c r="M66" s="252"/>
      <c r="N66" s="275">
        <f t="shared" si="22"/>
        <v>62.5</v>
      </c>
      <c r="O66" s="252"/>
      <c r="P66" s="41"/>
      <c r="Q66" s="255">
        <f>SUMIFS(BV_Data_An_Prec!$AN:$AN,BV_Data_An_Prec!$AP:$AP,$B66,BV_Data_An_Prec!$AQ:$AQ,$C66,BV_Data_An_Prec!$AR:$AR,Q$2)</f>
        <v>0</v>
      </c>
      <c r="R66" s="252"/>
      <c r="S66" s="275">
        <f t="shared" si="23"/>
        <v>62.5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2" t="s">
        <v>137</v>
      </c>
      <c r="D67" s="296"/>
      <c r="E67" s="41"/>
      <c r="F67" s="253" cm="1">
        <f t="array" ref="F67">+SUMPRODUCT(('Budget original'!$A$8:$A$501=$A67)*('Budget original'!$C$3:$AO$3=F$2),'Budget original'!$C$8:$AO$501)</f>
        <v>0</v>
      </c>
      <c r="G67" s="297"/>
      <c r="H67" s="41"/>
      <c r="I67" s="253"/>
      <c r="J67" s="252"/>
      <c r="K67" s="41"/>
      <c r="L67" s="255">
        <f>SUMIFS(BV_Data_An_Cour!$AN:$AN,BV_Data_An_Cour!$AP:$AP,$B67,BV_Data_An_Cour!$AQ:$AQ,$C67,BV_Data_An_Cour!$AR:$AR,L$2)</f>
        <v>3875</v>
      </c>
      <c r="M67" s="252"/>
      <c r="N67" s="275">
        <f t="shared" si="22"/>
        <v>3875</v>
      </c>
      <c r="O67" s="252"/>
      <c r="P67" s="41"/>
      <c r="Q67" s="255">
        <f>SUMIFS(BV_Data_An_Prec!$AN:$AN,BV_Data_An_Prec!$AP:$AP,$B67,BV_Data_An_Prec!$AQ:$AQ,$C67,BV_Data_An_Prec!$AR:$AR,Q$2)</f>
        <v>0</v>
      </c>
      <c r="R67" s="252"/>
      <c r="S67" s="275">
        <f t="shared" si="23"/>
        <v>3875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2" t="s">
        <v>138</v>
      </c>
      <c r="D68" s="296"/>
      <c r="E68" s="41"/>
      <c r="F68" s="253" cm="1">
        <f t="array" ref="F68">+SUMPRODUCT(('Budget original'!$A$8:$A$501=$A68)*('Budget original'!$C$3:$AO$3=F$2),'Budget original'!$C$8:$AO$501)</f>
        <v>0</v>
      </c>
      <c r="G68" s="297"/>
      <c r="H68" s="41"/>
      <c r="I68" s="253"/>
      <c r="J68" s="252"/>
      <c r="K68" s="41"/>
      <c r="L68" s="769">
        <f>SUMIFS(BV_Data_An_Cour!$AN:$AN,BV_Data_An_Cour!$AP:$AP,$B68,BV_Data_An_Cour!$AQ:$AQ,$C68,BV_Data_An_Cour!$AR:$AR,L$2)</f>
        <v>0</v>
      </c>
      <c r="M68" s="801"/>
      <c r="N68" s="777">
        <f t="shared" si="22"/>
        <v>0</v>
      </c>
      <c r="O68" s="252"/>
      <c r="P68" s="41"/>
      <c r="Q68" s="769">
        <f>SUMIFS(BV_Data_An_Prec!$AN:$AN,BV_Data_An_Prec!$AP:$AP,$B68,BV_Data_An_Prec!$AQ:$AQ,$C68,BV_Data_An_Prec!$AR:$AR,Q$2)</f>
        <v>0</v>
      </c>
      <c r="R68" s="252"/>
      <c r="S68" s="275">
        <f t="shared" si="23"/>
        <v>0</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2" t="s">
        <v>55</v>
      </c>
      <c r="D69" s="296"/>
      <c r="E69" s="41"/>
      <c r="F69" s="253" cm="1">
        <f t="array" ref="F69">+SUMPRODUCT(('Budget original'!$A$8:$A$501=$A69)*('Budget original'!$C$3:$AO$3=F$2),'Budget original'!$C$8:$AO$501)</f>
        <v>0</v>
      </c>
      <c r="G69" s="297"/>
      <c r="H69" s="41"/>
      <c r="I69" s="253"/>
      <c r="J69" s="252"/>
      <c r="K69" s="41"/>
      <c r="L69" s="255"/>
      <c r="M69" s="252"/>
      <c r="N69" s="275">
        <f t="shared" si="22"/>
        <v>0</v>
      </c>
      <c r="O69" s="252"/>
      <c r="P69" s="41"/>
      <c r="Q69" s="255"/>
      <c r="R69" s="252"/>
      <c r="S69" s="275">
        <f t="shared" si="23"/>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2" t="s">
        <v>55</v>
      </c>
      <c r="D70" s="296"/>
      <c r="E70" s="41"/>
      <c r="F70" s="253" cm="1">
        <f t="array" ref="F70">+SUMPRODUCT(('Budget original'!$A$8:$A$501=$A70)*('Budget original'!$C$3:$AO$3=F$2),'Budget original'!$C$8:$AO$501)</f>
        <v>0</v>
      </c>
      <c r="G70" s="297"/>
      <c r="H70" s="41"/>
      <c r="I70" s="253"/>
      <c r="J70" s="252"/>
      <c r="K70" s="41"/>
      <c r="L70" s="255">
        <f>SUMIFS(BV_Data_An_Cour!$AN:$AN,BV_Data_An_Cour!$AP:$AP,$B70,BV_Data_An_Cour!$AQ:$AQ,$C70,BV_Data_An_Cour!$AR:$AR,L$2)</f>
        <v>0</v>
      </c>
      <c r="M70" s="252"/>
      <c r="N70" s="275">
        <f t="shared" si="22"/>
        <v>0</v>
      </c>
      <c r="O70" s="252"/>
      <c r="P70" s="41"/>
      <c r="Q70" s="255">
        <f>SUMIFS(BV_Data_An_Prec!$AN:$AN,BV_Data_An_Prec!$AP:$AP,$B70,BV_Data_An_Prec!$AQ:$AQ,$C70,BV_Data_An_Prec!$AR:$AR,Q$2)</f>
        <v>0</v>
      </c>
      <c r="R70" s="252"/>
      <c r="S70" s="275">
        <f t="shared" si="23"/>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2" t="s">
        <v>55</v>
      </c>
      <c r="D71" s="296"/>
      <c r="E71" s="41"/>
      <c r="F71" s="253" cm="1">
        <f t="array" ref="F71">+SUMPRODUCT(('Budget original'!$A$8:$A$501=$A71)*('Budget original'!$C$3:$AO$3=F$2),'Budget original'!$C$8:$AO$501)</f>
        <v>0</v>
      </c>
      <c r="G71" s="297"/>
      <c r="H71" s="41"/>
      <c r="I71" s="253"/>
      <c r="J71" s="252"/>
      <c r="K71" s="41"/>
      <c r="L71" s="255">
        <f>SUMIFS(BV_Data_An_Cour!$AN:$AN,BV_Data_An_Cour!$AP:$AP,$B71,BV_Data_An_Cour!$AQ:$AQ,$C71,BV_Data_An_Cour!$AR:$AR,L$2)*0.32</f>
        <v>0</v>
      </c>
      <c r="M71" s="252"/>
      <c r="N71" s="275">
        <f t="shared" si="22"/>
        <v>0</v>
      </c>
      <c r="O71" s="252"/>
      <c r="P71" s="41"/>
      <c r="Q71" s="255">
        <f>SUMIFS(BV_Data_An_Prec!$AN:$AN,BV_Data_An_Prec!$AP:$AP,$B71,BV_Data_An_Prec!$AQ:$AQ,$C71,BV_Data_An_Prec!$AR:$AR,Q$2)*0.32</f>
        <v>0</v>
      </c>
      <c r="R71" s="252"/>
      <c r="S71" s="275">
        <f t="shared" si="23"/>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3" t="s">
        <v>139</v>
      </c>
      <c r="D72" s="304" t="s">
        <v>115</v>
      </c>
      <c r="E72" s="305" t="e">
        <f>F72/F$27</f>
        <v>#DIV/0!</v>
      </c>
      <c r="F72" s="306">
        <f>+SUM(F55:F71)</f>
        <v>0</v>
      </c>
      <c r="G72" s="307"/>
      <c r="H72" s="305"/>
      <c r="I72" s="306"/>
      <c r="J72" s="307" t="s">
        <v>115</v>
      </c>
      <c r="K72" s="305">
        <f>L72/L$27</f>
        <v>1.738904214714283E-2</v>
      </c>
      <c r="L72" s="306">
        <f>+SUM(L55:L71)</f>
        <v>21661.35</v>
      </c>
      <c r="M72" s="309"/>
      <c r="N72" s="306">
        <f>+SUM(N55:N71)</f>
        <v>21661.35</v>
      </c>
      <c r="O72" s="307" t="s">
        <v>115</v>
      </c>
      <c r="P72" s="305" t="e">
        <f>Q72/Q$27</f>
        <v>#DIV/0!</v>
      </c>
      <c r="Q72" s="306">
        <f>+SUM(Q55:Q71)</f>
        <v>0</v>
      </c>
      <c r="R72" s="309"/>
      <c r="S72" s="306">
        <f>+SUM(S55:S71)</f>
        <v>21661.35</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5"/>
      <c r="D73" s="298"/>
      <c r="E73" s="316"/>
      <c r="F73" s="275"/>
      <c r="G73" s="299"/>
      <c r="H73" s="316"/>
      <c r="I73" s="275"/>
      <c r="J73" s="245"/>
      <c r="K73" s="316"/>
      <c r="L73" s="295"/>
      <c r="M73" s="245"/>
      <c r="N73" s="295"/>
      <c r="O73" s="245"/>
      <c r="P73" s="316"/>
      <c r="Q73" s="295"/>
      <c r="R73" s="245"/>
      <c r="S73" s="295"/>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3" t="s">
        <v>140</v>
      </c>
      <c r="D74" s="304" t="s">
        <v>115</v>
      </c>
      <c r="E74" s="305" t="e">
        <f>F74/F$27</f>
        <v>#DIV/0!</v>
      </c>
      <c r="F74" s="306">
        <f>F41+F54+F72</f>
        <v>0</v>
      </c>
      <c r="G74" s="307"/>
      <c r="H74" s="305"/>
      <c r="I74" s="306"/>
      <c r="J74" s="307" t="s">
        <v>115</v>
      </c>
      <c r="K74" s="305">
        <f>L74/L$27</f>
        <v>0.82531492635172155</v>
      </c>
      <c r="L74" s="306">
        <f>L41+L54+L72</f>
        <v>1028086.27</v>
      </c>
      <c r="M74" s="309"/>
      <c r="N74" s="318">
        <f t="shared" ref="N74:N82" si="24">L74-F74</f>
        <v>1028086.27</v>
      </c>
      <c r="O74" s="307" t="s">
        <v>115</v>
      </c>
      <c r="P74" s="305" t="e">
        <f>Q74/Q$27</f>
        <v>#DIV/0!</v>
      </c>
      <c r="Q74" s="306">
        <f>Q41+Q54+Q72</f>
        <v>0</v>
      </c>
      <c r="R74" s="309"/>
      <c r="S74" s="318">
        <f>L74-Q74</f>
        <v>1028086.27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2" t="s">
        <v>141</v>
      </c>
      <c r="D75" s="296"/>
      <c r="E75" s="41"/>
      <c r="F75" s="253" cm="1">
        <f t="array" ref="F75">+SUMPRODUCT(('Budget original'!$A$8:$A$501=$A75)*('Budget original'!$C$3:$AO$3=F$2),'Budget original'!$C$8:$AO$501)</f>
        <v>0</v>
      </c>
      <c r="G75" s="297"/>
      <c r="H75" s="41"/>
      <c r="I75" s="253"/>
      <c r="J75" s="252"/>
      <c r="K75" s="41"/>
      <c r="L75" s="255">
        <f>-SUMIFS(BV_Data_An_Cour!$AN:$AN,BV_Data_An_Cour!$AP:$AP,$B75,BV_Data_An_Cour!$AQ:$AQ,$C75,BV_Data_An_Cour!$AR:$AR,L$2)</f>
        <v>0</v>
      </c>
      <c r="M75" s="252"/>
      <c r="N75" s="275">
        <f t="shared" si="24"/>
        <v>0</v>
      </c>
      <c r="O75" s="252"/>
      <c r="P75" s="41"/>
      <c r="Q75" s="255">
        <f>-SUMIFS(BV_Data_An_Prec!$AN:$AN,BV_Data_An_Prec!$AP:$AP,$B75,BV_Data_An_Prec!$AQ:$AQ,$C75,BV_Data_An_Prec!$AR:$AR,Q$2)</f>
        <v>0</v>
      </c>
      <c r="R75" s="252"/>
      <c r="S75" s="275"/>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2" t="s">
        <v>142</v>
      </c>
      <c r="D76" s="296"/>
      <c r="E76" s="41"/>
      <c r="F76" s="253" cm="1">
        <f t="array" ref="F76">+SUMPRODUCT(('Budget original'!$A$8:$A$501=$A76)*('Budget original'!$C$3:$AO$3=F$2),'Budget original'!$C$8:$AO$501)</f>
        <v>0</v>
      </c>
      <c r="G76" s="297"/>
      <c r="H76" s="41"/>
      <c r="I76" s="253"/>
      <c r="J76" s="252"/>
      <c r="K76" s="41"/>
      <c r="L76" s="255">
        <f>-SUMIFS(BV_Data_An_Cour!$AN:$AN,BV_Data_An_Cour!$AP:$AP,$B76,BV_Data_An_Cour!$AQ:$AQ,$C76,BV_Data_An_Cour!$AR:$AR,L$2)</f>
        <v>0</v>
      </c>
      <c r="M76" s="252"/>
      <c r="N76" s="275">
        <f t="shared" si="24"/>
        <v>0</v>
      </c>
      <c r="O76" s="252"/>
      <c r="P76" s="41"/>
      <c r="Q76" s="255">
        <f>-SUMIFS(BV_Data_An_Prec!$AN:$AN,BV_Data_An_Prec!$AP:$AP,$B76,BV_Data_An_Prec!$AQ:$AQ,$C76,BV_Data_An_Prec!$AR:$AR,Q$2)</f>
        <v>0</v>
      </c>
      <c r="R76" s="252"/>
      <c r="S76" s="275">
        <f t="shared" ref="S76:S82" si="25">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2" t="s">
        <v>143</v>
      </c>
      <c r="D77" s="296"/>
      <c r="E77" s="41"/>
      <c r="F77" s="253" cm="1">
        <f t="array" ref="F77">+SUMPRODUCT(('Budget original'!$A$8:$A$501=$A77)*('Budget original'!$C$3:$AO$3=F$2),'Budget original'!$C$8:$AO$501)</f>
        <v>0</v>
      </c>
      <c r="G77" s="297"/>
      <c r="H77" s="41"/>
      <c r="I77" s="253"/>
      <c r="J77" s="252"/>
      <c r="K77" s="41"/>
      <c r="L77" s="255">
        <f>-SUMIFS(BV_Data_An_Cour!$AN:$AN,BV_Data_An_Cour!$AP:$AP,$B77,BV_Data_An_Cour!$AQ:$AQ,$C77,BV_Data_An_Cour!$AR:$AR,L$2)</f>
        <v>0</v>
      </c>
      <c r="M77" s="252"/>
      <c r="N77" s="275">
        <f t="shared" si="24"/>
        <v>0</v>
      </c>
      <c r="O77" s="252"/>
      <c r="P77" s="41"/>
      <c r="Q77" s="255">
        <f>-SUMIFS(BV_Data_An_Prec!$AN:$AN,BV_Data_An_Prec!$AP:$AP,$B77,BV_Data_An_Prec!$AQ:$AQ,$C77,BV_Data_An_Prec!$AR:$AR,Q$2)</f>
        <v>0</v>
      </c>
      <c r="R77" s="252"/>
      <c r="S77" s="275">
        <f t="shared" si="25"/>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2" t="s">
        <v>144</v>
      </c>
      <c r="D78" s="296"/>
      <c r="E78" s="41"/>
      <c r="F78" s="253" cm="1">
        <f t="array" ref="F78">+SUMPRODUCT(('Budget original'!$A$8:$A$501=$A78)*('Budget original'!$C$3:$AO$3=F$2),'Budget original'!$C$8:$AO$501)</f>
        <v>0</v>
      </c>
      <c r="G78" s="297"/>
      <c r="H78" s="41"/>
      <c r="I78" s="253"/>
      <c r="J78" s="252"/>
      <c r="K78" s="41"/>
      <c r="L78" s="255">
        <f>-SUMIFS(BV_Data_An_Cour!$AN:$AN,BV_Data_An_Cour!$AP:$AP,$B78,BV_Data_An_Cour!$AQ:$AQ,$C78,BV_Data_An_Cour!$AR:$AR,L$2)</f>
        <v>506029</v>
      </c>
      <c r="M78" s="252"/>
      <c r="N78" s="275">
        <f t="shared" si="24"/>
        <v>506029</v>
      </c>
      <c r="O78" s="252"/>
      <c r="P78" s="41"/>
      <c r="Q78" s="255">
        <f>-SUMIFS(BV_Data_An_Prec!$AN:$AN,BV_Data_An_Prec!$AP:$AP,$B78,BV_Data_An_Prec!$AQ:$AQ,$C78,BV_Data_An_Prec!$AR:$AR,Q$2)</f>
        <v>0</v>
      </c>
      <c r="R78" s="252"/>
      <c r="S78" s="275">
        <f t="shared" si="25"/>
        <v>506029</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2" t="s">
        <v>55</v>
      </c>
      <c r="D79" s="296"/>
      <c r="E79" s="41"/>
      <c r="F79" s="253" cm="1">
        <f t="array" ref="F79">+SUMPRODUCT(('Budget original'!$A$8:$A$501=$A79)*('Budget original'!$C$3:$AO$3=F$2),'Budget original'!$C$8:$AO$501)</f>
        <v>0</v>
      </c>
      <c r="G79" s="297"/>
      <c r="H79" s="41"/>
      <c r="I79" s="253"/>
      <c r="J79" s="252"/>
      <c r="K79" s="41"/>
      <c r="L79" s="255">
        <f>-SUMIFS(BV_Data_An_Cour!$AN:$AN,BV_Data_An_Cour!$AP:$AP,$B79,BV_Data_An_Cour!$AQ:$AQ,$C79,BV_Data_An_Cour!$AR:$AR,L$2)</f>
        <v>0</v>
      </c>
      <c r="M79" s="252"/>
      <c r="N79" s="275">
        <f t="shared" si="24"/>
        <v>0</v>
      </c>
      <c r="O79" s="252"/>
      <c r="P79" s="41"/>
      <c r="Q79" s="255">
        <f>-SUMIFS(BV_Data_An_Prec!$AN:$AN,BV_Data_An_Prec!$AP:$AP,$B79,BV_Data_An_Prec!$AQ:$AQ,$C79,BV_Data_An_Prec!$AR:$AR,Q$2)</f>
        <v>0</v>
      </c>
      <c r="R79" s="252"/>
      <c r="S79" s="275">
        <f t="shared" si="25"/>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2" t="s">
        <v>55</v>
      </c>
      <c r="D80" s="296"/>
      <c r="E80" s="41"/>
      <c r="F80" s="253" cm="1">
        <f t="array" ref="F80">+SUMPRODUCT(('Budget original'!$A$8:$A$501=$A80)*('Budget original'!$C$3:$AO$3=F$2),'Budget original'!$C$8:$AO$501)</f>
        <v>0</v>
      </c>
      <c r="G80" s="297"/>
      <c r="H80" s="41"/>
      <c r="I80" s="253"/>
      <c r="J80" s="252"/>
      <c r="K80" s="41"/>
      <c r="L80" s="255">
        <f>-SUMIFS(BV_Data_An_Cour!$AN:$AN,BV_Data_An_Cour!$AP:$AP,$B80,BV_Data_An_Cour!$AQ:$AQ,$C80,BV_Data_An_Cour!$AR:$AR,L$2)</f>
        <v>0</v>
      </c>
      <c r="M80" s="252"/>
      <c r="N80" s="275">
        <f t="shared" si="24"/>
        <v>0</v>
      </c>
      <c r="O80" s="252"/>
      <c r="P80" s="41"/>
      <c r="Q80" s="255">
        <f>-SUMIFS(BV_Data_An_Prec!$AN:$AN,BV_Data_An_Prec!$AP:$AP,$B80,BV_Data_An_Prec!$AQ:$AQ,$C80,BV_Data_An_Prec!$AR:$AR,Q$2)</f>
        <v>0</v>
      </c>
      <c r="R80" s="252"/>
      <c r="S80" s="275">
        <f t="shared" si="25"/>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2" t="s">
        <v>55</v>
      </c>
      <c r="D81" s="296"/>
      <c r="E81" s="41"/>
      <c r="F81" s="253" cm="1">
        <f t="array" ref="F81">+SUMPRODUCT(('Budget original'!$A$8:$A$501=$A81)*('Budget original'!$C$3:$AO$3=F$2),'Budget original'!$C$8:$AO$501)</f>
        <v>0</v>
      </c>
      <c r="G81" s="297"/>
      <c r="H81" s="41"/>
      <c r="I81" s="253"/>
      <c r="J81" s="252"/>
      <c r="K81" s="41"/>
      <c r="L81" s="255">
        <f>-SUMIFS(BV_Data_An_Cour!$AN:$AN,BV_Data_An_Cour!$AP:$AP,$B81,BV_Data_An_Cour!$AQ:$AQ,$C81,BV_Data_An_Cour!$AR:$AR,L$2)</f>
        <v>0</v>
      </c>
      <c r="M81" s="252"/>
      <c r="N81" s="275">
        <f t="shared" si="24"/>
        <v>0</v>
      </c>
      <c r="O81" s="252"/>
      <c r="P81" s="41"/>
      <c r="Q81" s="255">
        <f>-SUMIFS(BV_Data_An_Prec!$AN:$AN,BV_Data_An_Prec!$AP:$AP,$B81,BV_Data_An_Prec!$AQ:$AQ,$C81,BV_Data_An_Prec!$AR:$AR,Q$2)</f>
        <v>0</v>
      </c>
      <c r="R81" s="252"/>
      <c r="S81" s="275">
        <f t="shared" si="25"/>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2" t="s">
        <v>145</v>
      </c>
      <c r="D82" s="296"/>
      <c r="E82" s="41"/>
      <c r="F82" s="253" cm="1">
        <f t="array" ref="F82">+SUMPRODUCT(('Budget original'!$A$8:$A$501=$A82)*('Budget original'!$C$3:$AO$3=F$2),'Budget original'!$C$8:$AO$501)</f>
        <v>0</v>
      </c>
      <c r="G82" s="297"/>
      <c r="H82" s="41"/>
      <c r="I82" s="253"/>
      <c r="J82" s="252"/>
      <c r="K82" s="41"/>
      <c r="L82" s="255">
        <f>-SUMIFS(BV_Data_An_Cour!$AN:$AN,BV_Data_An_Cour!$AP:$AP,$B82,BV_Data_An_Cour!$AQ:$AQ,$C82,BV_Data_An_Cour!$AR:$AR,L$2)</f>
        <v>0</v>
      </c>
      <c r="M82" s="252"/>
      <c r="N82" s="275">
        <f t="shared" si="24"/>
        <v>0</v>
      </c>
      <c r="O82" s="252"/>
      <c r="P82" s="41"/>
      <c r="Q82" s="255">
        <f>-SUMIFS(BV_Data_An_Prec!$AN:$AN,BV_Data_An_Prec!$AP:$AP,$B82,BV_Data_An_Prec!$AQ:$AQ,$C82,BV_Data_An_Prec!$AR:$AR,Q$2)</f>
        <v>0</v>
      </c>
      <c r="R82" s="252"/>
      <c r="S82" s="275">
        <f t="shared" si="25"/>
        <v>0</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3" t="s">
        <v>146</v>
      </c>
      <c r="D83" s="304"/>
      <c r="E83" s="305"/>
      <c r="F83" s="306">
        <f>+SUM(F75:F82)</f>
        <v>0</v>
      </c>
      <c r="G83" s="307"/>
      <c r="H83" s="305"/>
      <c r="I83" s="306"/>
      <c r="J83" s="307"/>
      <c r="K83" s="305"/>
      <c r="L83" s="306">
        <f>+SUM(L75:L82)</f>
        <v>506029</v>
      </c>
      <c r="M83" s="309"/>
      <c r="N83" s="306">
        <f>+SUM(N75:N82)</f>
        <v>506029</v>
      </c>
      <c r="O83" s="307"/>
      <c r="P83" s="305"/>
      <c r="Q83" s="306">
        <f>+SUM(Q75:Q82)</f>
        <v>0</v>
      </c>
      <c r="R83" s="309"/>
      <c r="S83" s="306">
        <f>+SUM(S75:S82)</f>
        <v>506029</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2"/>
      <c r="D84" s="323"/>
      <c r="E84" s="324"/>
      <c r="F84" s="325"/>
      <c r="G84" s="326"/>
      <c r="H84" s="324"/>
      <c r="I84" s="325"/>
      <c r="J84" s="327"/>
      <c r="K84" s="328"/>
      <c r="L84" s="325"/>
      <c r="M84" s="327"/>
      <c r="N84" s="329"/>
      <c r="O84" s="327"/>
      <c r="P84" s="328"/>
      <c r="Q84" s="325"/>
      <c r="R84" s="327"/>
      <c r="S84" s="329"/>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thickBot="1">
      <c r="A85" s="5" t="str">
        <f t="shared" si="0"/>
        <v>Véhicules neufsPROFIT DÉPARTEMENTAL</v>
      </c>
      <c r="B85" s="41" t="str">
        <f t="shared" si="1"/>
        <v>Véhicules neufs</v>
      </c>
      <c r="C85" s="330" t="s">
        <v>147</v>
      </c>
      <c r="D85" s="331"/>
      <c r="E85" s="332"/>
      <c r="F85" s="333">
        <f>F27-F74+F83</f>
        <v>0</v>
      </c>
      <c r="G85" s="334"/>
      <c r="H85" s="332"/>
      <c r="I85" s="333"/>
      <c r="J85" s="334"/>
      <c r="K85" s="331"/>
      <c r="L85" s="333">
        <f>L27-L74+L83</f>
        <v>723632.38999999873</v>
      </c>
      <c r="M85" s="334"/>
      <c r="N85" s="333">
        <f>N27-N41-N54-N72+N83</f>
        <v>723632.38999999873</v>
      </c>
      <c r="O85" s="334"/>
      <c r="P85" s="331"/>
      <c r="Q85" s="333">
        <f>Q27-Q74+Q83</f>
        <v>0</v>
      </c>
      <c r="R85" s="334"/>
      <c r="S85" s="333">
        <f>L85-Q85</f>
        <v>723632.38999999873</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thickTop="1">
      <c r="B86" s="59"/>
      <c r="C86" s="59"/>
      <c r="D86" s="59"/>
      <c r="E86" s="59"/>
      <c r="F86" s="59"/>
      <c r="G86" s="59"/>
      <c r="H86" s="59"/>
      <c r="I86" s="59"/>
      <c r="J86" s="59"/>
      <c r="K86" s="59"/>
      <c r="L86" s="336"/>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336"/>
      <c r="M87" s="59"/>
      <c r="N87" s="59"/>
      <c r="O87" s="59"/>
      <c r="P87" s="336"/>
      <c r="Q87" s="336"/>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Hyundai</v>
      </c>
      <c r="D89" s="231"/>
      <c r="E89" s="231"/>
      <c r="F89" s="231"/>
      <c r="G89" s="231"/>
      <c r="H89" s="36"/>
      <c r="I89" s="36"/>
      <c r="J89" s="36"/>
      <c r="K89" s="9" t="s">
        <v>148</v>
      </c>
      <c r="L89" s="231"/>
      <c r="M89" s="231"/>
      <c r="N89" s="36"/>
      <c r="O89" s="36"/>
      <c r="P89" s="231"/>
      <c r="Q89" s="36"/>
      <c r="R89" s="231"/>
      <c r="S89" s="10" t="str">
        <f>$S$1</f>
        <v>Réalisé AAJ, Mai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thickTop="1">
      <c r="B91" s="41"/>
      <c r="C91" s="237"/>
      <c r="D91" s="1058" t="s">
        <v>339</v>
      </c>
      <c r="E91" s="1059"/>
      <c r="F91" s="1060"/>
      <c r="G91" s="1061"/>
      <c r="H91" s="1059"/>
      <c r="I91" s="1060"/>
      <c r="J91" s="1061" t="s">
        <v>340</v>
      </c>
      <c r="K91" s="1059"/>
      <c r="L91" s="1060"/>
      <c r="M91" s="1061" t="s">
        <v>681</v>
      </c>
      <c r="N91" s="1060"/>
      <c r="O91" s="1058" t="s">
        <v>341</v>
      </c>
      <c r="P91" s="1059"/>
      <c r="Q91" s="1060"/>
      <c r="R91" s="1062" t="s">
        <v>683</v>
      </c>
      <c r="S91" s="1063"/>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2"/>
      <c r="D92" s="241" t="s">
        <v>89</v>
      </c>
      <c r="E92" s="242" t="s">
        <v>344</v>
      </c>
      <c r="F92" s="243" t="s">
        <v>91</v>
      </c>
      <c r="G92" s="244"/>
      <c r="H92" s="242"/>
      <c r="I92" s="243"/>
      <c r="J92" s="244" t="s">
        <v>684</v>
      </c>
      <c r="K92" s="242" t="s">
        <v>90</v>
      </c>
      <c r="L92" s="243" t="s">
        <v>91</v>
      </c>
      <c r="M92" s="244" t="s">
        <v>684</v>
      </c>
      <c r="N92" s="243" t="s">
        <v>91</v>
      </c>
      <c r="O92" s="242" t="s">
        <v>89</v>
      </c>
      <c r="P92" s="242" t="s">
        <v>344</v>
      </c>
      <c r="Q92" s="243" t="s">
        <v>91</v>
      </c>
      <c r="R92" s="244" t="s">
        <v>684</v>
      </c>
      <c r="S92" s="243" t="s">
        <v>91</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3" si="26">+B93&amp;C93</f>
        <v>Véhicules usagésVentes nettes</v>
      </c>
      <c r="B93" s="41" t="s">
        <v>148</v>
      </c>
      <c r="C93" s="245" t="s">
        <v>92</v>
      </c>
      <c r="D93" s="249"/>
      <c r="E93" s="249"/>
      <c r="F93" s="247" cm="1">
        <f t="array" ref="F93">+SUMPRODUCT(('Budget original'!$A$8:$A$501=$A93)*('Budget original'!$C$3:$AO$3=F$2),'Budget original'!$C$8:$AO$501)</f>
        <v>0</v>
      </c>
      <c r="G93" s="266"/>
      <c r="H93" s="249"/>
      <c r="I93" s="247"/>
      <c r="J93" s="245"/>
      <c r="K93" s="249"/>
      <c r="L93" s="247">
        <f>-SUMIFS(BV_Data_An_Cour!$AN:$AN,BV_Data_An_Cour!$AS:$AS,"Oui",BV_Data_An_Cour!$AP:$AP,$B93)</f>
        <v>5446757.8499999996</v>
      </c>
      <c r="M93" s="340"/>
      <c r="N93" s="341"/>
      <c r="O93" s="245"/>
      <c r="P93" s="249"/>
      <c r="Q93" s="247">
        <f>-SUMIFS(BV_Data_An_Prec!$AN:$AN,BV_Data_An_Prec!$AS:$AS,"Oui",BV_Data_An_Prec!$AP:$AP,$B93)</f>
        <v>0</v>
      </c>
      <c r="R93" s="340"/>
      <c r="S93" s="341"/>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6"/>
        <v>Véhicules usagésCertifié</v>
      </c>
      <c r="B94" s="41" t="s">
        <v>148</v>
      </c>
      <c r="C94" s="252" t="s">
        <v>149</v>
      </c>
      <c r="D94" s="253" cm="1">
        <f t="array" ref="D94">+SUMPRODUCT(('Budget original'!$A$8:$A$501=$A94)*('Budget original'!$C$3:$AO$3=D$2),'Budget original'!$C$8:$AO$501)</f>
        <v>0</v>
      </c>
      <c r="E94" s="253">
        <f t="shared" ref="E94:E101" si="27">IF(D94=0,0,F94/D94)</f>
        <v>0</v>
      </c>
      <c r="F94" s="253" cm="1">
        <f t="array" ref="F94">+SUMPRODUCT(('Budget original'!$A$8:$A$501=$A94)*('Budget original'!$C$3:$AO$3=F$2),'Budget original'!$C$8:$AO$501)</f>
        <v>0</v>
      </c>
      <c r="G94" s="254"/>
      <c r="H94" s="253"/>
      <c r="I94" s="253"/>
      <c r="J94" s="254">
        <f>SUMIFS(BV_Data_An_Cour!$AX:$AX,BV_Data_An_Cour!$AP:$AP,$B94,BV_Data_An_Cour!$AQ:$AQ,$C94,BV_Data_An_Cour!$AY:$AY,J$2)</f>
        <v>13</v>
      </c>
      <c r="K94" s="253">
        <f t="shared" ref="K94:K95" si="28">IF(J94=0,0,L94/J94)</f>
        <v>2407.9223076923072</v>
      </c>
      <c r="L94" s="255">
        <f>-SUMIFS(BV_Data_An_Cour!$AN:$AN,BV_Data_An_Cour!$AP:$AP,$B94,BV_Data_An_Cour!$AQ:$AQ,$C94,BV_Data_An_Cour!$AR:$AR,$L2)</f>
        <v>31302.989999999991</v>
      </c>
      <c r="M94" s="254">
        <f>J94-D94</f>
        <v>13</v>
      </c>
      <c r="N94" s="255">
        <f>L94-F94</f>
        <v>31302.989999999991</v>
      </c>
      <c r="O94" s="254">
        <f>SUMIFS(BV_Data_An_Prec!$AX:$AX,BV_Data_An_Prec!$AP:$AP,$B94,BV_Data_An_Prec!$AQ:$AQ,$C94,BV_Data_An_Prec!$AY:$AY,O$2)</f>
        <v>0</v>
      </c>
      <c r="P94" s="253">
        <f t="shared" ref="P94:P96" si="29">IF(O94=0,0,Q94/O94)</f>
        <v>0</v>
      </c>
      <c r="Q94" s="255">
        <f>-SUMIFS(BV_Data_An_Prec!$AN:$AN,BV_Data_An_Prec!$AP:$AP,$B94,BV_Data_An_Prec!$AQ:$AQ,$C94,BV_Data_An_Prec!$AR:$AR,$L2)</f>
        <v>0</v>
      </c>
      <c r="R94" s="254">
        <f t="shared" ref="R94:R95" si="30">J94-O94</f>
        <v>13</v>
      </c>
      <c r="S94" s="255">
        <f t="shared" ref="S94:S95" si="31">L94-Q94</f>
        <v>31302.989999999991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6"/>
        <v>Véhicules usagésNon Certifié</v>
      </c>
      <c r="B95" s="41" t="s">
        <v>148</v>
      </c>
      <c r="C95" s="252" t="s">
        <v>150</v>
      </c>
      <c r="D95" s="253" cm="1">
        <f t="array" ref="D95">+SUMPRODUCT(('Budget original'!$A$8:$A$501=$A95)*('Budget original'!$C$3:$AO$3=D$2),'Budget original'!$C$8:$AO$501)</f>
        <v>0</v>
      </c>
      <c r="E95" s="864">
        <f t="shared" si="27"/>
        <v>0</v>
      </c>
      <c r="F95" s="253" cm="1">
        <f t="array" ref="F95">+SUMPRODUCT(('Budget original'!$A$8:$A$501=$A95)*('Budget original'!$C$3:$AO$3=F$2),'Budget original'!$C$8:$AO$501)</f>
        <v>0</v>
      </c>
      <c r="G95" s="254"/>
      <c r="H95" s="253"/>
      <c r="I95" s="253"/>
      <c r="J95" s="254">
        <f>SUMIFS(BV_Data_An_Cour!$AX:$AX,BV_Data_An_Cour!$AP:$AP,$B95,BV_Data_An_Cour!$AQ:$AQ,$C95,BV_Data_An_Cour!$AY:$AY,J$2)</f>
        <v>16</v>
      </c>
      <c r="K95" s="253">
        <f t="shared" si="28"/>
        <v>502.76999999999862</v>
      </c>
      <c r="L95" s="255">
        <f>-SUMIFS(BV_Data_An_Cour!$AN:$AN,BV_Data_An_Cour!$AP:$AP,$B95,BV_Data_An_Cour!$AQ:$AQ,$C95,BV_Data_An_Cour!$AR:$AR,$L2)</f>
        <v>8044.3199999999779</v>
      </c>
      <c r="M95" s="254">
        <f>J95-D95</f>
        <v>16</v>
      </c>
      <c r="N95" s="255">
        <f>L95-F95</f>
        <v>8044.3199999999779</v>
      </c>
      <c r="O95" s="254">
        <f>SUMIFS(BV_Data_An_Prec!$AX:$AX,BV_Data_An_Prec!$AP:$AP,$B95,BV_Data_An_Prec!$AQ:$AQ,$C95,BV_Data_An_Prec!$AY:$AY,O$2)</f>
        <v>0</v>
      </c>
      <c r="P95" s="253">
        <f t="shared" si="29"/>
        <v>0</v>
      </c>
      <c r="Q95" s="255">
        <f>-SUMIFS(BV_Data_An_Prec!$AN:$AN,BV_Data_An_Prec!$AP:$AP,$B95,BV_Data_An_Prec!$AQ:$AQ,$C95,BV_Data_An_Prec!$AR:$AR,$L2)</f>
        <v>0</v>
      </c>
      <c r="R95" s="254">
        <f t="shared" si="30"/>
        <v>16</v>
      </c>
      <c r="S95" s="255">
        <f t="shared" si="31"/>
        <v>8044.3199999999779</v>
      </c>
      <c r="T95" s="41"/>
      <c r="U95" s="41"/>
      <c r="V95" s="342"/>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6"/>
        <v>Véhicules usagésAutres marques</v>
      </c>
      <c r="B96" s="41" t="s">
        <v>148</v>
      </c>
      <c r="C96" s="801" t="s">
        <v>1093</v>
      </c>
      <c r="D96" s="253" cm="1">
        <f t="array" ref="D96">+SUMPRODUCT(('Budget original'!$A$8:$A$501=$A96)*('Budget original'!$C$3:$AO$3=D$2),'Budget original'!$C$8:$AO$501)</f>
        <v>0</v>
      </c>
      <c r="E96" s="866">
        <f t="shared" si="27"/>
        <v>0</v>
      </c>
      <c r="F96" s="253" cm="1">
        <f t="array" ref="F96">+SUMPRODUCT(('Budget original'!$A$8:$A$501=$A96)*('Budget original'!$C$3:$AO$3=F$2),'Budget original'!$C$8:$AO$501)</f>
        <v>0</v>
      </c>
      <c r="G96" s="865"/>
      <c r="H96" s="253"/>
      <c r="I96" s="253"/>
      <c r="J96" s="254">
        <f>SUMIFS(BV_Data_An_Cour!$AX:$AX,BV_Data_An_Cour!$AP:$AP,$B96,BV_Data_An_Cour!$AQ:$AQ,$C96,BV_Data_An_Cour!$AY:$AY,J$2)</f>
        <v>0</v>
      </c>
      <c r="K96" s="253">
        <f t="shared" ref="K96" si="32">IF(J96=0,0,L96/J96)</f>
        <v>0</v>
      </c>
      <c r="L96" s="769">
        <f>-SUMIFS(BV_Data_An_Cour!$AN:$AN,BV_Data_An_Cour!$AP:$AP,$B96,BV_Data_An_Cour!$AQ:$AQ,$C96,BV_Data_An_Cour!$AR:$AR,$L2)</f>
        <v>-2</v>
      </c>
      <c r="M96" s="865">
        <f>J96-D96</f>
        <v>0</v>
      </c>
      <c r="N96" s="769">
        <f>L96-F96</f>
        <v>-2</v>
      </c>
      <c r="O96" s="254">
        <f>SUMIFS(BV_Data_An_Prec!$AX:$AX,BV_Data_An_Prec!$AP:$AP,$B96,BV_Data_An_Prec!$AQ:$AQ,$C96,BV_Data_An_Prec!$AY:$AY,O$2)</f>
        <v>0</v>
      </c>
      <c r="P96" s="253">
        <f t="shared" si="29"/>
        <v>0</v>
      </c>
      <c r="Q96" s="769">
        <f>-SUMIFS(BV_Data_An_Prec!$AN:$AN,BV_Data_An_Prec!$AP:$AP,$B96,BV_Data_An_Prec!$AQ:$AQ,$C96,BV_Data_An_Prec!$AR:$AR,$L2)</f>
        <v>0</v>
      </c>
      <c r="R96" s="865">
        <f>J96-O96</f>
        <v>0</v>
      </c>
      <c r="S96" s="769">
        <f t="shared" ref="S96" si="33">L96-Q96</f>
        <v>-2</v>
      </c>
      <c r="T96" s="41"/>
      <c r="U96" s="41"/>
      <c r="V96" s="342"/>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6"/>
        <v>Véhicules usagésTotal Usagés</v>
      </c>
      <c r="B97" s="41" t="s">
        <v>148</v>
      </c>
      <c r="C97" s="258" t="s">
        <v>151</v>
      </c>
      <c r="D97" s="259">
        <f>+D95+D94+D96</f>
        <v>0</v>
      </c>
      <c r="E97" s="253">
        <f t="shared" si="27"/>
        <v>0</v>
      </c>
      <c r="F97" s="260">
        <f>+F94+F95+F96</f>
        <v>0</v>
      </c>
      <c r="G97" s="261"/>
      <c r="H97" s="259"/>
      <c r="I97" s="260"/>
      <c r="J97" s="261">
        <f>+J94+J95+J96</f>
        <v>29</v>
      </c>
      <c r="K97" s="259">
        <f>IF(J97&lt;=0,0,L97/J97)</f>
        <v>1356.7348275862057</v>
      </c>
      <c r="L97" s="260">
        <f>+L94+L95+L96</f>
        <v>39345.309999999969</v>
      </c>
      <c r="M97" s="261">
        <f>J97-D97</f>
        <v>29</v>
      </c>
      <c r="N97" s="260">
        <f>L97-F97</f>
        <v>39345.309999999969</v>
      </c>
      <c r="O97" s="261">
        <f>+O94+O95+O96</f>
        <v>0</v>
      </c>
      <c r="P97" s="259">
        <f>IF(O97&lt;=0,0,Q97/O97)</f>
        <v>0</v>
      </c>
      <c r="Q97" s="260">
        <f>+Q94+Q95+Q96</f>
        <v>0</v>
      </c>
      <c r="R97" s="261">
        <f>R94+R95</f>
        <v>29</v>
      </c>
      <c r="S97" s="260">
        <f>S94+S95</f>
        <v>39347.309999999969</v>
      </c>
      <c r="T97" s="41"/>
      <c r="U97" s="41"/>
      <c r="V97" s="41"/>
      <c r="W97" s="41"/>
      <c r="X97" s="41"/>
      <c r="Y97" s="41"/>
      <c r="Z97" s="41"/>
      <c r="AA97" s="41"/>
      <c r="AB97" s="41"/>
      <c r="AC97" s="290"/>
      <c r="AD97" s="41"/>
      <c r="AE97" s="41"/>
      <c r="AF97" s="290"/>
      <c r="AG97" s="41"/>
      <c r="AH97" s="41"/>
      <c r="AI97" s="41"/>
      <c r="AJ97" s="41"/>
      <c r="AK97" s="41"/>
      <c r="AL97" s="41"/>
      <c r="AM97" s="41"/>
      <c r="AN97" s="41"/>
    </row>
    <row r="98" spans="1:40" ht="15.75" customHeight="1">
      <c r="A98" s="5" t="str">
        <f t="shared" si="26"/>
        <v>Véhicules usagés</v>
      </c>
      <c r="B98" s="41" t="s">
        <v>148</v>
      </c>
      <c r="C98" s="252"/>
      <c r="D98" s="41"/>
      <c r="E98" s="253">
        <f t="shared" si="27"/>
        <v>0</v>
      </c>
      <c r="F98" s="262"/>
      <c r="G98" s="252"/>
      <c r="H98" s="41"/>
      <c r="I98" s="262"/>
      <c r="J98" s="252"/>
      <c r="K98" s="41"/>
      <c r="L98" s="262"/>
      <c r="M98" s="263"/>
      <c r="N98" s="264"/>
      <c r="O98" s="252"/>
      <c r="P98" s="41"/>
      <c r="Q98" s="262"/>
      <c r="R98" s="263"/>
      <c r="S98" s="264"/>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6"/>
        <v>Véhicules usagésRachat bail</v>
      </c>
      <c r="B99" s="41" t="s">
        <v>148</v>
      </c>
      <c r="C99" s="1035" t="s">
        <v>100</v>
      </c>
      <c r="D99" s="253" cm="1">
        <f t="array" ref="D99">+SUMPRODUCT(('Budget original'!$A$8:$A$501=$A99)*('Budget original'!$C$3:$AO$3=D$2),'Budget original'!$C$8:$AO$501)</f>
        <v>0</v>
      </c>
      <c r="E99" s="253">
        <f t="shared" si="27"/>
        <v>0</v>
      </c>
      <c r="F99" s="253" cm="1">
        <f t="array" ref="F99">+SUMPRODUCT(('Budget original'!$A$8:$A$501=$A99)*('Budget original'!$C$3:$AO$3=F$2),'Budget original'!$C$8:$AO$501)</f>
        <v>0</v>
      </c>
      <c r="G99" s="252"/>
      <c r="H99" s="253"/>
      <c r="I99" s="253"/>
      <c r="J99" s="254">
        <f>SUMIFS(BV_Data_An_Cour!$AX:$AX,BV_Data_An_Cour!$AP:$AP,$B99,BV_Data_An_Cour!$AQ:$AQ,$C99,BV_Data_An_Cour!$AY:$AY,J$2)</f>
        <v>34</v>
      </c>
      <c r="K99" s="253">
        <f t="shared" ref="K99:K101" si="34">IF(J99=0,0,L99/J99)</f>
        <v>205.72705882352858</v>
      </c>
      <c r="L99" s="255">
        <f>-SUMIFS(BV_Data_An_Cour!$AN:$AN,BV_Data_An_Cour!$AP:$AP,$B99,BV_Data_An_Cour!$AQ:$AQ,$C99,BV_Data_An_Cour!$AR:$AR,$L2)</f>
        <v>6994.7199999999721</v>
      </c>
      <c r="M99" s="254">
        <f>J99-D99</f>
        <v>34</v>
      </c>
      <c r="N99" s="255">
        <f>L99-F99</f>
        <v>6994.7199999999721</v>
      </c>
      <c r="O99" s="254">
        <f>SUMIFS(BV_Data_An_Prec!$AX:$AX,BV_Data_An_Prec!$AP:$AP,$B99,BV_Data_An_Prec!$AQ:$AQ,$C99,BV_Data_An_Prec!$AY:$AY,O$2)</f>
        <v>0</v>
      </c>
      <c r="P99" s="253">
        <f t="shared" ref="P99" si="35">IF(O99=0,0,Q99/O99)</f>
        <v>0</v>
      </c>
      <c r="Q99" s="255">
        <f>-SUMIFS(BV_Data_An_Prec!$AN:$AN,BV_Data_An_Prec!$AP:$AP,$B99,BV_Data_An_Prec!$AQ:$AQ,$C99,BV_Data_An_Prec!$AR:$AR,$L2)</f>
        <v>0</v>
      </c>
      <c r="R99" s="254">
        <f t="shared" ref="R99" si="36">J99-O99</f>
        <v>34</v>
      </c>
      <c r="S99" s="255">
        <f t="shared" ref="S99" si="37">L99-Q99</f>
        <v>6994.7199999999721</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c r="B100" s="41"/>
      <c r="C100" s="801"/>
      <c r="D100" s="253"/>
      <c r="E100" s="253"/>
      <c r="F100" s="253"/>
      <c r="G100" s="800"/>
      <c r="H100" s="253"/>
      <c r="I100" s="253"/>
      <c r="J100" s="865"/>
      <c r="K100" s="253"/>
      <c r="L100" s="769"/>
      <c r="M100" s="865"/>
      <c r="N100" s="769"/>
      <c r="O100" s="865"/>
      <c r="P100" s="253"/>
      <c r="Q100" s="769"/>
      <c r="R100" s="865"/>
      <c r="S100" s="769"/>
      <c r="T100" s="41"/>
      <c r="U100" s="41"/>
      <c r="V100" s="41"/>
      <c r="W100" s="41"/>
      <c r="X100" s="41"/>
      <c r="Y100" s="41"/>
      <c r="Z100" s="41"/>
      <c r="AA100" s="41"/>
      <c r="AB100" s="41"/>
      <c r="AC100" s="41"/>
      <c r="AD100" s="41"/>
      <c r="AE100" s="41"/>
      <c r="AF100" s="41"/>
      <c r="AG100" s="41"/>
      <c r="AH100" s="41"/>
      <c r="AI100" s="41"/>
      <c r="AJ100" s="41"/>
      <c r="AK100" s="41"/>
      <c r="AL100" s="41"/>
      <c r="AM100" s="41"/>
      <c r="AN100" s="41"/>
    </row>
    <row r="101" spans="1:40" ht="15.75" customHeight="1">
      <c r="A101" s="5" t="str">
        <f t="shared" si="26"/>
        <v>Véhicules usagésVentes au Gros</v>
      </c>
      <c r="B101" s="41" t="s">
        <v>148</v>
      </c>
      <c r="C101" s="252" t="s">
        <v>152</v>
      </c>
      <c r="D101" s="253" cm="1">
        <f t="array" ref="D101">+SUMPRODUCT(('Budget original'!$A$8:$A$501=$A101)*('Budget original'!$C$3:$AO$3=D$2),'Budget original'!$C$8:$AO$501)</f>
        <v>0</v>
      </c>
      <c r="E101" s="253">
        <f t="shared" si="27"/>
        <v>0</v>
      </c>
      <c r="F101" s="253" cm="1">
        <f t="array" ref="F101">+SUMPRODUCT(('Budget original'!$A$8:$A$501=$A101)*('Budget original'!$C$3:$AO$3=F$2),'Budget original'!$C$8:$AO$501)</f>
        <v>0</v>
      </c>
      <c r="G101" s="253"/>
      <c r="H101" s="253"/>
      <c r="I101" s="253"/>
      <c r="J101" s="254">
        <f>SUMIFS(BV_Data_An_Cour!$AX:$AX,BV_Data_An_Cour!$AP:$AP,$B101,BV_Data_An_Cour!$AQ:$AQ,$C101,BV_Data_An_Cour!$AY:$AY,J$2)</f>
        <v>240</v>
      </c>
      <c r="K101" s="253">
        <f t="shared" si="34"/>
        <v>3207.586083333334</v>
      </c>
      <c r="L101" s="255">
        <f>-SUMIFS(BV_Data_An_Cour!$AN:$AN,BV_Data_An_Cour!$AP:$AP,$B101,BV_Data_An_Cour!$AQ:$AQ,$C101,BV_Data_An_Cour!$AR:$AR,L$2)</f>
        <v>769820.66000000015</v>
      </c>
      <c r="M101" s="254">
        <f>J101-D101</f>
        <v>240</v>
      </c>
      <c r="N101" s="255">
        <f>L101-F101</f>
        <v>769820.66000000015</v>
      </c>
      <c r="O101" s="254">
        <f>SUMIFS(BV_Data_An_Prec!$AX:$AX,BV_Data_An_Prec!$AP:$AP,$B101,BV_Data_An_Prec!$AQ:$AQ,$C101,BV_Data_An_Prec!$AY:$AY,O$2)</f>
        <v>0</v>
      </c>
      <c r="P101" s="253">
        <f t="shared" ref="P101" si="38">IF(O101=0,0,Q101/O101)</f>
        <v>0</v>
      </c>
      <c r="Q101" s="255">
        <f>-SUMIFS(BV_Data_An_Prec!$AN:$AN,BV_Data_An_Prec!$AP:$AP,$B101,BV_Data_An_Prec!$AQ:$AQ,$C101,BV_Data_An_Prec!$AR:$AR,Q$2)</f>
        <v>0</v>
      </c>
      <c r="R101" s="254">
        <f t="shared" ref="R101" si="39">J101-O101</f>
        <v>240</v>
      </c>
      <c r="S101" s="255">
        <f t="shared" ref="S101" si="40">L101-Q101</f>
        <v>769820.66000000015</v>
      </c>
      <c r="T101" s="41"/>
      <c r="U101" s="41"/>
      <c r="V101" s="41"/>
      <c r="W101" s="41"/>
      <c r="X101" s="41"/>
      <c r="Y101" s="41"/>
      <c r="Z101" s="41"/>
      <c r="AA101" s="41"/>
      <c r="AB101" s="41"/>
      <c r="AC101" s="290"/>
      <c r="AD101" s="41"/>
      <c r="AE101" s="41"/>
      <c r="AF101" s="345"/>
      <c r="AG101" s="41"/>
      <c r="AH101" s="41"/>
      <c r="AI101" s="41"/>
      <c r="AJ101" s="41"/>
      <c r="AK101" s="41"/>
      <c r="AL101" s="41"/>
      <c r="AM101" s="41"/>
      <c r="AN101" s="41"/>
    </row>
    <row r="102" spans="1:40" ht="15.75" customHeight="1">
      <c r="A102" s="5" t="str">
        <f t="shared" si="26"/>
        <v>Véhicules usagés</v>
      </c>
      <c r="B102" s="41" t="s">
        <v>148</v>
      </c>
      <c r="C102" s="245"/>
      <c r="D102" s="249"/>
      <c r="E102" s="249"/>
      <c r="F102" s="247"/>
      <c r="G102" s="266"/>
      <c r="H102" s="249"/>
      <c r="I102" s="247"/>
      <c r="J102" s="266"/>
      <c r="K102" s="249"/>
      <c r="L102" s="247"/>
      <c r="M102" s="267"/>
      <c r="N102" s="346"/>
      <c r="O102" s="266"/>
      <c r="P102" s="249"/>
      <c r="Q102" s="247"/>
      <c r="R102" s="267"/>
      <c r="S102" s="346"/>
      <c r="T102" s="41"/>
      <c r="U102" s="41"/>
      <c r="V102" s="41"/>
      <c r="W102" s="41"/>
      <c r="X102" s="41"/>
      <c r="Y102" s="41"/>
      <c r="Z102" s="41"/>
      <c r="AA102" s="41"/>
      <c r="AB102" s="41"/>
      <c r="AC102" s="41"/>
      <c r="AD102" s="41"/>
      <c r="AE102" s="41"/>
      <c r="AF102" s="345"/>
      <c r="AG102" s="41"/>
      <c r="AH102" s="41"/>
      <c r="AI102" s="41"/>
      <c r="AJ102" s="41"/>
      <c r="AK102" s="41"/>
      <c r="AL102" s="41"/>
      <c r="AM102" s="41"/>
      <c r="AN102" s="41"/>
    </row>
    <row r="103" spans="1:40" ht="15.75" customHeight="1">
      <c r="A103" s="5" t="str">
        <f t="shared" si="26"/>
        <v>Véhicules usagésRev. Finances</v>
      </c>
      <c r="B103" s="41" t="s">
        <v>148</v>
      </c>
      <c r="C103" s="252" t="s">
        <v>101</v>
      </c>
      <c r="D103" s="253" cm="1">
        <f t="array" ref="D103">+SUMPRODUCT(('Budget original'!$A$8:$A$501=$A103)*('Budget original'!$C$3:$AO$3=D$2),'Budget original'!$C$8:$AO$501)</f>
        <v>0</v>
      </c>
      <c r="E103" s="253">
        <f t="shared" ref="E103:E106" si="41">IF(D103=0,0,F103/D103)</f>
        <v>0</v>
      </c>
      <c r="F103" s="255" cm="1">
        <f t="array" ref="F103">+SUMPRODUCT(('Budget original'!$A$8:$A$501=$A103)*('Budget original'!$C$3:$AO$3=F$2),'Budget original'!$C$8:$AO$501)</f>
        <v>0</v>
      </c>
      <c r="G103" s="254"/>
      <c r="H103" s="253"/>
      <c r="I103" s="253"/>
      <c r="J103" s="254"/>
      <c r="K103" s="253">
        <f>IF(J97=0,0,L103/J97)</f>
        <v>417.0965517241379</v>
      </c>
      <c r="L103" s="255">
        <f>-SUMIFS(BV_Data_An_Cour!$AN:$AN,BV_Data_An_Cour!$AP:$AP,$B103,BV_Data_An_Cour!$AQ:$AQ,$C103,BV_Data_An_Cour!$AR:$AR,$L2)</f>
        <v>12095.8</v>
      </c>
      <c r="M103" s="254"/>
      <c r="N103" s="255">
        <f>L103-F103</f>
        <v>12095.8</v>
      </c>
      <c r="O103" s="254"/>
      <c r="P103" s="253">
        <f>IF(O97=0,0,Q103/O97)</f>
        <v>0</v>
      </c>
      <c r="Q103" s="255">
        <f>-SUMIFS(BV_Data_An_Prec!$AN:$AN,BV_Data_An_Prec!$AP:$AP,$B103,BV_Data_An_Prec!$AQ:$AQ,$C103,BV_Data_An_Prec!$AR:$AR,$L2)</f>
        <v>0</v>
      </c>
      <c r="R103" s="254">
        <f t="shared" ref="R103:R105" si="42">O103-K103</f>
        <v>-417.0965517241379</v>
      </c>
      <c r="S103" s="255">
        <f t="shared" ref="S103:S106" si="43">L103-Q103</f>
        <v>12095.8</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6"/>
        <v>Véhicules usagésRev. Protections</v>
      </c>
      <c r="B104" s="41" t="s">
        <v>148</v>
      </c>
      <c r="C104" s="252" t="s">
        <v>102</v>
      </c>
      <c r="D104" s="253" cm="1">
        <f t="array" ref="D104">+SUMPRODUCT(('Budget original'!$A$8:$A$501=$A104)*('Budget original'!$C$3:$AO$3=D$2),'Budget original'!$C$8:$AO$501)</f>
        <v>0</v>
      </c>
      <c r="E104" s="253">
        <f t="shared" si="41"/>
        <v>0</v>
      </c>
      <c r="F104" s="255" cm="1">
        <f t="array" ref="F104">+SUMPRODUCT(('Budget original'!$A$8:$A$501=$A104)*('Budget original'!$C$3:$AO$3=F$2),'Budget original'!$C$8:$AO$501)</f>
        <v>0</v>
      </c>
      <c r="G104" s="254"/>
      <c r="H104" s="253"/>
      <c r="I104" s="253"/>
      <c r="J104" s="254"/>
      <c r="K104" s="253">
        <f>IF(J97=0,0,L104/J97)</f>
        <v>1825.186896551724</v>
      </c>
      <c r="L104" s="255">
        <f>-SUMIFS(BV_Data_An_Cour!$AN:$AN,BV_Data_An_Cour!$AP:$AP,$B104,BV_Data_An_Cour!$AQ:$AQ,$C104,BV_Data_An_Cour!$AR:$AR,$L2)</f>
        <v>52930.42</v>
      </c>
      <c r="M104" s="254"/>
      <c r="N104" s="255">
        <f>L104-F104</f>
        <v>52930.42</v>
      </c>
      <c r="O104" s="254"/>
      <c r="P104" s="253">
        <f>IF(O97=0,0,Q104/O97)</f>
        <v>0</v>
      </c>
      <c r="Q104" s="255">
        <f>-SUMIFS(BV_Data_An_Prec!$AN:$AN,BV_Data_An_Prec!$AP:$AP,$B104,BV_Data_An_Prec!$AQ:$AQ,$C104,BV_Data_An_Prec!$AR:$AR,$L2)</f>
        <v>0</v>
      </c>
      <c r="R104" s="254">
        <f t="shared" si="42"/>
        <v>-1825.186896551724</v>
      </c>
      <c r="S104" s="255">
        <f t="shared" si="43"/>
        <v>52930.42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6"/>
        <v>Véhicules usagésRev. Autres</v>
      </c>
      <c r="B105" s="41" t="s">
        <v>148</v>
      </c>
      <c r="C105" s="252" t="s">
        <v>103</v>
      </c>
      <c r="D105" s="253" cm="1">
        <f t="array" ref="D105">+SUMPRODUCT(('Budget original'!$A$8:$A$501=$A105)*('Budget original'!$C$3:$AO$3=D$2),'Budget original'!$C$8:$AO$501)</f>
        <v>0</v>
      </c>
      <c r="E105" s="249">
        <f t="shared" si="41"/>
        <v>0</v>
      </c>
      <c r="F105" s="255" cm="1">
        <f t="array" ref="F105">+SUMPRODUCT(('Budget original'!$A$8:$A$501=$A105)*('Budget original'!$C$3:$AO$3=F$2),'Budget original'!$C$8:$AO$501)</f>
        <v>0</v>
      </c>
      <c r="G105" s="254"/>
      <c r="H105" s="249"/>
      <c r="I105" s="253"/>
      <c r="J105" s="254"/>
      <c r="K105" s="249">
        <f>IF(J97=0,0,L105/J97)</f>
        <v>0</v>
      </c>
      <c r="L105" s="255">
        <f>-SUMIFS(BV_Data_An_Cour!$AN:$AN,BV_Data_An_Cour!$AP:$AP,$B105,BV_Data_An_Cour!$AQ:$AQ,$C105,BV_Data_An_Cour!$AR:$AR,$L$2)</f>
        <v>0</v>
      </c>
      <c r="M105" s="266"/>
      <c r="N105" s="255">
        <f>L105-F105</f>
        <v>0</v>
      </c>
      <c r="O105" s="254"/>
      <c r="P105" s="249">
        <f>IF(O97=0,0,Q105/O97)</f>
        <v>0</v>
      </c>
      <c r="Q105" s="255">
        <f>-SUMIFS(BV_Data_An_Prec!$AN:$AN,BV_Data_An_Prec!$AP:$AP,$B105,BV_Data_An_Prec!$AQ:$AQ,$C105,BV_Data_An_Prec!$AR:$AR,$L$2)</f>
        <v>0</v>
      </c>
      <c r="R105" s="254">
        <f t="shared" si="42"/>
        <v>0</v>
      </c>
      <c r="S105" s="255">
        <f t="shared" si="43"/>
        <v>0</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6"/>
        <v>Véhicules usagésTotal F&amp;I</v>
      </c>
      <c r="B106" s="41" t="s">
        <v>148</v>
      </c>
      <c r="C106" s="258" t="s">
        <v>104</v>
      </c>
      <c r="D106" s="259">
        <f>D97</f>
        <v>0</v>
      </c>
      <c r="E106" s="253">
        <f t="shared" si="41"/>
        <v>0</v>
      </c>
      <c r="F106" s="260">
        <f>F103+F104+F105</f>
        <v>0</v>
      </c>
      <c r="G106" s="261"/>
      <c r="H106" s="259"/>
      <c r="I106" s="260"/>
      <c r="J106" s="261">
        <f>J97</f>
        <v>29</v>
      </c>
      <c r="K106" s="259">
        <f>IF(J106&lt;=0,0,L106/J106)</f>
        <v>2242.2834482758622</v>
      </c>
      <c r="L106" s="260">
        <f>L103+L104+L105</f>
        <v>65026.22</v>
      </c>
      <c r="M106" s="254">
        <f>J106-D106</f>
        <v>29</v>
      </c>
      <c r="N106" s="260">
        <f>L106-F106</f>
        <v>65026.22</v>
      </c>
      <c r="O106" s="261">
        <f>O97</f>
        <v>0</v>
      </c>
      <c r="P106" s="259">
        <f>IF(O106&lt;=0,0,Q106/O106)</f>
        <v>0</v>
      </c>
      <c r="Q106" s="260">
        <f>Q103+Q104+Q105</f>
        <v>0</v>
      </c>
      <c r="R106" s="272"/>
      <c r="S106" s="260">
        <f t="shared" si="43"/>
        <v>65026.22</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6"/>
        <v>Véhicules usagés</v>
      </c>
      <c r="B107" s="41" t="s">
        <v>148</v>
      </c>
      <c r="C107" s="252"/>
      <c r="D107" s="41"/>
      <c r="E107" s="41"/>
      <c r="F107" s="275"/>
      <c r="G107" s="252"/>
      <c r="H107" s="347"/>
      <c r="I107" s="275"/>
      <c r="J107" s="252"/>
      <c r="K107" s="41"/>
      <c r="L107" s="275"/>
      <c r="M107" s="263"/>
      <c r="N107" s="264" t="e">
        <f>N106/F106</f>
        <v>#DIV/0!</v>
      </c>
      <c r="O107" s="252"/>
      <c r="P107" s="41"/>
      <c r="Q107" s="275"/>
      <c r="R107" s="276"/>
      <c r="S107" s="264">
        <f>IF(Q106=0,0,(S106/Q106))</f>
        <v>0</v>
      </c>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thickBot="1">
      <c r="A108" s="5" t="str">
        <f t="shared" si="26"/>
        <v>Véhicules usagés</v>
      </c>
      <c r="B108" s="41" t="s">
        <v>148</v>
      </c>
      <c r="C108" s="252"/>
      <c r="D108" s="41"/>
      <c r="E108" s="41"/>
      <c r="F108" s="275"/>
      <c r="G108" s="252"/>
      <c r="H108" s="347"/>
      <c r="I108" s="275"/>
      <c r="J108" s="252"/>
      <c r="K108" s="41"/>
      <c r="L108" s="275"/>
      <c r="M108" s="263"/>
      <c r="N108" s="264"/>
      <c r="O108" s="252"/>
      <c r="P108" s="41"/>
      <c r="Q108" s="275"/>
      <c r="R108" s="276"/>
      <c r="S108" s="264"/>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5.75" customHeight="1" thickTop="1">
      <c r="A109" s="5" t="str">
        <f t="shared" si="26"/>
        <v>Véhicules usagésTotal Dépt. Usagés</v>
      </c>
      <c r="B109" s="41" t="s">
        <v>148</v>
      </c>
      <c r="C109" s="277" t="s">
        <v>153</v>
      </c>
      <c r="D109" s="278">
        <f>D97+D101</f>
        <v>0</v>
      </c>
      <c r="E109" s="348">
        <f>IF(D109&lt;=0,0,F109/D109)</f>
        <v>0</v>
      </c>
      <c r="F109" s="280">
        <f>F97+F106+F101+F99</f>
        <v>0</v>
      </c>
      <c r="G109" s="281"/>
      <c r="H109" s="348"/>
      <c r="I109" s="280"/>
      <c r="J109" s="281">
        <f>J97+J101</f>
        <v>269</v>
      </c>
      <c r="K109" s="348">
        <f>IF(J109&lt;=0,0,L109/J109)</f>
        <v>3275.787769516729</v>
      </c>
      <c r="L109" s="280">
        <f>L97+L106+L101+L99</f>
        <v>881186.91000000015</v>
      </c>
      <c r="M109" s="281">
        <f>J109-D109</f>
        <v>269</v>
      </c>
      <c r="N109" s="280">
        <f>N97+N106+N101+N99</f>
        <v>881186.91000000015</v>
      </c>
      <c r="O109" s="281">
        <f>O97+O101</f>
        <v>0</v>
      </c>
      <c r="P109" s="348">
        <f>IF(O109&lt;=0,0,Q109/O109)</f>
        <v>0</v>
      </c>
      <c r="Q109" s="280">
        <f>Q97+Q106+Q101+Q99</f>
        <v>0</v>
      </c>
      <c r="R109" s="281">
        <f>J109-O109</f>
        <v>269</v>
      </c>
      <c r="S109" s="280">
        <f>S97+S106+S101+S99</f>
        <v>881188.91000000015</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9.5" customHeight="1" thickBot="1">
      <c r="A110" s="5" t="str">
        <f t="shared" si="26"/>
        <v>Véhicules usagés</v>
      </c>
      <c r="B110" s="41" t="s">
        <v>148</v>
      </c>
      <c r="C110" s="282"/>
      <c r="D110" s="283"/>
      <c r="E110" s="283"/>
      <c r="F110" s="284"/>
      <c r="G110" s="282"/>
      <c r="H110" s="283"/>
      <c r="I110" s="284"/>
      <c r="J110" s="282"/>
      <c r="K110" s="283"/>
      <c r="L110" s="350"/>
      <c r="M110" s="285"/>
      <c r="N110" s="286"/>
      <c r="O110" s="282"/>
      <c r="P110" s="283"/>
      <c r="Q110" s="350"/>
      <c r="R110" s="285">
        <f>O109/R109</f>
        <v>0</v>
      </c>
      <c r="S110" s="350">
        <f>IF(Q109=0,0,(S109/Q109))</f>
        <v>0</v>
      </c>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thickTop="1">
      <c r="A111" s="5" t="str">
        <f t="shared" si="26"/>
        <v>Véhicules usagés</v>
      </c>
      <c r="B111" s="41" t="s">
        <v>148</v>
      </c>
      <c r="C111" s="269"/>
      <c r="D111" s="11"/>
      <c r="E111" s="11"/>
      <c r="F111" s="287"/>
      <c r="G111" s="269"/>
      <c r="H111" s="11"/>
      <c r="I111" s="287"/>
      <c r="J111" s="269"/>
      <c r="K111" s="11"/>
      <c r="L111" s="287"/>
      <c r="M111" s="263"/>
      <c r="N111" s="264"/>
      <c r="O111" s="269"/>
      <c r="P111" s="11"/>
      <c r="Q111" s="287"/>
      <c r="R111" s="263"/>
      <c r="S111" s="264"/>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6"/>
        <v>Véhicules usagésDEPENSES</v>
      </c>
      <c r="B112" s="41" t="s">
        <v>148</v>
      </c>
      <c r="C112" s="288" t="s">
        <v>106</v>
      </c>
      <c r="D112" s="41"/>
      <c r="E112" s="39"/>
      <c r="F112" s="275"/>
      <c r="G112" s="252"/>
      <c r="H112" s="39"/>
      <c r="I112" s="275"/>
      <c r="J112" s="252"/>
      <c r="K112" s="39"/>
      <c r="L112" s="262"/>
      <c r="M112" s="252"/>
      <c r="N112" s="262"/>
      <c r="O112" s="252"/>
      <c r="P112" s="39"/>
      <c r="Q112" s="262"/>
      <c r="R112" s="252"/>
      <c r="S112" s="262"/>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6"/>
        <v>Véhicules usagésComm. vendeurs</v>
      </c>
      <c r="B113" s="41" t="s">
        <v>148</v>
      </c>
      <c r="C113" s="252" t="s">
        <v>107</v>
      </c>
      <c r="D113" s="289" t="e">
        <f>F113/F97</f>
        <v>#DIV/0!</v>
      </c>
      <c r="E113" s="290" t="e">
        <f t="shared" ref="E113:E122" si="44">F113/D$97</f>
        <v>#DIV/0!</v>
      </c>
      <c r="F113" s="253" cm="1">
        <f t="array" ref="F113">+SUMPRODUCT(('Budget original'!$A$8:$A$501=$A113)*('Budget original'!$C$3:$AO$3=F$2),'Budget original'!$C$8:$AO$501)</f>
        <v>0</v>
      </c>
      <c r="G113" s="297"/>
      <c r="H113" s="290"/>
      <c r="I113" s="253"/>
      <c r="J113" s="291">
        <f>+L113/L97</f>
        <v>1.128001787252408</v>
      </c>
      <c r="K113" s="290">
        <f>IF($J$97=0,0,L113/(J$94+J$95+J96))</f>
        <v>1530.3993103448277</v>
      </c>
      <c r="L113" s="255">
        <f>SUMIFS(BV_Data_An_Cour!$AN:$AN,BV_Data_An_Cour!$AP:$AP,$B113,BV_Data_An_Cour!$AQ:$AQ,$C113,BV_Data_An_Cour!$AR:$AR,$L$2)</f>
        <v>44381.58</v>
      </c>
      <c r="M113" s="252"/>
      <c r="N113" s="275">
        <f t="shared" ref="N113:N154" si="45">L113-F113</f>
        <v>44381.58</v>
      </c>
      <c r="O113" s="291" t="e">
        <f>+Q113/Q97</f>
        <v>#DIV/0!</v>
      </c>
      <c r="P113" s="290" t="e">
        <f>IF($J$97=0,0,Q113/(O$94+O$95+O96))</f>
        <v>#DIV/0!</v>
      </c>
      <c r="Q113" s="255">
        <f>SUMIFS(BV_Data_An_Prec!$AN:$AN,BV_Data_An_Prec!$AP:$AP,$B113,BV_Data_An_Prec!$AQ:$AQ,$C113,BV_Data_An_Prec!$AR:$AR,$L$2)</f>
        <v>0</v>
      </c>
      <c r="R113" s="252"/>
      <c r="S113" s="275">
        <f t="shared" ref="S113:S123" si="46">L113-Q113</f>
        <v>44381.58</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6"/>
        <v>Véhicules usagésComm. F&amp;I</v>
      </c>
      <c r="B114" s="41" t="s">
        <v>148</v>
      </c>
      <c r="C114" s="245" t="s">
        <v>108</v>
      </c>
      <c r="D114" s="292" t="e">
        <f>F114/(F106+F19)</f>
        <v>#DIV/0!</v>
      </c>
      <c r="E114" s="293" t="e">
        <f t="shared" si="44"/>
        <v>#DIV/0!</v>
      </c>
      <c r="F114" s="247" cm="1">
        <f t="array" ref="F114">+SUMPRODUCT(('Budget original'!$A$8:$A$501=$A114)*('Budget original'!$C$3:$AO$3=F$2),'Budget original'!$C$8:$AO$501)</f>
        <v>0</v>
      </c>
      <c r="G114" s="299"/>
      <c r="H114" s="293"/>
      <c r="I114" s="247"/>
      <c r="J114" s="294">
        <f>L114/L106</f>
        <v>0.235390585520733</v>
      </c>
      <c r="K114" s="293">
        <f>IF($J$97=0,0,L114/(J$94+J$95+J96))</f>
        <v>527.81241379310347</v>
      </c>
      <c r="L114" s="255">
        <f>SUMIFS(BV_Data_An_Cour!$AN:$AN,BV_Data_An_Cour!$AP:$AP,$B114,BV_Data_An_Cour!$AQ:$AQ,$C114,BV_Data_An_Cour!$AR:$AR,$L$2)</f>
        <v>15306.56</v>
      </c>
      <c r="M114" s="245"/>
      <c r="N114" s="295">
        <f t="shared" si="45"/>
        <v>15306.56</v>
      </c>
      <c r="O114" s="294" t="e">
        <f>Q114/Q106</f>
        <v>#DIV/0!</v>
      </c>
      <c r="P114" s="293" t="e">
        <f>IF($J$97=0,0,Q114/(O$94+O$95+O96))</f>
        <v>#DIV/0!</v>
      </c>
      <c r="Q114" s="255">
        <f>SUMIFS(BV_Data_An_Prec!$AN:$AN,BV_Data_An_Prec!$AP:$AP,$B114,BV_Data_An_Prec!$AQ:$AQ,$C114,BV_Data_An_Prec!$AR:$AR,$L$2)</f>
        <v>0</v>
      </c>
      <c r="R114" s="245"/>
      <c r="S114" s="295">
        <f t="shared" si="46"/>
        <v>15306.56</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6"/>
        <v>Véhicules usagésFrais de livraison</v>
      </c>
      <c r="B115" s="41" t="s">
        <v>148</v>
      </c>
      <c r="C115" s="252" t="s">
        <v>109</v>
      </c>
      <c r="D115" s="296"/>
      <c r="E115" s="290" t="e">
        <f t="shared" si="44"/>
        <v>#DIV/0!</v>
      </c>
      <c r="F115" s="253" cm="1">
        <f t="array" ref="F115">+SUMPRODUCT(('Budget original'!$A$8:$A$501=$A115)*('Budget original'!$C$3:$AO$3=F$2),'Budget original'!$C$8:$AO$501)</f>
        <v>0</v>
      </c>
      <c r="G115" s="297"/>
      <c r="H115" s="290"/>
      <c r="I115" s="253"/>
      <c r="J115" s="252"/>
      <c r="K115" s="290">
        <f>IF($J$97=0,0,L115/(J$94+J$95+J96))</f>
        <v>3.3317241379310345</v>
      </c>
      <c r="L115" s="271">
        <f>SUMIFS(BV_Data_An_Cour!$AN:$AN,BV_Data_An_Cour!$AP:$AP,$B115,BV_Data_An_Cour!$AQ:$AQ,$C115,BV_Data_An_Cour!$AR:$AR,$L$2)</f>
        <v>96.62</v>
      </c>
      <c r="M115" s="252"/>
      <c r="N115" s="275">
        <f t="shared" si="45"/>
        <v>96.62</v>
      </c>
      <c r="O115" s="252"/>
      <c r="P115" s="290" t="e">
        <f>IF($J$97=0,0,Q115/(O$94+O$95+O96))</f>
        <v>#DIV/0!</v>
      </c>
      <c r="Q115" s="271">
        <f>SUMIFS(BV_Data_An_Prec!$AN:$AN,BV_Data_An_Prec!$AP:$AP,$B115,BV_Data_An_Prec!$AQ:$AQ,$C115,BV_Data_An_Prec!$AR:$AR,$L$2)</f>
        <v>0</v>
      </c>
      <c r="R115" s="252"/>
      <c r="S115" s="275">
        <f t="shared" si="46"/>
        <v>96.62</v>
      </c>
      <c r="T115" s="41"/>
      <c r="U115" s="41"/>
      <c r="V115" s="41"/>
      <c r="W115" s="41"/>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6"/>
        <v>Véhicules usagésService gratuit 1</v>
      </c>
      <c r="B116" s="41" t="s">
        <v>148</v>
      </c>
      <c r="C116" s="252" t="s">
        <v>110</v>
      </c>
      <c r="D116" s="296"/>
      <c r="E116" s="290" t="e">
        <f t="shared" si="44"/>
        <v>#DIV/0!</v>
      </c>
      <c r="F116" s="253" cm="1">
        <f t="array" ref="F116">+SUMPRODUCT(('Budget original'!$A$8:$A$501=$A116)*('Budget original'!$C$3:$AO$3=F$2),'Budget original'!$C$8:$AO$501)</f>
        <v>0</v>
      </c>
      <c r="G116" s="297"/>
      <c r="H116" s="290"/>
      <c r="I116" s="253"/>
      <c r="J116" s="252"/>
      <c r="K116" s="290">
        <f>IF($J$97=0,0,L116/(J$94+J$95+J96))</f>
        <v>0</v>
      </c>
      <c r="L116" s="255">
        <f>SUMIFS(BV_Data_An_Cour!$AN:$AN,BV_Data_An_Cour!$AP:$AP,$B116,BV_Data_An_Cour!$AQ:$AQ,$C116,BV_Data_An_Cour!$AR:$AR,$L$2)</f>
        <v>0</v>
      </c>
      <c r="M116" s="252"/>
      <c r="N116" s="275">
        <f t="shared" si="45"/>
        <v>0</v>
      </c>
      <c r="O116" s="252"/>
      <c r="P116" s="290" t="e">
        <f>IF($J$97=0,0,Q116/(O$94+O$95+O96))</f>
        <v>#DIV/0!</v>
      </c>
      <c r="Q116" s="255">
        <f>SUMIFS(BV_Data_An_Prec!$AN:$AN,BV_Data_An_Prec!$AP:$AP,$B116,BV_Data_An_Prec!$AQ:$AQ,$C116,BV_Data_An_Prec!$AR:$AR,$L$2)</f>
        <v>0</v>
      </c>
      <c r="R116" s="252"/>
      <c r="S116" s="275">
        <f t="shared" si="46"/>
        <v>0</v>
      </c>
      <c r="T116" s="41"/>
      <c r="U116" s="41"/>
      <c r="V116" s="41"/>
      <c r="W116" s="253"/>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6"/>
        <v>Véhicules usagésEntretien stock</v>
      </c>
      <c r="B117" s="41" t="s">
        <v>148</v>
      </c>
      <c r="C117" s="245" t="s">
        <v>111</v>
      </c>
      <c r="D117" s="298"/>
      <c r="E117" s="293" t="e">
        <f t="shared" si="44"/>
        <v>#DIV/0!</v>
      </c>
      <c r="F117" s="247" cm="1">
        <f t="array" ref="F117">+SUMPRODUCT(('Budget original'!$A$8:$A$501=$A117)*('Budget original'!$C$3:$AO$3=F$2),'Budget original'!$C$8:$AO$501)</f>
        <v>0</v>
      </c>
      <c r="G117" s="299"/>
      <c r="H117" s="293"/>
      <c r="I117" s="247"/>
      <c r="J117" s="245"/>
      <c r="K117" s="293">
        <f>IF($J$97=0,0,L117/(J$94+J$95+J96))</f>
        <v>18.022758620689654</v>
      </c>
      <c r="L117" s="247">
        <f>SUMIFS(BV_Data_An_Cour!$AN:$AN,BV_Data_An_Cour!$AP:$AP,$B117,BV_Data_An_Cour!$AQ:$AQ,$C117,BV_Data_An_Cour!$AR:$AR,$L$2)</f>
        <v>522.66</v>
      </c>
      <c r="M117" s="245"/>
      <c r="N117" s="295">
        <f t="shared" si="45"/>
        <v>522.66</v>
      </c>
      <c r="O117" s="245"/>
      <c r="P117" s="293" t="e">
        <f>IF($J$97=0,0,Q117/(O$94+O$95+O96))</f>
        <v>#DIV/0!</v>
      </c>
      <c r="Q117" s="247">
        <f>SUMIFS(BV_Data_An_Prec!$AN:$AN,BV_Data_An_Prec!$AP:$AP,$B117,BV_Data_An_Prec!$AQ:$AQ,$C117,BV_Data_An_Prec!$AR:$AR,$L$2)</f>
        <v>0</v>
      </c>
      <c r="R117" s="245"/>
      <c r="S117" s="295">
        <f t="shared" si="46"/>
        <v>522.66</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6"/>
        <v>Véhicules usagésPublicité 1</v>
      </c>
      <c r="B118" s="41" t="s">
        <v>148</v>
      </c>
      <c r="C118" s="252" t="s">
        <v>112</v>
      </c>
      <c r="D118" s="296"/>
      <c r="E118" s="290" t="e">
        <f t="shared" si="44"/>
        <v>#DIV/0!</v>
      </c>
      <c r="F118" s="253" cm="1">
        <f t="array" ref="F118">+SUMPRODUCT(('Budget original'!$A$8:$A$501=$A118)*('Budget original'!$C$3:$AO$3=F$2),'Budget original'!$C$8:$AO$501)</f>
        <v>0</v>
      </c>
      <c r="G118" s="297"/>
      <c r="H118" s="290"/>
      <c r="I118" s="253"/>
      <c r="J118" s="252"/>
      <c r="K118" s="290">
        <f>IF($J$97=0,0,L118/(J$94+J$95+J96))</f>
        <v>133.89620689655172</v>
      </c>
      <c r="L118" s="255">
        <f>SUMIFS(BV_Data_An_Cour!$AN:$AN,BV_Data_An_Cour!$AP:$AP,$B118,BV_Data_An_Cour!$AQ:$AQ,$C118,BV_Data_An_Cour!$AR:$AR,$L$2)</f>
        <v>3882.99</v>
      </c>
      <c r="M118" s="252"/>
      <c r="N118" s="275">
        <f t="shared" si="45"/>
        <v>3882.99</v>
      </c>
      <c r="O118" s="252"/>
      <c r="P118" s="290" t="e">
        <f>IF($J$97=0,0,Q118/(O$94+O$95+O96))</f>
        <v>#DIV/0!</v>
      </c>
      <c r="Q118" s="255">
        <f>SUMIFS(BV_Data_An_Prec!$AN:$AN,BV_Data_An_Prec!$AP:$AP,$B118,BV_Data_An_Prec!$AQ:$AQ,$C118,BV_Data_An_Prec!$AR:$AR,$L$2)</f>
        <v>0</v>
      </c>
      <c r="R118" s="252"/>
      <c r="S118" s="275">
        <f t="shared" si="46"/>
        <v>3882.99</v>
      </c>
      <c r="T118" s="41"/>
      <c r="U118" s="41"/>
      <c r="V118" s="41"/>
      <c r="W118" s="41"/>
      <c r="X118" s="41"/>
      <c r="Y118" s="41"/>
      <c r="Z118" s="41"/>
      <c r="AA118" s="41"/>
      <c r="AB118" s="41"/>
      <c r="AC118" s="41"/>
      <c r="AD118" s="41"/>
      <c r="AE118" s="41"/>
      <c r="AF118" s="41"/>
      <c r="AG118" s="41"/>
      <c r="AH118" s="41"/>
      <c r="AI118" s="41"/>
      <c r="AJ118" s="41"/>
      <c r="AK118" s="41"/>
      <c r="AL118" s="41"/>
      <c r="AM118" s="41"/>
      <c r="AN118" s="41"/>
    </row>
    <row r="119" spans="1:40" ht="15.75" customHeight="1">
      <c r="A119" s="5" t="str">
        <f t="shared" si="26"/>
        <v>Véhicules usagésIntérêt de gros</v>
      </c>
      <c r="B119" s="41" t="s">
        <v>148</v>
      </c>
      <c r="C119" s="252" t="s">
        <v>113</v>
      </c>
      <c r="D119" s="296"/>
      <c r="E119" s="290" t="e">
        <f t="shared" si="44"/>
        <v>#DIV/0!</v>
      </c>
      <c r="F119" s="253" cm="1">
        <f t="array" ref="F119">+SUMPRODUCT(('Budget original'!$A$8:$A$501=$A119)*('Budget original'!$C$3:$AO$3=F$2),'Budget original'!$C$8:$AO$501)</f>
        <v>0</v>
      </c>
      <c r="G119" s="297"/>
      <c r="H119" s="290"/>
      <c r="I119" s="253"/>
      <c r="J119" s="252"/>
      <c r="K119" s="290">
        <f>IF($J$97=0,0,L119/(J$94+J$95+J96))</f>
        <v>84.201724137931038</v>
      </c>
      <c r="L119" s="769">
        <f>SUMIFS(BV_Data_An_Cour!$AN:$AN,BV_Data_An_Cour!$AP:$AP,$B119,BV_Data_An_Cour!$AQ:$AQ,$C119,BV_Data_An_Cour!$AR:$AR,$L$2)</f>
        <v>2441.85</v>
      </c>
      <c r="M119" s="801"/>
      <c r="N119" s="777">
        <f t="shared" si="45"/>
        <v>2441.85</v>
      </c>
      <c r="O119" s="252"/>
      <c r="P119" s="290" t="e">
        <f>IF($J$97=0,0,Q119/(O$94+O$95+O96))</f>
        <v>#DIV/0!</v>
      </c>
      <c r="Q119" s="769">
        <f>SUMIFS(BV_Data_An_Prec!$AN:$AN,BV_Data_An_Prec!$AP:$AP,$B119,BV_Data_An_Prec!$AQ:$AQ,$C119,BV_Data_An_Prec!$AR:$AR,$L$2)</f>
        <v>0</v>
      </c>
      <c r="R119" s="252"/>
      <c r="S119" s="275">
        <f t="shared" si="46"/>
        <v>2441.85</v>
      </c>
      <c r="T119" s="41"/>
      <c r="U119" s="41"/>
      <c r="V119" s="41"/>
      <c r="W119" s="253"/>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6"/>
        <v>Véhicules usagés[...]</v>
      </c>
      <c r="B120" s="41" t="s">
        <v>148</v>
      </c>
      <c r="C120" s="252" t="s">
        <v>55</v>
      </c>
      <c r="D120" s="296"/>
      <c r="E120" s="290" t="e">
        <f t="shared" si="44"/>
        <v>#DIV/0!</v>
      </c>
      <c r="F120" s="253" cm="1">
        <f t="array" ref="F120">+SUMPRODUCT(('Budget original'!$A$8:$A$501=$A120)*('Budget original'!$C$3:$AO$3=F$2),'Budget original'!$C$8:$AO$501)</f>
        <v>0</v>
      </c>
      <c r="G120" s="297"/>
      <c r="H120" s="290"/>
      <c r="I120" s="253"/>
      <c r="J120" s="252"/>
      <c r="K120" s="290">
        <f t="shared" ref="K120:K122" si="47">IF($J$97=0,0,L120/(J$94+J$95))</f>
        <v>0</v>
      </c>
      <c r="L120" s="255">
        <f>SUMIFS(BV_Data_An_Cour!$AN:$AN,BV_Data_An_Cour!$AP:$AP,$B120,BV_Data_An_Cour!$AQ:$AQ,$C120,BV_Data_An_Cour!$AR:$AR,$L$2)</f>
        <v>0</v>
      </c>
      <c r="M120" s="252"/>
      <c r="N120" s="275">
        <f t="shared" si="45"/>
        <v>0</v>
      </c>
      <c r="O120" s="252"/>
      <c r="P120" s="290" t="e">
        <f t="shared" ref="P120:P122" si="48">IF($J$97=0,0,Q120/(O$94+O$95))</f>
        <v>#DIV/0!</v>
      </c>
      <c r="Q120" s="255">
        <f>SUMIFS(BV_Data_An_Prec!$AN:$AN,BV_Data_An_Prec!$AP:$AP,$B120,BV_Data_An_Prec!$AQ:$AQ,$C120,BV_Data_An_Prec!$AR:$AR,$L$2)</f>
        <v>0</v>
      </c>
      <c r="R120" s="252"/>
      <c r="S120" s="275">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6"/>
        <v>Véhicules usagés[...]</v>
      </c>
      <c r="B121" s="41" t="s">
        <v>148</v>
      </c>
      <c r="C121" s="252" t="s">
        <v>55</v>
      </c>
      <c r="D121" s="296"/>
      <c r="E121" s="290" t="e">
        <f t="shared" si="44"/>
        <v>#DIV/0!</v>
      </c>
      <c r="F121" s="253" cm="1">
        <f t="array" ref="F121">+SUMPRODUCT(('Budget original'!$A$8:$A$501=$A121)*('Budget original'!$C$3:$AO$3=F$2),'Budget original'!$C$8:$AO$501)</f>
        <v>0</v>
      </c>
      <c r="G121" s="297"/>
      <c r="H121" s="290"/>
      <c r="I121" s="253"/>
      <c r="J121" s="252"/>
      <c r="K121" s="290">
        <f t="shared" si="47"/>
        <v>0</v>
      </c>
      <c r="L121" s="255">
        <f>SUMIFS(BV_Data_An_Cour!$AN:$AN,BV_Data_An_Cour!$AP:$AP,$B121,BV_Data_An_Cour!$AQ:$AQ,$C121,BV_Data_An_Cour!$AR:$AR,$L$2)</f>
        <v>0</v>
      </c>
      <c r="M121" s="252"/>
      <c r="N121" s="275">
        <f t="shared" si="45"/>
        <v>0</v>
      </c>
      <c r="O121" s="252"/>
      <c r="P121" s="290" t="e">
        <f t="shared" si="48"/>
        <v>#DIV/0!</v>
      </c>
      <c r="Q121" s="255">
        <f>SUMIFS(BV_Data_An_Prec!$AN:$AN,BV_Data_An_Prec!$AP:$AP,$B121,BV_Data_An_Prec!$AQ:$AQ,$C121,BV_Data_An_Prec!$AR:$AR,$L$2)</f>
        <v>0</v>
      </c>
      <c r="R121" s="252"/>
      <c r="S121" s="275">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hidden="1" customHeight="1">
      <c r="A122" s="5" t="str">
        <f t="shared" si="26"/>
        <v>Véhicules usagés[...]</v>
      </c>
      <c r="B122" s="41" t="s">
        <v>148</v>
      </c>
      <c r="C122" s="252" t="s">
        <v>55</v>
      </c>
      <c r="D122" s="296"/>
      <c r="E122" s="290" t="e">
        <f t="shared" si="44"/>
        <v>#DIV/0!</v>
      </c>
      <c r="F122" s="253" cm="1">
        <f t="array" ref="F122">+SUMPRODUCT(('Budget original'!$A$8:$A$501=$A122)*('Budget original'!$C$3:$AO$3=F$2),'Budget original'!$C$8:$AO$501)</f>
        <v>0</v>
      </c>
      <c r="G122" s="297"/>
      <c r="H122" s="290"/>
      <c r="I122" s="253"/>
      <c r="J122" s="252"/>
      <c r="K122" s="290">
        <f t="shared" si="47"/>
        <v>0</v>
      </c>
      <c r="L122" s="255">
        <f>SUMIFS(BV_Data_An_Cour!$AN:$AN,BV_Data_An_Cour!$AP:$AP,$B122,BV_Data_An_Cour!$AQ:$AQ,$C122,BV_Data_An_Cour!$AR:$AR,$L$2)</f>
        <v>0</v>
      </c>
      <c r="M122" s="252"/>
      <c r="N122" s="275">
        <f t="shared" si="45"/>
        <v>0</v>
      </c>
      <c r="O122" s="252"/>
      <c r="P122" s="290" t="e">
        <f t="shared" si="48"/>
        <v>#DIV/0!</v>
      </c>
      <c r="Q122" s="255">
        <f>SUMIFS(BV_Data_An_Prec!$AN:$AN,BV_Data_An_Prec!$AP:$AP,$B122,BV_Data_An_Prec!$AQ:$AQ,$C122,BV_Data_An_Prec!$AR:$AR,$L$2)</f>
        <v>0</v>
      </c>
      <c r="R122" s="252"/>
      <c r="S122" s="275">
        <f t="shared" si="46"/>
        <v>0</v>
      </c>
      <c r="T122" s="41"/>
      <c r="U122" s="41"/>
      <c r="V122" s="41"/>
      <c r="W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6"/>
        <v>Véhicules usagésTOTAL VARIABLES</v>
      </c>
      <c r="B123" s="41" t="s">
        <v>148</v>
      </c>
      <c r="C123" s="303" t="s">
        <v>114</v>
      </c>
      <c r="D123" s="304" t="s">
        <v>115</v>
      </c>
      <c r="E123" s="305" t="e">
        <f>F123/F$109</f>
        <v>#DIV/0!</v>
      </c>
      <c r="F123" s="306">
        <f>SUM(F113:F122)</f>
        <v>0</v>
      </c>
      <c r="G123" s="307"/>
      <c r="H123" s="305"/>
      <c r="I123" s="306"/>
      <c r="J123" s="307" t="s">
        <v>115</v>
      </c>
      <c r="K123" s="305">
        <f>L123/L$109</f>
        <v>7.5616488674349461E-2</v>
      </c>
      <c r="L123" s="306">
        <f>SUM(L113:L122)</f>
        <v>66632.260000000009</v>
      </c>
      <c r="M123" s="309"/>
      <c r="N123" s="306">
        <f t="shared" si="45"/>
        <v>66632.260000000009</v>
      </c>
      <c r="O123" s="307" t="s">
        <v>115</v>
      </c>
      <c r="P123" s="305" t="e">
        <f>Q123/Q$109</f>
        <v>#DIV/0!</v>
      </c>
      <c r="Q123" s="306">
        <f>SUM(Q113:Q122)</f>
        <v>0</v>
      </c>
      <c r="R123" s="309"/>
      <c r="S123" s="306">
        <f t="shared" si="46"/>
        <v>66632.260000000009</v>
      </c>
      <c r="T123" s="41"/>
      <c r="U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6"/>
        <v>Véhicules usagésSalaires cadres</v>
      </c>
      <c r="B124" s="41" t="s">
        <v>148</v>
      </c>
      <c r="C124" s="310" t="s">
        <v>116</v>
      </c>
      <c r="D124" s="41"/>
      <c r="E124" s="41"/>
      <c r="F124" s="253" cm="1">
        <f t="array" ref="F124">+SUMPRODUCT(('Budget original'!$A$8:$A$501=$A124)*('Budget original'!$C$3:$AO$3=F$2),'Budget original'!$C$8:$AO$501)</f>
        <v>0</v>
      </c>
      <c r="G124" s="252"/>
      <c r="H124" s="41"/>
      <c r="I124" s="253"/>
      <c r="J124" s="252"/>
      <c r="K124" s="41"/>
      <c r="L124" s="255">
        <f>SUMIFS(BV_Data_An_Cour!$AN:$AN,BV_Data_An_Cour!$AP:$AP,$B124,BV_Data_An_Cour!$AQ:$AQ,$C124,BV_Data_An_Cour!$AR:$AR,$L$2)</f>
        <v>94484.479999999996</v>
      </c>
      <c r="M124" s="252"/>
      <c r="N124" s="275">
        <f t="shared" si="45"/>
        <v>94484.479999999996</v>
      </c>
      <c r="O124" s="252"/>
      <c r="P124" s="41"/>
      <c r="Q124" s="255">
        <f>SUMIFS(BV_Data_An_Prec!$AN:$AN,BV_Data_An_Prec!$AP:$AP,$B124,BV_Data_An_Prec!$AQ:$AQ,$C124,BV_Data_An_Prec!$AR:$AR,$L$2)</f>
        <v>0</v>
      </c>
      <c r="R124" s="252"/>
      <c r="S124" s="275"/>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6"/>
        <v>Véhicules usagésSalaires commis</v>
      </c>
      <c r="B125" s="41" t="s">
        <v>148</v>
      </c>
      <c r="C125" s="311" t="s">
        <v>117</v>
      </c>
      <c r="D125" s="296"/>
      <c r="E125" s="41"/>
      <c r="F125" s="247" cm="1">
        <f t="array" ref="F125">+SUMPRODUCT(('Budget original'!$A$8:$A$501=$A125)*('Budget original'!$C$3:$AO$3=F$2),'Budget original'!$C$8:$AO$501)</f>
        <v>0</v>
      </c>
      <c r="G125" s="297"/>
      <c r="H125" s="41"/>
      <c r="I125" s="247"/>
      <c r="J125" s="252"/>
      <c r="K125" s="41"/>
      <c r="L125" s="247">
        <f>SUMIFS(BV_Data_An_Cour!$AN:$AN,BV_Data_An_Cour!$AP:$AP,$B125,BV_Data_An_Cour!$AQ:$AQ,$C125,BV_Data_An_Cour!$AR:$AR,$L$2)</f>
        <v>0</v>
      </c>
      <c r="M125" s="252"/>
      <c r="N125" s="275">
        <f t="shared" si="45"/>
        <v>0</v>
      </c>
      <c r="O125" s="252"/>
      <c r="P125" s="41"/>
      <c r="Q125" s="247">
        <f>SUMIFS(BV_Data_An_Prec!$AN:$AN,BV_Data_An_Prec!$AP:$AP,$B125,BV_Data_An_Prec!$AQ:$AQ,$C125,BV_Data_An_Prec!$AR:$AR,$L$2)</f>
        <v>0</v>
      </c>
      <c r="R125" s="252"/>
      <c r="S125" s="275">
        <f t="shared" ref="S125:S154" si="49">L125-Q125</f>
        <v>0</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6"/>
        <v>Véhicules usagésSalaires autres</v>
      </c>
      <c r="B126" s="41" t="s">
        <v>148</v>
      </c>
      <c r="C126" s="310" t="s">
        <v>118</v>
      </c>
      <c r="D126" s="312"/>
      <c r="E126" s="313"/>
      <c r="F126" s="253" cm="1">
        <f t="array" ref="F126">+SUMPRODUCT(('Budget original'!$A$8:$A$501=$A126)*('Budget original'!$C$3:$AO$3=F$2),'Budget original'!$C$8:$AO$501)</f>
        <v>0</v>
      </c>
      <c r="G126" s="314"/>
      <c r="H126" s="313"/>
      <c r="I126" s="253"/>
      <c r="J126" s="240"/>
      <c r="K126" s="313"/>
      <c r="L126" s="255">
        <f>SUMIFS(BV_Data_An_Cour!$AN:$AN,BV_Data_An_Cour!$AP:$AP,$B126,BV_Data_An_Cour!$AQ:$AQ,$C126,BV_Data_An_Cour!$AR:$AR,$L$2)</f>
        <v>59313.9</v>
      </c>
      <c r="M126" s="240"/>
      <c r="N126" s="315">
        <f t="shared" si="45"/>
        <v>59313.9</v>
      </c>
      <c r="O126" s="240"/>
      <c r="P126" s="313"/>
      <c r="Q126" s="255">
        <f>SUMIFS(BV_Data_An_Prec!$AN:$AN,BV_Data_An_Prec!$AP:$AP,$B126,BV_Data_An_Prec!$AQ:$AQ,$C126,BV_Data_An_Prec!$AR:$AR,$L$2)</f>
        <v>0</v>
      </c>
      <c r="R126" s="240"/>
      <c r="S126" s="315">
        <f t="shared" si="49"/>
        <v>59313.9</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customHeight="1">
      <c r="A127" s="5" t="str">
        <f t="shared" si="26"/>
        <v>Véhicules usagésSalaires spécialistes</v>
      </c>
      <c r="B127" s="41" t="s">
        <v>148</v>
      </c>
      <c r="C127" s="310" t="s">
        <v>119</v>
      </c>
      <c r="D127" s="296"/>
      <c r="E127" s="41"/>
      <c r="F127" s="253" cm="1">
        <f t="array" ref="F127">+SUMPRODUCT(('Budget original'!$A$8:$A$501=$A127)*('Budget original'!$C$3:$AO$3=F$2),'Budget original'!$C$8:$AO$501)</f>
        <v>0</v>
      </c>
      <c r="G127" s="297"/>
      <c r="H127" s="41"/>
      <c r="I127" s="253"/>
      <c r="J127" s="252"/>
      <c r="K127" s="41"/>
      <c r="L127" s="255">
        <f>SUMIFS(BV_Data_An_Cour!$AN:$AN,BV_Data_An_Cour!$AP:$AP,$B127,BV_Data_An_Cour!$AQ:$AQ,$C127,BV_Data_An_Cour!$AR:$AR,$L$2)</f>
        <v>0</v>
      </c>
      <c r="M127" s="252"/>
      <c r="N127" s="275">
        <f t="shared" si="45"/>
        <v>0</v>
      </c>
      <c r="O127" s="252"/>
      <c r="P127" s="41"/>
      <c r="Q127" s="255">
        <f>SUMIFS(BV_Data_An_Prec!$AN:$AN,BV_Data_An_Prec!$AP:$AP,$B127,BV_Data_An_Prec!$AQ:$AQ,$C127,BV_Data_An_Prec!$AR:$AR,$L$2)</f>
        <v>0</v>
      </c>
      <c r="R127" s="252"/>
      <c r="S127" s="275">
        <f t="shared" si="49"/>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6"/>
        <v>Véhicules usagés[...]</v>
      </c>
      <c r="B128" s="41" t="s">
        <v>148</v>
      </c>
      <c r="C128" s="310" t="s">
        <v>55</v>
      </c>
      <c r="D128" s="296"/>
      <c r="E128" s="41"/>
      <c r="F128" s="253" cm="1">
        <f t="array" ref="F128">+SUMPRODUCT(('Budget original'!$A$8:$A$501=$A128)*('Budget original'!$C$3:$AO$3=F$2),'Budget original'!$C$8:$AO$501)</f>
        <v>0</v>
      </c>
      <c r="G128" s="297"/>
      <c r="H128" s="41"/>
      <c r="I128" s="253"/>
      <c r="J128" s="252"/>
      <c r="K128" s="41"/>
      <c r="L128" s="255">
        <f>SUMIFS(BV_Data_An_Cour!$AN:$AN,BV_Data_An_Cour!$AP:$AP,$B128,BV_Data_An_Cour!$AQ:$AQ,$C128,BV_Data_An_Cour!$AR:$AR,$L$2)</f>
        <v>0</v>
      </c>
      <c r="M128" s="252"/>
      <c r="N128" s="275">
        <f t="shared" si="45"/>
        <v>0</v>
      </c>
      <c r="O128" s="252"/>
      <c r="P128" s="41"/>
      <c r="Q128" s="255">
        <f>SUMIFS(BV_Data_An_Prec!$AN:$AN,BV_Data_An_Prec!$AP:$AP,$B128,BV_Data_An_Prec!$AQ:$AQ,$C128,BV_Data_An_Prec!$AR:$AR,$L$2)</f>
        <v>0</v>
      </c>
      <c r="R128" s="252"/>
      <c r="S128" s="275">
        <f t="shared" si="49"/>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6"/>
        <v>Véhicules usagés[...]</v>
      </c>
      <c r="B129" s="41" t="s">
        <v>148</v>
      </c>
      <c r="C129" s="310" t="s">
        <v>55</v>
      </c>
      <c r="D129" s="296"/>
      <c r="E129" s="41"/>
      <c r="F129" s="253" cm="1">
        <f t="array" ref="F129">+SUMPRODUCT(('Budget original'!$A$8:$A$501=$A129)*('Budget original'!$C$3:$AO$3=F$2),'Budget original'!$C$8:$AO$501)</f>
        <v>0</v>
      </c>
      <c r="G129" s="297"/>
      <c r="H129" s="41"/>
      <c r="I129" s="253"/>
      <c r="J129" s="252"/>
      <c r="K129" s="41"/>
      <c r="L129" s="255">
        <f>SUMIFS(BV_Data_An_Cour!$AN:$AN,BV_Data_An_Cour!$AP:$AP,$B129,BV_Data_An_Cour!$AQ:$AQ,$C129,BV_Data_An_Cour!$AR:$AR,$L$2)</f>
        <v>0</v>
      </c>
      <c r="M129" s="252"/>
      <c r="N129" s="275">
        <f t="shared" si="45"/>
        <v>0</v>
      </c>
      <c r="O129" s="252"/>
      <c r="P129" s="41"/>
      <c r="Q129" s="255">
        <f>SUMIFS(BV_Data_An_Prec!$AN:$AN,BV_Data_An_Prec!$AP:$AP,$B129,BV_Data_An_Prec!$AQ:$AQ,$C129,BV_Data_An_Prec!$AR:$AR,$L$2)</f>
        <v>0</v>
      </c>
      <c r="R129" s="252"/>
      <c r="S129" s="275">
        <f t="shared" si="49"/>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hidden="1" customHeight="1">
      <c r="A130" s="5" t="str">
        <f t="shared" si="26"/>
        <v>Véhicules usagés[...]</v>
      </c>
      <c r="B130" s="41" t="s">
        <v>148</v>
      </c>
      <c r="C130" s="310" t="s">
        <v>55</v>
      </c>
      <c r="D130" s="296"/>
      <c r="E130" s="41"/>
      <c r="F130" s="253" cm="1">
        <f t="array" ref="F130">+SUMPRODUCT(('Budget original'!$A$8:$A$501=$A130)*('Budget original'!$C$3:$AO$3=F$2),'Budget original'!$C$8:$AO$501)</f>
        <v>0</v>
      </c>
      <c r="G130" s="297"/>
      <c r="H130" s="41"/>
      <c r="I130" s="253"/>
      <c r="J130" s="252"/>
      <c r="K130" s="41"/>
      <c r="L130" s="255">
        <f>SUMIFS(BV_Data_An_Cour!$AN:$AN,BV_Data_An_Cour!$AP:$AP,$B130,BV_Data_An_Cour!$AQ:$AQ,$C130,BV_Data_An_Cour!$AR:$AR,$L$2)</f>
        <v>0</v>
      </c>
      <c r="M130" s="252"/>
      <c r="N130" s="275">
        <f t="shared" si="45"/>
        <v>0</v>
      </c>
      <c r="O130" s="252"/>
      <c r="P130" s="41"/>
      <c r="Q130" s="255">
        <f>SUMIFS(BV_Data_An_Prec!$AN:$AN,BV_Data_An_Prec!$AP:$AP,$B130,BV_Data_An_Prec!$AQ:$AQ,$C130,BV_Data_An_Prec!$AR:$AR,$L$2)</f>
        <v>0</v>
      </c>
      <c r="R130" s="252"/>
      <c r="S130" s="275">
        <f t="shared" si="49"/>
        <v>0</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6"/>
        <v>Véhicules usagésSalaires en absences</v>
      </c>
      <c r="B131" s="41" t="s">
        <v>148</v>
      </c>
      <c r="C131" s="311" t="s">
        <v>120</v>
      </c>
      <c r="D131" s="296"/>
      <c r="E131" s="41"/>
      <c r="F131" s="253" cm="1">
        <f t="array" ref="F131">+SUMPRODUCT(('Budget original'!$A$8:$A$501=$A131)*('Budget original'!$C$3:$AO$3=F$2),'Budget original'!$C$8:$AO$501)</f>
        <v>0</v>
      </c>
      <c r="G131" s="297"/>
      <c r="H131" s="41"/>
      <c r="I131" s="253"/>
      <c r="J131" s="252"/>
      <c r="K131" s="41"/>
      <c r="L131" s="255">
        <f>SUMIFS(BV_Data_An_Cour!$AN:$AN,BV_Data_An_Cour!$AP:$AP,$B131,BV_Data_An_Cour!$AQ:$AQ,$C131,BV_Data_An_Cour!$AR:$AR,$L$2)</f>
        <v>15674.92</v>
      </c>
      <c r="M131" s="252"/>
      <c r="N131" s="275">
        <f t="shared" si="45"/>
        <v>15674.92</v>
      </c>
      <c r="O131" s="252"/>
      <c r="P131" s="41"/>
      <c r="Q131" s="255">
        <f>SUMIFS(BV_Data_An_Prec!$AN:$AN,BV_Data_An_Prec!$AP:$AP,$B131,BV_Data_An_Prec!$AQ:$AQ,$C131,BV_Data_An_Prec!$AR:$AR,$L$2)</f>
        <v>0</v>
      </c>
      <c r="R131" s="252"/>
      <c r="S131" s="275">
        <f t="shared" si="49"/>
        <v>15674.92</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6"/>
        <v>Véhicules usagésDéduction à la source</v>
      </c>
      <c r="B132" s="41" t="s">
        <v>148</v>
      </c>
      <c r="C132" s="310" t="s">
        <v>121</v>
      </c>
      <c r="D132" s="312"/>
      <c r="E132" s="313"/>
      <c r="F132" s="270" cm="1">
        <f t="array" ref="F132">+SUMPRODUCT(('Budget original'!$A$8:$A$501=$A132)*('Budget original'!$C$3:$AO$3=F$2),'Budget original'!$C$8:$AO$501)</f>
        <v>0</v>
      </c>
      <c r="G132" s="314"/>
      <c r="H132" s="313"/>
      <c r="I132" s="270"/>
      <c r="J132" s="240"/>
      <c r="K132" s="313"/>
      <c r="L132" s="271">
        <f>SUMIFS(BV_Data_An_Cour!$AN:$AN,BV_Data_An_Cour!$AP:$AP,$B132,BV_Data_An_Cour!$AQ:$AQ,$C132,BV_Data_An_Cour!$AR:$AR,$L$2)</f>
        <v>26782.31</v>
      </c>
      <c r="M132" s="240"/>
      <c r="N132" s="315">
        <f t="shared" si="45"/>
        <v>26782.31</v>
      </c>
      <c r="O132" s="240"/>
      <c r="P132" s="313"/>
      <c r="Q132" s="271">
        <f>SUMIFS(BV_Data_An_Prec!$AN:$AN,BV_Data_An_Prec!$AP:$AP,$B132,BV_Data_An_Prec!$AQ:$AQ,$C132,BV_Data_An_Prec!$AR:$AR,$L$2)</f>
        <v>0</v>
      </c>
      <c r="R132" s="240"/>
      <c r="S132" s="315">
        <f t="shared" si="49"/>
        <v>26782.31</v>
      </c>
      <c r="T132" s="41"/>
      <c r="U132" s="253"/>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6"/>
        <v>Véhicules usagésBénéfices marginaux</v>
      </c>
      <c r="B133" s="41" t="s">
        <v>148</v>
      </c>
      <c r="C133" s="310" t="s">
        <v>122</v>
      </c>
      <c r="D133" s="296"/>
      <c r="E133" s="41"/>
      <c r="F133" s="253" cm="1">
        <f t="array" ref="F133">+SUMPRODUCT(('Budget original'!$A$8:$A$501=$A133)*('Budget original'!$C$3:$AO$3=F$2),'Budget original'!$C$8:$AO$501)</f>
        <v>0</v>
      </c>
      <c r="G133" s="297"/>
      <c r="H133" s="41"/>
      <c r="I133" s="253"/>
      <c r="J133" s="252"/>
      <c r="K133" s="41"/>
      <c r="L133" s="255">
        <f>SUMIFS(BV_Data_An_Cour!$AN:$AN,BV_Data_An_Cour!$AP:$AP,$B133,BV_Data_An_Cour!$AQ:$AQ,$C133,BV_Data_An_Cour!$AR:$AR,$L$2)</f>
        <v>1889.2</v>
      </c>
      <c r="M133" s="252"/>
      <c r="N133" s="275">
        <f t="shared" si="45"/>
        <v>1889.2</v>
      </c>
      <c r="O133" s="252"/>
      <c r="P133" s="41"/>
      <c r="Q133" s="255">
        <f>SUMIFS(BV_Data_An_Prec!$AN:$AN,BV_Data_An_Prec!$AP:$AP,$B133,BV_Data_An_Prec!$AQ:$AQ,$C133,BV_Data_An_Prec!$AR:$AR,$L$2)</f>
        <v>0</v>
      </c>
      <c r="R133" s="252"/>
      <c r="S133" s="275">
        <f t="shared" si="49"/>
        <v>1889.2</v>
      </c>
      <c r="T133" s="41"/>
      <c r="U133" s="253"/>
      <c r="V133" s="41"/>
      <c r="W133" s="41"/>
      <c r="X133" s="41"/>
      <c r="Y133" s="41"/>
      <c r="Z133" s="41"/>
      <c r="AA133" s="41"/>
      <c r="AB133" s="41"/>
      <c r="AC133" s="41"/>
      <c r="AD133" s="41"/>
      <c r="AE133" s="41"/>
      <c r="AF133" s="41"/>
      <c r="AG133" s="41"/>
      <c r="AH133" s="41"/>
      <c r="AI133" s="41"/>
      <c r="AJ133" s="41"/>
      <c r="AK133" s="41"/>
      <c r="AL133" s="41"/>
      <c r="AM133" s="41"/>
      <c r="AN133" s="41"/>
    </row>
    <row r="134" spans="1:40" ht="15.75" customHeight="1">
      <c r="A134" s="5" t="str">
        <f t="shared" si="26"/>
        <v>Véhicules usagésCsst</v>
      </c>
      <c r="B134" s="41" t="s">
        <v>148</v>
      </c>
      <c r="C134" s="310" t="s">
        <v>123</v>
      </c>
      <c r="D134" s="296"/>
      <c r="E134" s="41"/>
      <c r="F134" s="253" cm="1">
        <f t="array" ref="F134">+SUMPRODUCT(('Budget original'!$A$8:$A$501=$A134)*('Budget original'!$C$3:$AO$3=F$2),'Budget original'!$C$8:$AO$501)</f>
        <v>0</v>
      </c>
      <c r="G134" s="297"/>
      <c r="H134" s="41"/>
      <c r="I134" s="253"/>
      <c r="J134" s="252"/>
      <c r="K134" s="41"/>
      <c r="L134" s="255">
        <f>SUMIFS(BV_Data_An_Cour!$AN:$AN,BV_Data_An_Cour!$AP:$AP,$B134,BV_Data_An_Cour!$AQ:$AQ,$C134,BV_Data_An_Cour!$AR:$AR,$L$2)</f>
        <v>0</v>
      </c>
      <c r="M134" s="252"/>
      <c r="N134" s="275">
        <f t="shared" si="45"/>
        <v>0</v>
      </c>
      <c r="O134" s="252"/>
      <c r="P134" s="41"/>
      <c r="Q134" s="255">
        <f>SUMIFS(BV_Data_An_Prec!$AN:$AN,BV_Data_An_Prec!$AP:$AP,$B134,BV_Data_An_Prec!$AQ:$AQ,$C134,BV_Data_An_Prec!$AR:$AR,$L$2)</f>
        <v>0</v>
      </c>
      <c r="R134" s="252"/>
      <c r="S134" s="275">
        <f t="shared" si="49"/>
        <v>0</v>
      </c>
      <c r="T134" s="41"/>
      <c r="U134" s="253"/>
      <c r="V134" s="41"/>
      <c r="W134" s="41"/>
      <c r="X134" s="41"/>
      <c r="Y134" s="41"/>
      <c r="Z134" s="41"/>
      <c r="AA134" s="41"/>
      <c r="AB134" s="41"/>
      <c r="AC134" s="41"/>
      <c r="AD134" s="41"/>
      <c r="AE134" s="41"/>
      <c r="AF134" s="41"/>
      <c r="AG134" s="41"/>
      <c r="AH134" s="41"/>
      <c r="AI134" s="41"/>
      <c r="AJ134" s="41"/>
      <c r="AK134" s="41"/>
      <c r="AL134" s="41"/>
      <c r="AM134" s="41"/>
      <c r="AN134" s="41"/>
    </row>
    <row r="135" spans="1:40" ht="15.75" hidden="1" customHeight="1">
      <c r="A135" s="5" t="str">
        <f t="shared" si="26"/>
        <v>Véhicules usagés[...]</v>
      </c>
      <c r="B135" s="41" t="s">
        <v>148</v>
      </c>
      <c r="C135" s="252" t="s">
        <v>55</v>
      </c>
      <c r="D135" s="298"/>
      <c r="E135" s="316"/>
      <c r="F135" s="253" cm="1">
        <f t="array" ref="F135">+SUMPRODUCT(('Budget original'!$A$8:$A$501=$A135)*('Budget original'!$C$3:$AO$3=F$2),'Budget original'!$C$8:$AO$501)</f>
        <v>0</v>
      </c>
      <c r="G135" s="299"/>
      <c r="H135" s="316"/>
      <c r="I135" s="253"/>
      <c r="J135" s="245"/>
      <c r="K135" s="316"/>
      <c r="L135" s="255">
        <f>SUMIFS(BV_Data_An_Cour!$AN:$AN,BV_Data_An_Cour!$AP:$AP,$B135,BV_Data_An_Cour!$AQ:$AQ,$C135,BV_Data_An_Cour!$AR:$AR,$L$2)</f>
        <v>0</v>
      </c>
      <c r="M135" s="245"/>
      <c r="N135" s="295">
        <f t="shared" si="45"/>
        <v>0</v>
      </c>
      <c r="O135" s="245"/>
      <c r="P135" s="316"/>
      <c r="Q135" s="255">
        <f>SUMIFS(BV_Data_An_Prec!$AN:$AN,BV_Data_An_Prec!$AP:$AP,$B135,BV_Data_An_Prec!$AQ:$AQ,$C135,BV_Data_An_Prec!$AR:$AR,$L$2)</f>
        <v>0</v>
      </c>
      <c r="R135" s="245"/>
      <c r="S135" s="295">
        <f t="shared" si="49"/>
        <v>0</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6"/>
        <v>Véhicules usagésTOTAL PERSONNEL</v>
      </c>
      <c r="B136" s="41" t="s">
        <v>148</v>
      </c>
      <c r="C136" s="303" t="s">
        <v>124</v>
      </c>
      <c r="D136" s="304" t="s">
        <v>115</v>
      </c>
      <c r="E136" s="305" t="e">
        <f>F136/F$109</f>
        <v>#DIV/0!</v>
      </c>
      <c r="F136" s="306">
        <f>+SUM(F124:F135)</f>
        <v>0</v>
      </c>
      <c r="G136" s="307"/>
      <c r="H136" s="305"/>
      <c r="I136" s="306"/>
      <c r="J136" s="307" t="s">
        <v>115</v>
      </c>
      <c r="K136" s="305">
        <f>L136/L$109</f>
        <v>0.22486127262149183</v>
      </c>
      <c r="L136" s="306">
        <f>SUM(L124:L135)</f>
        <v>198144.81000000003</v>
      </c>
      <c r="M136" s="353"/>
      <c r="N136" s="318">
        <f t="shared" si="45"/>
        <v>198144.81000000003</v>
      </c>
      <c r="O136" s="307" t="s">
        <v>115</v>
      </c>
      <c r="P136" s="305" t="e">
        <f>Q136/Q$109</f>
        <v>#DIV/0!</v>
      </c>
      <c r="Q136" s="306">
        <f>SUM(Q124:Q135)</f>
        <v>0</v>
      </c>
      <c r="R136" s="353"/>
      <c r="S136" s="318">
        <f t="shared" si="49"/>
        <v>198144.81000000003</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6"/>
        <v>Véhicules usagésPublicité 2</v>
      </c>
      <c r="B137" s="41" t="s">
        <v>148</v>
      </c>
      <c r="C137" s="252" t="s">
        <v>125</v>
      </c>
      <c r="D137" s="296"/>
      <c r="E137" s="41"/>
      <c r="F137" s="253" cm="1">
        <f t="array" ref="F137">+SUMPRODUCT(('Budget original'!$A$8:$A$501=$A137)*('Budget original'!$C$3:$AO$3=F$2),'Budget original'!$C$8:$AO$501)</f>
        <v>0</v>
      </c>
      <c r="G137" s="297"/>
      <c r="H137" s="41"/>
      <c r="I137" s="253"/>
      <c r="J137" s="252"/>
      <c r="K137" s="41"/>
      <c r="L137" s="255">
        <f>SUMIFS(BV_Data_An_Cour!$AN:$AN,BV_Data_An_Cour!$AP:$AP,$B137,BV_Data_An_Cour!$AQ:$AQ,$C137,BV_Data_An_Cour!$AR:$AR,$L$2)</f>
        <v>0</v>
      </c>
      <c r="M137" s="252"/>
      <c r="N137" s="275">
        <f t="shared" si="45"/>
        <v>0</v>
      </c>
      <c r="O137" s="252"/>
      <c r="P137" s="41"/>
      <c r="Q137" s="255">
        <f>SUMIFS(BV_Data_An_Prec!$AN:$AN,BV_Data_An_Prec!$AP:$AP,$B137,BV_Data_An_Prec!$AQ:$AQ,$C137,BV_Data_An_Prec!$AR:$AR,$L$2)</f>
        <v>0</v>
      </c>
      <c r="R137" s="252"/>
      <c r="S137" s="275">
        <f t="shared" si="49"/>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6"/>
        <v>Véhicules usagésService gratuit 2</v>
      </c>
      <c r="B138" s="41" t="s">
        <v>148</v>
      </c>
      <c r="C138" s="252" t="s">
        <v>126</v>
      </c>
      <c r="D138" s="296"/>
      <c r="E138" s="41"/>
      <c r="F138" s="253" cm="1">
        <f t="array" ref="F138">+SUMPRODUCT(('Budget original'!$A$8:$A$501=$A138)*('Budget original'!$C$3:$AO$3=F$2),'Budget original'!$C$8:$AO$501)</f>
        <v>0</v>
      </c>
      <c r="G138" s="297"/>
      <c r="H138" s="41"/>
      <c r="I138" s="253"/>
      <c r="J138" s="252"/>
      <c r="K138" s="41"/>
      <c r="L138" s="255">
        <f>SUMIFS(BV_Data_An_Cour!$AN:$AN,BV_Data_An_Cour!$AP:$AP,$B138,BV_Data_An_Cour!$AQ:$AQ,$C138,BV_Data_An_Cour!$AR:$AR,$L$2)</f>
        <v>0</v>
      </c>
      <c r="M138" s="252"/>
      <c r="N138" s="275">
        <f t="shared" si="45"/>
        <v>0</v>
      </c>
      <c r="O138" s="252"/>
      <c r="P138" s="41"/>
      <c r="Q138" s="255">
        <f>SUMIFS(BV_Data_An_Prec!$AN:$AN,BV_Data_An_Prec!$AP:$AP,$B138,BV_Data_An_Prec!$AQ:$AQ,$C138,BV_Data_An_Prec!$AR:$AR,$L$2)</f>
        <v>0</v>
      </c>
      <c r="R138" s="252"/>
      <c r="S138" s="275">
        <f t="shared" si="49"/>
        <v>0</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6"/>
        <v>Véhicules usagésFrais véhicules de cie</v>
      </c>
      <c r="B139" s="41" t="s">
        <v>148</v>
      </c>
      <c r="C139" s="245" t="s">
        <v>127</v>
      </c>
      <c r="D139" s="298"/>
      <c r="E139" s="316"/>
      <c r="F139" s="247" cm="1">
        <f t="array" ref="F139">+SUMPRODUCT(('Budget original'!$A$8:$A$501=$A139)*('Budget original'!$C$3:$AO$3=F$2),'Budget original'!$C$8:$AO$501)</f>
        <v>0</v>
      </c>
      <c r="G139" s="299"/>
      <c r="H139" s="316"/>
      <c r="I139" s="247"/>
      <c r="J139" s="245"/>
      <c r="K139" s="316"/>
      <c r="L139" s="247">
        <f>SUMIFS(BV_Data_An_Cour!$AN:$AN,BV_Data_An_Cour!$AP:$AP,$B139,BV_Data_An_Cour!$AQ:$AQ,$C139,BV_Data_An_Cour!$AR:$AR,$L$2)</f>
        <v>0</v>
      </c>
      <c r="M139" s="245"/>
      <c r="N139" s="295">
        <f t="shared" si="45"/>
        <v>0</v>
      </c>
      <c r="O139" s="245"/>
      <c r="P139" s="316"/>
      <c r="Q139" s="247">
        <f>SUMIFS(BV_Data_An_Prec!$AN:$AN,BV_Data_An_Prec!$AP:$AP,$B139,BV_Data_An_Prec!$AQ:$AQ,$C139,BV_Data_An_Prec!$AR:$AR,$L$2)</f>
        <v>0</v>
      </c>
      <c r="R139" s="245"/>
      <c r="S139" s="295">
        <f t="shared" si="49"/>
        <v>0</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6"/>
        <v>Véhicules usagésInformatique</v>
      </c>
      <c r="B140" s="41" t="s">
        <v>148</v>
      </c>
      <c r="C140" s="252" t="s">
        <v>128</v>
      </c>
      <c r="D140" s="296"/>
      <c r="E140" s="41"/>
      <c r="F140" s="253" cm="1">
        <f t="array" ref="F140">+SUMPRODUCT(('Budget original'!$A$8:$A$501=$A140)*('Budget original'!$C$3:$AO$3=F$2),'Budget original'!$C$8:$AO$501)</f>
        <v>0</v>
      </c>
      <c r="G140" s="297"/>
      <c r="H140" s="41"/>
      <c r="I140" s="253"/>
      <c r="J140" s="252"/>
      <c r="K140" s="41"/>
      <c r="L140" s="255">
        <f>SUMIFS(BV_Data_An_Cour!$AN:$AN,BV_Data_An_Cour!$AP:$AP,$B140,BV_Data_An_Cour!$AQ:$AQ,$C140,BV_Data_An_Cour!$AR:$AR,$L$2)</f>
        <v>8102.78</v>
      </c>
      <c r="M140" s="252"/>
      <c r="N140" s="275">
        <f t="shared" si="45"/>
        <v>8102.78</v>
      </c>
      <c r="O140" s="252"/>
      <c r="P140" s="41"/>
      <c r="Q140" s="255">
        <f>SUMIFS(BV_Data_An_Prec!$AN:$AN,BV_Data_An_Prec!$AP:$AP,$B140,BV_Data_An_Prec!$AQ:$AQ,$C140,BV_Data_An_Prec!$AR:$AR,$L$2)</f>
        <v>0</v>
      </c>
      <c r="R140" s="252"/>
      <c r="S140" s="275">
        <f t="shared" si="49"/>
        <v>8102.78</v>
      </c>
      <c r="T140" s="41"/>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6"/>
        <v>Véhicules usagésFrais de déplacement</v>
      </c>
      <c r="B141" s="41" t="s">
        <v>148</v>
      </c>
      <c r="C141" s="252" t="s">
        <v>129</v>
      </c>
      <c r="D141" s="296"/>
      <c r="E141" s="41"/>
      <c r="F141" s="253" cm="1">
        <f t="array" ref="F141">+SUMPRODUCT(('Budget original'!$A$8:$A$501=$A141)*('Budget original'!$C$3:$AO$3=F$2),'Budget original'!$C$8:$AO$501)</f>
        <v>0</v>
      </c>
      <c r="G141" s="297"/>
      <c r="H141" s="41"/>
      <c r="I141" s="253"/>
      <c r="J141" s="252"/>
      <c r="K141" s="41"/>
      <c r="L141" s="255">
        <f>SUMIFS(BV_Data_An_Cour!$AN:$AN,BV_Data_An_Cour!$AP:$AP,$B141,BV_Data_An_Cour!$AQ:$AQ,$C141,BV_Data_An_Cour!$AR:$AR,$L$2)</f>
        <v>3331.06</v>
      </c>
      <c r="M141" s="252"/>
      <c r="N141" s="275">
        <f t="shared" si="45"/>
        <v>3331.06</v>
      </c>
      <c r="O141" s="252"/>
      <c r="P141" s="41"/>
      <c r="Q141" s="255">
        <f>SUMIFS(BV_Data_An_Prec!$AN:$AN,BV_Data_An_Prec!$AP:$AP,$B141,BV_Data_An_Prec!$AQ:$AQ,$C141,BV_Data_An_Prec!$AR:$AR,$L$2)</f>
        <v>0</v>
      </c>
      <c r="R141" s="252"/>
      <c r="S141" s="275">
        <f t="shared" si="49"/>
        <v>3331.06</v>
      </c>
      <c r="T141" s="35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6"/>
        <v>Véhicules usagésServices extérieurs</v>
      </c>
      <c r="B142" s="41" t="s">
        <v>148</v>
      </c>
      <c r="C142" s="245" t="s">
        <v>130</v>
      </c>
      <c r="D142" s="298"/>
      <c r="E142" s="316"/>
      <c r="F142" s="247" cm="1">
        <f t="array" ref="F142">+SUMPRODUCT(('Budget original'!$A$8:$A$501=$A142)*('Budget original'!$C$3:$AO$3=F$2),'Budget original'!$C$8:$AO$501)</f>
        <v>0</v>
      </c>
      <c r="G142" s="299"/>
      <c r="H142" s="316"/>
      <c r="I142" s="247"/>
      <c r="J142" s="245"/>
      <c r="K142" s="316"/>
      <c r="L142" s="247">
        <f>SUMIFS(BV_Data_An_Cour!$AN:$AN,BV_Data_An_Cour!$AP:$AP,$B142,BV_Data_An_Cour!$AQ:$AQ,$C142,BV_Data_An_Cour!$AR:$AR,$L$2)</f>
        <v>1683.3899999999999</v>
      </c>
      <c r="M142" s="245"/>
      <c r="N142" s="295">
        <f t="shared" si="45"/>
        <v>1683.3899999999999</v>
      </c>
      <c r="O142" s="245"/>
      <c r="P142" s="316"/>
      <c r="Q142" s="247">
        <f>SUMIFS(BV_Data_An_Prec!$AN:$AN,BV_Data_An_Prec!$AP:$AP,$B142,BV_Data_An_Prec!$AQ:$AQ,$C142,BV_Data_An_Prec!$AR:$AR,$L$2)</f>
        <v>0</v>
      </c>
      <c r="R142" s="245"/>
      <c r="S142" s="295">
        <f t="shared" si="49"/>
        <v>1683.3899999999999</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6"/>
        <v>Véhicules usagésFournitures autres</v>
      </c>
      <c r="B143" s="41" t="s">
        <v>148</v>
      </c>
      <c r="C143" s="252" t="s">
        <v>131</v>
      </c>
      <c r="D143" s="296"/>
      <c r="E143" s="41"/>
      <c r="F143" s="253" cm="1">
        <f t="array" ref="F143">+SUMPRODUCT(('Budget original'!$A$8:$A$501=$A143)*('Budget original'!$C$3:$AO$3=F$2),'Budget original'!$C$8:$AO$501)</f>
        <v>0</v>
      </c>
      <c r="G143" s="297"/>
      <c r="H143" s="41"/>
      <c r="I143" s="253"/>
      <c r="J143" s="252"/>
      <c r="K143" s="41"/>
      <c r="L143" s="255">
        <f>SUMIFS(BV_Data_An_Cour!$AN:$AN,BV_Data_An_Cour!$AP:$AP,$B143,BV_Data_An_Cour!$AQ:$AQ,$C143,BV_Data_An_Cour!$AR:$AR,$L$2)</f>
        <v>0</v>
      </c>
      <c r="M143" s="252"/>
      <c r="N143" s="275">
        <f t="shared" si="45"/>
        <v>0</v>
      </c>
      <c r="O143" s="252"/>
      <c r="P143" s="41"/>
      <c r="Q143" s="255">
        <f>SUMIFS(BV_Data_An_Prec!$AN:$AN,BV_Data_An_Prec!$AP:$AP,$B143,BV_Data_An_Prec!$AQ:$AQ,$C143,BV_Data_An_Prec!$AR:$AR,$L$2)</f>
        <v>0</v>
      </c>
      <c r="R143" s="252"/>
      <c r="S143" s="275">
        <f t="shared" si="49"/>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6"/>
        <v>Véhicules usagésUniformes</v>
      </c>
      <c r="B144" s="41" t="s">
        <v>148</v>
      </c>
      <c r="C144" s="252" t="s">
        <v>132</v>
      </c>
      <c r="D144" s="296"/>
      <c r="E144" s="41"/>
      <c r="F144" s="253" cm="1">
        <f t="array" ref="F144">+SUMPRODUCT(('Budget original'!$A$8:$A$501=$A144)*('Budget original'!$C$3:$AO$3=F$2),'Budget original'!$C$8:$AO$501)</f>
        <v>0</v>
      </c>
      <c r="G144" s="297"/>
      <c r="H144" s="41"/>
      <c r="I144" s="253"/>
      <c r="J144" s="252"/>
      <c r="K144" s="41"/>
      <c r="L144" s="255">
        <f>SUMIFS(BV_Data_An_Cour!$AN:$AN,BV_Data_An_Cour!$AP:$AP,$B144,BV_Data_An_Cour!$AQ:$AQ,$C144,BV_Data_An_Cour!$AR:$AR,$L$2)</f>
        <v>0</v>
      </c>
      <c r="M144" s="252"/>
      <c r="N144" s="275">
        <f t="shared" si="45"/>
        <v>0</v>
      </c>
      <c r="O144" s="252"/>
      <c r="P144" s="41"/>
      <c r="Q144" s="255">
        <f>SUMIFS(BV_Data_An_Prec!$AN:$AN,BV_Data_An_Prec!$AP:$AP,$B144,BV_Data_An_Prec!$AQ:$AQ,$C144,BV_Data_An_Prec!$AR:$AR,$L$2)</f>
        <v>0</v>
      </c>
      <c r="R144" s="252"/>
      <c r="S144" s="275">
        <f t="shared" si="49"/>
        <v>0</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6"/>
        <v>Véhicules usagésPapeterie</v>
      </c>
      <c r="B145" s="41" t="s">
        <v>148</v>
      </c>
      <c r="C145" s="252" t="s">
        <v>133</v>
      </c>
      <c r="D145" s="296"/>
      <c r="E145" s="41"/>
      <c r="F145" s="253" cm="1">
        <f t="array" ref="F145">+SUMPRODUCT(('Budget original'!$A$8:$A$501=$A145)*('Budget original'!$C$3:$AO$3=F$2),'Budget original'!$C$8:$AO$501)</f>
        <v>0</v>
      </c>
      <c r="G145" s="297"/>
      <c r="H145" s="41"/>
      <c r="I145" s="253"/>
      <c r="J145" s="252"/>
      <c r="K145" s="41"/>
      <c r="L145" s="255">
        <f>SUMIFS(BV_Data_An_Cour!$AN:$AN,BV_Data_An_Cour!$AP:$AP,$B145,BV_Data_An_Cour!$AQ:$AQ,$C145,BV_Data_An_Cour!$AR:$AR,$L$2)</f>
        <v>2970.89</v>
      </c>
      <c r="M145" s="252"/>
      <c r="N145" s="275">
        <f t="shared" si="45"/>
        <v>2970.89</v>
      </c>
      <c r="O145" s="252"/>
      <c r="P145" s="41"/>
      <c r="Q145" s="255">
        <f>SUMIFS(BV_Data_An_Prec!$AN:$AN,BV_Data_An_Prec!$AP:$AP,$B145,BV_Data_An_Prec!$AQ:$AQ,$C145,BV_Data_An_Prec!$AR:$AR,$L$2)</f>
        <v>0</v>
      </c>
      <c r="R145" s="252"/>
      <c r="S145" s="275">
        <f t="shared" si="49"/>
        <v>2970.89</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6"/>
        <v>Véhicules usagésTéléphone</v>
      </c>
      <c r="B146" s="41" t="s">
        <v>148</v>
      </c>
      <c r="C146" s="252" t="s">
        <v>134</v>
      </c>
      <c r="D146" s="296"/>
      <c r="E146" s="41"/>
      <c r="F146" s="253" cm="1">
        <f t="array" ref="F146">+SUMPRODUCT(('Budget original'!$A$8:$A$501=$A146)*('Budget original'!$C$3:$AO$3=F$2),'Budget original'!$C$8:$AO$501)</f>
        <v>0</v>
      </c>
      <c r="G146" s="297"/>
      <c r="H146" s="41"/>
      <c r="I146" s="253"/>
      <c r="J146" s="252"/>
      <c r="K146" s="41"/>
      <c r="L146" s="255">
        <f>SUMIFS(BV_Data_An_Cour!$AN:$AN,BV_Data_An_Cour!$AP:$AP,$B146,BV_Data_An_Cour!$AQ:$AQ,$C146,BV_Data_An_Cour!$AR:$AR,$L$2)</f>
        <v>449.12</v>
      </c>
      <c r="M146" s="252"/>
      <c r="N146" s="275">
        <f t="shared" si="45"/>
        <v>449.12</v>
      </c>
      <c r="O146" s="252"/>
      <c r="P146" s="41"/>
      <c r="Q146" s="255">
        <f>SUMIFS(BV_Data_An_Prec!$AN:$AN,BV_Data_An_Prec!$AP:$AP,$B146,BV_Data_An_Prec!$AQ:$AQ,$C146,BV_Data_An_Prec!$AR:$AR,$L$2)</f>
        <v>0</v>
      </c>
      <c r="R146" s="252"/>
      <c r="S146" s="275">
        <f t="shared" si="49"/>
        <v>449.12</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6"/>
        <v>Véhicules usagésFrais postaux</v>
      </c>
      <c r="B147" s="41" t="s">
        <v>148</v>
      </c>
      <c r="C147" s="252" t="s">
        <v>135</v>
      </c>
      <c r="D147" s="296"/>
      <c r="E147" s="41"/>
      <c r="F147" s="253" cm="1">
        <f t="array" ref="F147">+SUMPRODUCT(('Budget original'!$A$8:$A$501=$A147)*('Budget original'!$C$3:$AO$3=F$2),'Budget original'!$C$8:$AO$501)</f>
        <v>0</v>
      </c>
      <c r="G147" s="297"/>
      <c r="H147" s="41"/>
      <c r="I147" s="253"/>
      <c r="J147" s="252"/>
      <c r="K147" s="41"/>
      <c r="L147" s="255">
        <f>SUMIFS(BV_Data_An_Cour!$AN:$AN,BV_Data_An_Cour!$AP:$AP,$B147,BV_Data_An_Cour!$AQ:$AQ,$C147,BV_Data_An_Cour!$AR:$AR,$L$2)</f>
        <v>0</v>
      </c>
      <c r="M147" s="252"/>
      <c r="N147" s="275">
        <f t="shared" si="45"/>
        <v>0</v>
      </c>
      <c r="O147" s="252"/>
      <c r="P147" s="41"/>
      <c r="Q147" s="255">
        <f>SUMIFS(BV_Data_An_Prec!$AN:$AN,BV_Data_An_Prec!$AP:$AP,$B147,BV_Data_An_Prec!$AQ:$AQ,$C147,BV_Data_An_Prec!$AR:$AR,$L$2)</f>
        <v>0</v>
      </c>
      <c r="R147" s="252"/>
      <c r="S147" s="275">
        <f t="shared" si="49"/>
        <v>0</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6"/>
        <v>Véhicules usagésDivers</v>
      </c>
      <c r="B148" s="41" t="s">
        <v>148</v>
      </c>
      <c r="C148" s="252" t="s">
        <v>136</v>
      </c>
      <c r="D148" s="296"/>
      <c r="E148" s="41"/>
      <c r="F148" s="253" cm="1">
        <f t="array" ref="F148">+SUMPRODUCT(('Budget original'!$A$8:$A$501=$A148)*('Budget original'!$C$3:$AO$3=F$2),'Budget original'!$C$8:$AO$501)</f>
        <v>0</v>
      </c>
      <c r="G148" s="297"/>
      <c r="H148" s="41"/>
      <c r="I148" s="253"/>
      <c r="J148" s="252"/>
      <c r="K148" s="41"/>
      <c r="L148" s="255">
        <f>SUMIFS(BV_Data_An_Cour!$AN:$AN,BV_Data_An_Cour!$AP:$AP,$B148,BV_Data_An_Cour!$AQ:$AQ,$C148,BV_Data_An_Cour!$AR:$AR,$L$2)</f>
        <v>62.5</v>
      </c>
      <c r="M148" s="252"/>
      <c r="N148" s="275">
        <f t="shared" si="45"/>
        <v>62.5</v>
      </c>
      <c r="O148" s="252"/>
      <c r="P148" s="41"/>
      <c r="Q148" s="255">
        <f>SUMIFS(BV_Data_An_Prec!$AN:$AN,BV_Data_An_Prec!$AP:$AP,$B148,BV_Data_An_Prec!$AQ:$AQ,$C148,BV_Data_An_Prec!$AR:$AR,$L$2)</f>
        <v>0</v>
      </c>
      <c r="R148" s="252"/>
      <c r="S148" s="275">
        <f t="shared" si="49"/>
        <v>62.5</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6"/>
        <v>Véhicules usagésFormation</v>
      </c>
      <c r="B149" s="41" t="s">
        <v>148</v>
      </c>
      <c r="C149" s="252" t="s">
        <v>137</v>
      </c>
      <c r="D149" s="296"/>
      <c r="E149" s="41"/>
      <c r="F149" s="253" cm="1">
        <f t="array" ref="F149">+SUMPRODUCT(('Budget original'!$A$8:$A$501=$A149)*('Budget original'!$C$3:$AO$3=F$2),'Budget original'!$C$8:$AO$501)</f>
        <v>0</v>
      </c>
      <c r="G149" s="297"/>
      <c r="H149" s="41"/>
      <c r="I149" s="253"/>
      <c r="J149" s="252"/>
      <c r="K149" s="41"/>
      <c r="L149" s="255">
        <f>SUMIFS(BV_Data_An_Cour!$AN:$AN,BV_Data_An_Cour!$AP:$AP,$B149,BV_Data_An_Cour!$AQ:$AQ,$C149,BV_Data_An_Cour!$AR:$AR,$L$2)</f>
        <v>0</v>
      </c>
      <c r="M149" s="252"/>
      <c r="N149" s="275">
        <f t="shared" si="45"/>
        <v>0</v>
      </c>
      <c r="O149" s="252"/>
      <c r="P149" s="41"/>
      <c r="Q149" s="255">
        <f>SUMIFS(BV_Data_An_Prec!$AN:$AN,BV_Data_An_Prec!$AP:$AP,$B149,BV_Data_An_Prec!$AQ:$AQ,$C149,BV_Data_An_Prec!$AR:$AR,$L$2)</f>
        <v>0</v>
      </c>
      <c r="R149" s="252"/>
      <c r="S149" s="275">
        <f t="shared" si="49"/>
        <v>0</v>
      </c>
      <c r="T149" s="4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customHeight="1">
      <c r="A150" s="5" t="str">
        <f t="shared" si="26"/>
        <v>Véhicules usagésFrais bancaires</v>
      </c>
      <c r="B150" s="41" t="s">
        <v>148</v>
      </c>
      <c r="C150" s="252" t="s">
        <v>138</v>
      </c>
      <c r="D150" s="296"/>
      <c r="E150" s="41"/>
      <c r="F150" s="253" cm="1">
        <f t="array" ref="F150">+SUMPRODUCT(('Budget original'!$A$8:$A$501=$A150)*('Budget original'!$C$3:$AO$3=F$2),'Budget original'!$C$8:$AO$501)</f>
        <v>0</v>
      </c>
      <c r="G150" s="297"/>
      <c r="H150" s="41"/>
      <c r="I150" s="253"/>
      <c r="J150" s="252"/>
      <c r="K150" s="41"/>
      <c r="L150" s="769">
        <f>SUMIFS(BV_Data_An_Cour!$AN:$AN,BV_Data_An_Cour!$AP:$AP,$B150,BV_Data_An_Cour!$AQ:$AQ,$C150,BV_Data_An_Cour!$AR:$AR,L$2)</f>
        <v>0</v>
      </c>
      <c r="M150" s="801"/>
      <c r="N150" s="777">
        <f t="shared" si="45"/>
        <v>0</v>
      </c>
      <c r="O150" s="252"/>
      <c r="P150" s="41"/>
      <c r="Q150" s="769">
        <f>SUMIFS(BV_Data_An_Prec!$AN:$AN,BV_Data_An_Prec!$AP:$AP,$B150,BV_Data_An_Prec!$AQ:$AQ,$C150,BV_Data_An_Prec!$AR:$AR,Q$2)</f>
        <v>0</v>
      </c>
      <c r="R150" s="252"/>
      <c r="S150" s="275">
        <f t="shared" si="49"/>
        <v>0</v>
      </c>
      <c r="T150" s="290"/>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6"/>
        <v>Véhicules usagés[...]</v>
      </c>
      <c r="B151" s="41" t="s">
        <v>148</v>
      </c>
      <c r="C151" s="252" t="s">
        <v>55</v>
      </c>
      <c r="D151" s="296"/>
      <c r="E151" s="41"/>
      <c r="F151" s="253" cm="1">
        <f t="array" ref="F151">+SUMPRODUCT(('Budget original'!$A$8:$A$501=$A151)*('Budget original'!$C$3:$AO$3=F$2),'Budget original'!$C$8:$AO$501)</f>
        <v>0</v>
      </c>
      <c r="G151" s="297"/>
      <c r="H151" s="41"/>
      <c r="I151" s="253"/>
      <c r="J151" s="252"/>
      <c r="K151" s="41"/>
      <c r="L151" s="255">
        <f>SUMIFS(BV_Data_An_Cour!$AN:$AN,BV_Data_An_Cour!$AP:$AP,$B151,BV_Data_An_Cour!$AQ:$AQ,$C151,BV_Data_An_Cour!$AR:$AR,$L$2)</f>
        <v>0</v>
      </c>
      <c r="M151" s="252"/>
      <c r="N151" s="275">
        <f t="shared" si="45"/>
        <v>0</v>
      </c>
      <c r="O151" s="252"/>
      <c r="P151" s="41"/>
      <c r="Q151" s="255">
        <f>SUMIFS(BV_Data_An_Prec!$AN:$AN,BV_Data_An_Prec!$AP:$AP,$B151,BV_Data_An_Prec!$AQ:$AQ,$C151,BV_Data_An_Prec!$AR:$AR,$L$2)</f>
        <v>0</v>
      </c>
      <c r="R151" s="252"/>
      <c r="S151" s="275">
        <f t="shared" si="49"/>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6"/>
        <v>Véhicules usagés[...]</v>
      </c>
      <c r="B152" s="41" t="s">
        <v>148</v>
      </c>
      <c r="C152" s="252" t="s">
        <v>55</v>
      </c>
      <c r="D152" s="296"/>
      <c r="E152" s="41"/>
      <c r="F152" s="253" cm="1">
        <f t="array" ref="F152">+SUMPRODUCT(('Budget original'!$A$8:$A$501=$A152)*('Budget original'!$C$3:$AO$3=F$2),'Budget original'!$C$8:$AO$501)</f>
        <v>0</v>
      </c>
      <c r="G152" s="297"/>
      <c r="H152" s="41"/>
      <c r="I152" s="253"/>
      <c r="J152" s="252"/>
      <c r="K152" s="41"/>
      <c r="L152" s="255">
        <f>SUMIFS(BV_Data_An_Cour!$AN:$AN,BV_Data_An_Cour!$AP:$AP,$B152,BV_Data_An_Cour!$AQ:$AQ,$C152,BV_Data_An_Cour!$AR:$AR,$L$2)</f>
        <v>0</v>
      </c>
      <c r="M152" s="252"/>
      <c r="N152" s="275">
        <f t="shared" si="45"/>
        <v>0</v>
      </c>
      <c r="O152" s="252"/>
      <c r="P152" s="41"/>
      <c r="Q152" s="255">
        <f>SUMIFS(BV_Data_An_Prec!$AN:$AN,BV_Data_An_Prec!$AP:$AP,$B152,BV_Data_An_Prec!$AQ:$AQ,$C152,BV_Data_An_Prec!$AR:$AR,$L$2)</f>
        <v>0</v>
      </c>
      <c r="R152" s="252"/>
      <c r="S152" s="275">
        <f t="shared" si="49"/>
        <v>0</v>
      </c>
      <c r="T152" s="4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hidden="1" customHeight="1">
      <c r="A153" s="5" t="str">
        <f t="shared" si="26"/>
        <v>Véhicules usagés[...]</v>
      </c>
      <c r="B153" s="41" t="s">
        <v>148</v>
      </c>
      <c r="C153" s="252" t="s">
        <v>55</v>
      </c>
      <c r="D153" s="296"/>
      <c r="E153" s="41"/>
      <c r="F153" s="253" cm="1">
        <f t="array" ref="F153">+SUMPRODUCT(('Budget original'!$A$8:$A$501=$A153)*('Budget original'!$C$3:$AO$3=F$2),'Budget original'!$C$8:$AO$501)</f>
        <v>0</v>
      </c>
      <c r="G153" s="297"/>
      <c r="H153" s="41"/>
      <c r="I153" s="253"/>
      <c r="J153" s="252"/>
      <c r="K153" s="41"/>
      <c r="L153" s="255">
        <f>SUMIFS(BV_Data_An_Cour!$AN:$AN,BV_Data_An_Cour!$AP:$AP,$B153,BV_Data_An_Cour!$AQ:$AQ,$C153,BV_Data_An_Cour!$AR:$AR,$L$2)</f>
        <v>0</v>
      </c>
      <c r="M153" s="252"/>
      <c r="N153" s="275">
        <f t="shared" si="45"/>
        <v>0</v>
      </c>
      <c r="O153" s="252"/>
      <c r="P153" s="41"/>
      <c r="Q153" s="255">
        <f>SUMIFS(BV_Data_An_Prec!$AN:$AN,BV_Data_An_Prec!$AP:$AP,$B153,BV_Data_An_Prec!$AQ:$AQ,$C153,BV_Data_An_Prec!$AR:$AR,$L$2)</f>
        <v>0</v>
      </c>
      <c r="R153" s="252"/>
      <c r="S153" s="275">
        <f t="shared" si="49"/>
        <v>0</v>
      </c>
      <c r="T153" s="290"/>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6"/>
        <v>Véhicules usagésTOTAL SEMI-FIXES</v>
      </c>
      <c r="B154" s="41" t="s">
        <v>148</v>
      </c>
      <c r="C154" s="303" t="s">
        <v>139</v>
      </c>
      <c r="D154" s="304" t="s">
        <v>115</v>
      </c>
      <c r="E154" s="305" t="e">
        <f>F154/F$109</f>
        <v>#DIV/0!</v>
      </c>
      <c r="F154" s="306">
        <f>+SUM(F137:F153)</f>
        <v>0</v>
      </c>
      <c r="G154" s="307"/>
      <c r="H154" s="305"/>
      <c r="I154" s="306"/>
      <c r="J154" s="307" t="s">
        <v>115</v>
      </c>
      <c r="K154" s="305">
        <f>L154/L$109</f>
        <v>1.8837933032845432E-2</v>
      </c>
      <c r="L154" s="306">
        <f>+SUM(L137:L153)</f>
        <v>16599.739999999998</v>
      </c>
      <c r="M154" s="309"/>
      <c r="N154" s="306">
        <f t="shared" si="45"/>
        <v>16599.739999999998</v>
      </c>
      <c r="O154" s="307" t="s">
        <v>115</v>
      </c>
      <c r="P154" s="305" t="e">
        <f>Q154/Q$109</f>
        <v>#DIV/0!</v>
      </c>
      <c r="Q154" s="306">
        <f>+SUM(Q137:Q153)</f>
        <v>0</v>
      </c>
      <c r="R154" s="309"/>
      <c r="S154" s="306">
        <f t="shared" si="49"/>
        <v>16599.739999999998</v>
      </c>
      <c r="T154" s="317"/>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6"/>
        <v>Véhicules usagés</v>
      </c>
      <c r="B155" s="41" t="s">
        <v>148</v>
      </c>
      <c r="C155" s="245"/>
      <c r="D155" s="298"/>
      <c r="E155" s="316"/>
      <c r="F155" s="275"/>
      <c r="G155" s="299"/>
      <c r="H155" s="316"/>
      <c r="I155" s="275"/>
      <c r="J155" s="245"/>
      <c r="K155" s="316"/>
      <c r="L155" s="295"/>
      <c r="M155" s="245"/>
      <c r="N155" s="295"/>
      <c r="O155" s="245"/>
      <c r="P155" s="316"/>
      <c r="Q155" s="295"/>
      <c r="R155" s="245"/>
      <c r="S155" s="295"/>
      <c r="T155" s="317"/>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6"/>
        <v>Véhicules usagésTOTAL DES DÉPENSES</v>
      </c>
      <c r="B156" s="41" t="s">
        <v>148</v>
      </c>
      <c r="C156" s="303" t="s">
        <v>140</v>
      </c>
      <c r="D156" s="304" t="s">
        <v>115</v>
      </c>
      <c r="E156" s="305" t="e">
        <f>F156/F$109</f>
        <v>#DIV/0!</v>
      </c>
      <c r="F156" s="306">
        <f>F123+F136+F154</f>
        <v>0</v>
      </c>
      <c r="G156" s="307"/>
      <c r="H156" s="305"/>
      <c r="I156" s="306"/>
      <c r="J156" s="307" t="s">
        <v>115</v>
      </c>
      <c r="K156" s="305">
        <f>L156/L$109</f>
        <v>0.31931569432868678</v>
      </c>
      <c r="L156" s="306">
        <f>L123+L136+L154</f>
        <v>281376.81000000006</v>
      </c>
      <c r="M156" s="309"/>
      <c r="N156" s="318">
        <f t="shared" ref="N156:N163" si="50">L156-F156</f>
        <v>281376.81000000006</v>
      </c>
      <c r="O156" s="307" t="s">
        <v>115</v>
      </c>
      <c r="P156" s="305" t="e">
        <f>Q156/Q$109</f>
        <v>#DIV/0!</v>
      </c>
      <c r="Q156" s="306">
        <f>Q123+Q136+Q154</f>
        <v>0</v>
      </c>
      <c r="R156" s="309"/>
      <c r="S156" s="318">
        <f t="shared" ref="S156:S163" si="51">L156-Q156</f>
        <v>281376.81000000006</v>
      </c>
      <c r="T156" s="317"/>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6"/>
        <v>Véhicules usagésProgramme used 1</v>
      </c>
      <c r="B157" s="556" t="s">
        <v>148</v>
      </c>
      <c r="C157" s="252" t="s">
        <v>154</v>
      </c>
      <c r="D157" s="354"/>
      <c r="E157" s="355"/>
      <c r="F157" s="253" cm="1">
        <f t="array" ref="F157">+SUMPRODUCT(('Budget original'!$A$8:$A$501=$A157)*('Budget original'!$C$3:$AO$3=F$2),'Budget original'!$C$8:$AO$501)</f>
        <v>0</v>
      </c>
      <c r="G157" s="356"/>
      <c r="H157" s="355"/>
      <c r="I157" s="253"/>
      <c r="J157" s="356"/>
      <c r="K157" s="355"/>
      <c r="L157" s="255">
        <v>0</v>
      </c>
      <c r="M157" s="252"/>
      <c r="N157" s="275">
        <f t="shared" si="50"/>
        <v>0</v>
      </c>
      <c r="O157" s="356"/>
      <c r="P157" s="355"/>
      <c r="Q157" s="255">
        <v>0</v>
      </c>
      <c r="R157" s="252"/>
      <c r="S157" s="275">
        <f t="shared" si="51"/>
        <v>0</v>
      </c>
      <c r="T157" s="317"/>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6"/>
        <v>Véhicules usagésProgramme used 2</v>
      </c>
      <c r="B158" s="41" t="s">
        <v>148</v>
      </c>
      <c r="C158" s="252" t="s">
        <v>155</v>
      </c>
      <c r="D158" s="354"/>
      <c r="E158" s="355"/>
      <c r="F158" s="253" cm="1">
        <f t="array" ref="F158">+SUMPRODUCT(('Budget original'!$A$8:$A$501=$A158)*('Budget original'!$C$3:$AO$3=F$2),'Budget original'!$C$8:$AO$501)</f>
        <v>0</v>
      </c>
      <c r="G158" s="356"/>
      <c r="H158" s="355"/>
      <c r="I158" s="253"/>
      <c r="J158" s="356"/>
      <c r="K158" s="355"/>
      <c r="L158" s="255">
        <f>-SUMIFS(BV_Data_An_Cour!$AN:$AN,BV_Data_An_Cour!$AP:$AP,$B158,BV_Data_An_Cour!$AQ:$AQ,$C158,BV_Data_An_Cour!$AR:$AR,$L$2)</f>
        <v>0</v>
      </c>
      <c r="M158" s="252"/>
      <c r="N158" s="275">
        <f t="shared" si="50"/>
        <v>0</v>
      </c>
      <c r="O158" s="356"/>
      <c r="P158" s="355"/>
      <c r="Q158" s="255">
        <f>-SUMIFS(BV_Data_An_Prec!$AN:$AN,BV_Data_An_Prec!$AP:$AP,$B158,BV_Data_An_Prec!$AQ:$AQ,$C158,BV_Data_An_Prec!$AR:$AR,$L$2)</f>
        <v>0</v>
      </c>
      <c r="R158" s="252"/>
      <c r="S158" s="275">
        <f t="shared" si="51"/>
        <v>0</v>
      </c>
      <c r="T158" s="317"/>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tr">
        <f t="shared" si="26"/>
        <v>Véhicules usagésProgramme used 3</v>
      </c>
      <c r="B159" s="41" t="s">
        <v>148</v>
      </c>
      <c r="C159" s="252" t="s">
        <v>156</v>
      </c>
      <c r="D159" s="296"/>
      <c r="E159" s="41"/>
      <c r="F159" s="253" cm="1">
        <f t="array" ref="F159">+SUMPRODUCT(('Budget original'!$A$8:$A$501=$A159)*('Budget original'!$C$3:$AO$3=F$2),'Budget original'!$C$8:$AO$501)</f>
        <v>0</v>
      </c>
      <c r="G159" s="297"/>
      <c r="H159" s="41"/>
      <c r="I159" s="253"/>
      <c r="J159" s="252"/>
      <c r="K159" s="41"/>
      <c r="L159" s="255">
        <f>-SUMIFS(BV_Data_An_Cour!$AN:$AN,BV_Data_An_Cour!$AP:$AP,$B159,BV_Data_An_Cour!$AQ:$AQ,$C159,BV_Data_An_Cour!$AR:$AR,$L$2)</f>
        <v>0</v>
      </c>
      <c r="M159" s="252"/>
      <c r="N159" s="275">
        <f t="shared" si="50"/>
        <v>0</v>
      </c>
      <c r="O159" s="252"/>
      <c r="P159" s="41"/>
      <c r="Q159" s="255">
        <f>-SUMIFS(BV_Data_An_Prec!$AN:$AN,BV_Data_An_Prec!$AP:$AP,$B159,BV_Data_An_Prec!$AQ:$AQ,$C159,BV_Data_An_Prec!$AR:$AR,$L$2)</f>
        <v>0</v>
      </c>
      <c r="R159" s="252"/>
      <c r="S159" s="275">
        <f t="shared" si="51"/>
        <v>0</v>
      </c>
      <c r="T159" s="317"/>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customHeight="1">
      <c r="A160" s="153" t="str">
        <f t="shared" si="26"/>
        <v>Véhicules usagésFrais administration</v>
      </c>
      <c r="B160" s="319" t="s">
        <v>148</v>
      </c>
      <c r="C160" s="252" t="s">
        <v>145</v>
      </c>
      <c r="D160" s="296"/>
      <c r="E160" s="41"/>
      <c r="F160" s="253" cm="1">
        <f t="array" ref="F160">+SUMPRODUCT(('Budget original'!$A$8:$A$501=$A160)*('Budget original'!$C$3:$AO$3=F$2),'Budget original'!$C$8:$AO$501)</f>
        <v>0</v>
      </c>
      <c r="G160" s="297"/>
      <c r="H160" s="41"/>
      <c r="I160" s="253"/>
      <c r="J160" s="252"/>
      <c r="K160" s="41"/>
      <c r="L160" s="255">
        <f>-SUMIFS(BV_Data_An_Cour!$AN:$AN,BV_Data_An_Cour!$AP:$AP,$B160,BV_Data_An_Cour!$AQ:$AQ,$C160,BV_Data_An_Cour!$AR:$AR,L$2)</f>
        <v>0</v>
      </c>
      <c r="M160" s="252"/>
      <c r="N160" s="275">
        <f t="shared" si="50"/>
        <v>0</v>
      </c>
      <c r="O160" s="252"/>
      <c r="P160" s="41"/>
      <c r="Q160" s="255">
        <f>-SUMIFS(BV_Data_An_Prec!$AN:$AN,BV_Data_An_Prec!$AP:$AP,$B160,BV_Data_An_Prec!$AQ:$AQ,$C160,BV_Data_An_Prec!$AR:$AR,Q$2)</f>
        <v>0</v>
      </c>
      <c r="R160" s="252"/>
      <c r="S160" s="275">
        <f t="shared" si="51"/>
        <v>0</v>
      </c>
      <c r="T160" s="317"/>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6"/>
        <v>Véhicules usagés[...]</v>
      </c>
      <c r="B161" s="41" t="s">
        <v>148</v>
      </c>
      <c r="C161" s="252" t="s">
        <v>55</v>
      </c>
      <c r="D161" s="296"/>
      <c r="E161" s="41"/>
      <c r="F161" s="253" cm="1">
        <f t="array" ref="F161">+SUMPRODUCT(('Budget original'!$A$8:$A$501=$A161)*('Budget original'!$C$3:$AO$3=F$2),'Budget original'!$C$8:$AO$501)</f>
        <v>0</v>
      </c>
      <c r="G161" s="297"/>
      <c r="H161" s="41"/>
      <c r="I161" s="253"/>
      <c r="J161" s="252"/>
      <c r="K161" s="41"/>
      <c r="L161" s="255">
        <f>-SUMIFS(BV_Data_An_Cour!$AN:$AN,BV_Data_An_Cour!$AP:$AP,$B161,BV_Data_An_Cour!$AQ:$AQ,$C161,BV_Data_An_Cour!$AR:$AR,$L$2)</f>
        <v>0</v>
      </c>
      <c r="M161" s="252"/>
      <c r="N161" s="275">
        <f t="shared" si="50"/>
        <v>0</v>
      </c>
      <c r="O161" s="252"/>
      <c r="P161" s="41"/>
      <c r="Q161" s="255">
        <f>-SUMIFS(BV_Data_An_Prec!$AN:$AN,BV_Data_An_Prec!$AP:$AP,$B161,BV_Data_An_Prec!$AQ:$AQ,$C161,BV_Data_An_Prec!$AR:$AR,$L$2)</f>
        <v>0</v>
      </c>
      <c r="R161" s="252"/>
      <c r="S161" s="275">
        <f t="shared" si="51"/>
        <v>0</v>
      </c>
      <c r="T161" s="317"/>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6"/>
        <v>Véhicules usagés[...]</v>
      </c>
      <c r="B162" s="41" t="s">
        <v>148</v>
      </c>
      <c r="C162" s="252" t="s">
        <v>55</v>
      </c>
      <c r="D162" s="296"/>
      <c r="E162" s="41"/>
      <c r="F162" s="253" cm="1">
        <f t="array" ref="F162">+SUMPRODUCT(('Budget original'!$A$8:$A$501=$A162)*('Budget original'!$C$3:$AO$3=F$2),'Budget original'!$C$8:$AO$501)</f>
        <v>0</v>
      </c>
      <c r="G162" s="297"/>
      <c r="H162" s="41"/>
      <c r="I162" s="253"/>
      <c r="J162" s="252"/>
      <c r="K162" s="41"/>
      <c r="L162" s="255">
        <f>-SUMIFS(BV_Data_An_Cour!$AN:$AN,BV_Data_An_Cour!$AP:$AP,$B162,BV_Data_An_Cour!$AQ:$AQ,$C162,BV_Data_An_Cour!$AR:$AR,$L$2)</f>
        <v>0</v>
      </c>
      <c r="M162" s="252"/>
      <c r="N162" s="275">
        <f t="shared" si="50"/>
        <v>0</v>
      </c>
      <c r="O162" s="252"/>
      <c r="P162" s="41"/>
      <c r="Q162" s="255">
        <f>-SUMIFS(BV_Data_An_Prec!$AN:$AN,BV_Data_An_Prec!$AP:$AP,$B162,BV_Data_An_Prec!$AQ:$AQ,$C162,BV_Data_An_Prec!$AR:$AR,$L$2)</f>
        <v>0</v>
      </c>
      <c r="R162" s="252"/>
      <c r="S162" s="275">
        <f t="shared" si="51"/>
        <v>0</v>
      </c>
      <c r="T162" s="317"/>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hidden="1" customHeight="1">
      <c r="A163" s="5" t="str">
        <f t="shared" si="26"/>
        <v>Véhicules usagés[...]</v>
      </c>
      <c r="B163" s="41" t="s">
        <v>148</v>
      </c>
      <c r="C163" s="245" t="s">
        <v>55</v>
      </c>
      <c r="D163" s="298"/>
      <c r="E163" s="316"/>
      <c r="F163" s="253" cm="1">
        <f t="array" ref="F163">+SUMPRODUCT(('Budget original'!$A$8:$A$501=$A163)*('Budget original'!$C$3:$AO$3=F$2),'Budget original'!$C$8:$AO$501)</f>
        <v>0</v>
      </c>
      <c r="G163" s="297"/>
      <c r="H163" s="41"/>
      <c r="I163" s="253"/>
      <c r="J163" s="252"/>
      <c r="K163" s="41"/>
      <c r="L163" s="255">
        <f>-SUMIFS(BV_Data_An_Cour!$AN:$AN,BV_Data_An_Cour!$AP:$AP,$B163,BV_Data_An_Cour!$AQ:$AQ,$C163,BV_Data_An_Cour!$AR:$AR,$L$2)</f>
        <v>0</v>
      </c>
      <c r="M163" s="252"/>
      <c r="N163" s="275">
        <f t="shared" si="50"/>
        <v>0</v>
      </c>
      <c r="O163" s="252"/>
      <c r="P163" s="41"/>
      <c r="Q163" s="255">
        <f>-SUMIFS(BV_Data_An_Prec!$AN:$AN,BV_Data_An_Prec!$AP:$AP,$B163,BV_Data_An_Prec!$AQ:$AQ,$C163,BV_Data_An_Prec!$AR:$AR,$L$2)</f>
        <v>0</v>
      </c>
      <c r="R163" s="252"/>
      <c r="S163" s="275">
        <f t="shared" si="51"/>
        <v>0</v>
      </c>
      <c r="T163" s="317"/>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303" t="s">
        <v>146</v>
      </c>
      <c r="D164" s="304"/>
      <c r="E164" s="305"/>
      <c r="F164" s="306">
        <f>+SUM(F157:F163)</f>
        <v>0</v>
      </c>
      <c r="G164" s="307"/>
      <c r="H164" s="305"/>
      <c r="I164" s="306"/>
      <c r="J164" s="307"/>
      <c r="K164" s="305"/>
      <c r="L164" s="306">
        <f>+SUM(L157:L163)</f>
        <v>0</v>
      </c>
      <c r="M164" s="309"/>
      <c r="N164" s="306">
        <f>SUM(N157:N160)</f>
        <v>0</v>
      </c>
      <c r="O164" s="307"/>
      <c r="P164" s="305"/>
      <c r="Q164" s="306">
        <f>+SUM(Q157:Q163)</f>
        <v>0</v>
      </c>
      <c r="R164" s="309"/>
      <c r="S164" s="306">
        <f>+SUM(S157:S163)</f>
        <v>0</v>
      </c>
      <c r="T164" s="31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252"/>
      <c r="D165" s="296"/>
      <c r="E165" s="41"/>
      <c r="F165" s="275"/>
      <c r="G165" s="297"/>
      <c r="H165" s="41"/>
      <c r="I165" s="275"/>
      <c r="J165" s="252"/>
      <c r="K165" s="41"/>
      <c r="L165" s="275"/>
      <c r="M165" s="252"/>
      <c r="N165" s="275"/>
      <c r="O165" s="252"/>
      <c r="P165" s="41"/>
      <c r="Q165" s="275"/>
      <c r="R165" s="252"/>
      <c r="S165" s="275"/>
      <c r="T165" s="355"/>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thickBot="1">
      <c r="B166" s="41"/>
      <c r="C166" s="330" t="s">
        <v>147</v>
      </c>
      <c r="D166" s="358"/>
      <c r="E166" s="331"/>
      <c r="F166" s="333">
        <f>F109-F156+F164</f>
        <v>0</v>
      </c>
      <c r="G166" s="359"/>
      <c r="H166" s="331"/>
      <c r="I166" s="333"/>
      <c r="J166" s="330"/>
      <c r="K166" s="332"/>
      <c r="L166" s="333">
        <f>L109-L156+L164</f>
        <v>599810.10000000009</v>
      </c>
      <c r="M166" s="330"/>
      <c r="N166" s="333">
        <f>L166-F166</f>
        <v>599810.10000000009</v>
      </c>
      <c r="O166" s="330"/>
      <c r="P166" s="332"/>
      <c r="Q166" s="333">
        <f>Q109-Q156+Q164</f>
        <v>0</v>
      </c>
      <c r="R166" s="330"/>
      <c r="S166" s="333">
        <f>L166-Q166</f>
        <v>599810.10000000009</v>
      </c>
      <c r="T166" s="290"/>
      <c r="U166" s="41"/>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thickTop="1">
      <c r="B167" s="41"/>
      <c r="C167" s="38"/>
      <c r="D167" s="38"/>
      <c r="E167" s="38"/>
      <c r="F167" s="38"/>
      <c r="G167" s="38"/>
      <c r="H167" s="38"/>
      <c r="I167" s="38"/>
      <c r="J167" s="38"/>
      <c r="K167" s="38"/>
      <c r="L167" s="94"/>
      <c r="M167" s="38"/>
      <c r="N167" s="38"/>
      <c r="O167" s="38"/>
      <c r="P167" s="94"/>
      <c r="Q167" s="38"/>
      <c r="R167" s="38"/>
      <c r="S167" s="38"/>
      <c r="T167" s="94"/>
      <c r="U167" s="38"/>
      <c r="V167" s="41"/>
      <c r="W167" s="41"/>
      <c r="X167" s="41"/>
      <c r="Y167" s="41"/>
      <c r="Z167" s="41"/>
      <c r="AA167" s="41"/>
      <c r="AB167" s="41"/>
      <c r="AC167" s="41"/>
      <c r="AD167" s="41"/>
      <c r="AE167" s="41"/>
      <c r="AF167" s="41"/>
      <c r="AG167" s="41"/>
      <c r="AH167" s="41"/>
      <c r="AI167" s="41"/>
      <c r="AJ167" s="41"/>
      <c r="AK167" s="41"/>
      <c r="AL167" s="41"/>
      <c r="AM167" s="41"/>
      <c r="AN167" s="41"/>
    </row>
    <row r="168" spans="1:40" ht="15.75" customHeight="1">
      <c r="B168" s="41"/>
      <c r="C168" s="38"/>
      <c r="D168" s="38"/>
      <c r="E168" s="38"/>
      <c r="F168" s="38"/>
      <c r="G168" s="38"/>
      <c r="H168" s="38"/>
      <c r="I168" s="38"/>
      <c r="J168" s="38"/>
      <c r="K168" s="38"/>
      <c r="L168" s="38"/>
      <c r="M168" s="38"/>
      <c r="N168" s="38"/>
      <c r="O168" s="38"/>
      <c r="P168" s="38"/>
      <c r="Q168" s="38"/>
      <c r="R168" s="38"/>
      <c r="S168" s="38"/>
      <c r="T168" s="94"/>
      <c r="U168" s="38"/>
      <c r="V168" s="38"/>
      <c r="W168" s="38"/>
      <c r="X168" s="38"/>
      <c r="Y168" s="38"/>
      <c r="Z168" s="38"/>
      <c r="AA168" s="38"/>
      <c r="AB168" s="38"/>
      <c r="AC168" s="38"/>
      <c r="AD168" s="38"/>
      <c r="AE168" s="38"/>
      <c r="AF168" s="38"/>
      <c r="AG168" s="38"/>
      <c r="AH168" s="38"/>
      <c r="AI168" s="38"/>
      <c r="AJ168" s="38"/>
      <c r="AK168" s="38"/>
      <c r="AL168" s="38"/>
      <c r="AM168" s="38"/>
      <c r="AN168" s="38"/>
    </row>
    <row r="169" spans="1:40" ht="33.75" customHeight="1">
      <c r="B169" s="41"/>
      <c r="C169" s="36" t="str">
        <f>C1</f>
        <v>Hyundai</v>
      </c>
      <c r="D169" s="231"/>
      <c r="E169" s="231"/>
      <c r="F169" s="231"/>
      <c r="G169" s="231"/>
      <c r="H169" s="36"/>
      <c r="I169" s="36"/>
      <c r="J169" s="36"/>
      <c r="K169" s="9" t="s">
        <v>157</v>
      </c>
      <c r="L169" s="231"/>
      <c r="M169" s="231"/>
      <c r="N169" s="36"/>
      <c r="O169" s="36"/>
      <c r="P169" s="231"/>
      <c r="Q169" s="36"/>
      <c r="R169" s="231"/>
      <c r="S169" s="10" t="str">
        <f>$S$1</f>
        <v>Réalisé AAJ, Mai 2025</v>
      </c>
      <c r="T169" s="231"/>
      <c r="U169" s="36"/>
      <c r="V169" s="38"/>
      <c r="W169" s="38"/>
      <c r="X169" s="38"/>
      <c r="Y169" s="38"/>
      <c r="Z169" s="38"/>
      <c r="AA169" s="38"/>
      <c r="AB169" s="38"/>
      <c r="AC169" s="38"/>
      <c r="AD169" s="38"/>
      <c r="AE169" s="38"/>
      <c r="AF169" s="38"/>
      <c r="AG169" s="38"/>
      <c r="AH169" s="38"/>
      <c r="AI169" s="38"/>
      <c r="AJ169" s="38"/>
      <c r="AK169" s="38"/>
      <c r="AL169" s="38"/>
      <c r="AM169" s="38"/>
      <c r="AN169" s="38"/>
    </row>
    <row r="170" spans="1:40" ht="15.75" customHeight="1" thickBot="1">
      <c r="B170" s="41"/>
      <c r="C170" s="37"/>
      <c r="D170" s="38"/>
      <c r="E170" s="38"/>
      <c r="F170" s="38"/>
      <c r="G170" s="38"/>
      <c r="H170" s="38"/>
      <c r="I170" s="38"/>
      <c r="J170" s="38"/>
      <c r="K170" s="38"/>
      <c r="L170" s="38"/>
      <c r="M170" s="38"/>
      <c r="N170" s="38"/>
      <c r="O170" s="38"/>
      <c r="P170" s="38"/>
      <c r="Q170" s="38"/>
      <c r="R170" s="38"/>
      <c r="S170" s="38"/>
      <c r="T170" s="38"/>
      <c r="U170" s="38"/>
      <c r="V170" s="36"/>
      <c r="W170" s="36"/>
      <c r="X170" s="36"/>
      <c r="Y170" s="36"/>
      <c r="Z170" s="36"/>
      <c r="AA170" s="36"/>
      <c r="AB170" s="36"/>
      <c r="AC170" s="36"/>
      <c r="AD170" s="36"/>
      <c r="AE170" s="36"/>
      <c r="AF170" s="36"/>
      <c r="AG170" s="36"/>
      <c r="AH170" s="36"/>
      <c r="AI170" s="36"/>
      <c r="AJ170" s="36"/>
      <c r="AK170" s="36"/>
      <c r="AL170" s="36"/>
      <c r="AM170" s="36"/>
      <c r="AN170" s="36"/>
    </row>
    <row r="171" spans="1:40" ht="15.75" customHeight="1" thickTop="1">
      <c r="B171" s="41"/>
      <c r="C171" s="237"/>
      <c r="D171" s="1058" t="s">
        <v>339</v>
      </c>
      <c r="E171" s="1059"/>
      <c r="F171" s="1060"/>
      <c r="G171" s="1061"/>
      <c r="H171" s="1059"/>
      <c r="I171" s="1060"/>
      <c r="J171" s="1061" t="s">
        <v>340</v>
      </c>
      <c r="K171" s="1059"/>
      <c r="L171" s="1060"/>
      <c r="M171" s="1061" t="s">
        <v>681</v>
      </c>
      <c r="N171" s="1060"/>
      <c r="O171" s="1058" t="s">
        <v>341</v>
      </c>
      <c r="P171" s="1059"/>
      <c r="Q171" s="1060"/>
      <c r="R171" s="1062" t="s">
        <v>683</v>
      </c>
      <c r="S171" s="1063"/>
      <c r="T171" s="354"/>
      <c r="U171" s="41"/>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A172" s="5" t="str">
        <f t="shared" ref="A172:A229" si="52">+B172&amp;C172</f>
        <v>Service</v>
      </c>
      <c r="B172" s="41" t="s">
        <v>157</v>
      </c>
      <c r="C172" s="252"/>
      <c r="D172" s="39" t="s">
        <v>158</v>
      </c>
      <c r="E172" s="39" t="s">
        <v>159</v>
      </c>
      <c r="F172" s="338" t="s">
        <v>91</v>
      </c>
      <c r="G172" s="339"/>
      <c r="H172" s="39"/>
      <c r="I172" s="338"/>
      <c r="J172" s="339" t="s">
        <v>158</v>
      </c>
      <c r="K172" s="39" t="s">
        <v>159</v>
      </c>
      <c r="L172" s="338" t="s">
        <v>91</v>
      </c>
      <c r="M172" s="339" t="s">
        <v>523</v>
      </c>
      <c r="N172" s="338" t="s">
        <v>682</v>
      </c>
      <c r="O172" s="39" t="s">
        <v>158</v>
      </c>
      <c r="P172" s="39" t="s">
        <v>159</v>
      </c>
      <c r="Q172" s="338" t="s">
        <v>91</v>
      </c>
      <c r="R172" s="339" t="s">
        <v>453</v>
      </c>
      <c r="S172" s="338" t="s">
        <v>91</v>
      </c>
      <c r="T172" s="39"/>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2"/>
        <v>ServiceM/O Client</v>
      </c>
      <c r="B173" s="41" t="s">
        <v>157</v>
      </c>
      <c r="C173" s="252" t="s">
        <v>160</v>
      </c>
      <c r="D173" s="357" cm="1">
        <f t="array" ref="D173">+SUMPRODUCT(('Budget original'!$A$8:$A$501=$A173)*('Budget original'!$C$3:$AO$3=D$2),'Budget original'!$C$8:$AO$501)</f>
        <v>0</v>
      </c>
      <c r="E173" s="290" cm="1">
        <f t="array" ref="E173">+SUMPRODUCT(('Budget original'!$A$8:$A$501=$A173)*('Budget original'!$C$3:$AO$3=E$2),'Budget original'!$C$8:$AO$501)</f>
        <v>0</v>
      </c>
      <c r="F173" s="290" cm="1">
        <f t="array" ref="F173">+SUMPRODUCT(('Budget original'!$A$8:$A$501=$A173)*('Budget original'!$C$3:$AO$3=F$2),'Budget original'!$C$8:$AO$501)</f>
        <v>0</v>
      </c>
      <c r="G173" s="320"/>
      <c r="H173" s="290"/>
      <c r="I173" s="290"/>
      <c r="J173" s="254">
        <f>SUMIFS(BV_Data_An_Cour!$AX:$AX,BV_Data_An_Cour!$AP:$AP,$B173,BV_Data_An_Cour!$AQ:$AQ,$C173,BV_Data_An_Cour!$AY:$AY,J$2)</f>
        <v>3883</v>
      </c>
      <c r="K173" s="253">
        <f>-SUMIFS(BV_Data_An_Cour!$AN:$AN,BV_Data_An_Cour!$AS:$AS,"Oui",BV_Data_An_Cour!$AP:$AP,$B173,BV_Data_An_Cour!$AQ:$AQ,$C173)</f>
        <v>548074.72</v>
      </c>
      <c r="L173" s="255">
        <f>-SUMIFS(BV_Data_An_Cour!$AN:$AN,BV_Data_An_Cour!$AP:$AP,$B173,BV_Data_An_Cour!$AQ:$AQ,$C173,BV_Data_An_Cour!$AR:$AR,$L$2)</f>
        <v>437010.82999999996</v>
      </c>
      <c r="M173" s="291" t="e">
        <f>(K173-E173)/E173</f>
        <v>#DIV/0!</v>
      </c>
      <c r="N173" s="275">
        <f>L173-F173</f>
        <v>437010.82999999996</v>
      </c>
      <c r="O173" s="254">
        <f>SUMIFS(BV_Data_An_Prec!$AX:$AX,BV_Data_An_Prec!$AP:$AP,$B173,BV_Data_An_Prec!$AQ:$AQ,$C173,BV_Data_An_Prec!$AY:$AY,O$2)</f>
        <v>0</v>
      </c>
      <c r="P173" s="253">
        <f>-SUMIFS(BV_Data_An_Prec!$AN:$AN,BV_Data_An_Prec!$AS:$AS,"Oui",BV_Data_An_Prec!$AP:$AP,$B173,BV_Data_An_Prec!$AQ:$AQ,$C173)</f>
        <v>0</v>
      </c>
      <c r="Q173" s="255">
        <f>-SUMIFS(BV_Data_An_Prec!$AN:$AN,BV_Data_An_Prec!$AP:$AP,$B173,BV_Data_An_Prec!$AQ:$AQ,$C173,BV_Data_An_Prec!$AR:$AR,$L$2)</f>
        <v>0</v>
      </c>
      <c r="R173" s="291">
        <f>IF(O173=0,0,J173/O173)</f>
        <v>0</v>
      </c>
      <c r="S173" s="275">
        <f>L173-Q173</f>
        <v>437010.82999999996</v>
      </c>
      <c r="T173" s="290"/>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2"/>
        <v>Service% profit / ventes</v>
      </c>
      <c r="B174" s="41" t="s">
        <v>157</v>
      </c>
      <c r="C174" s="252" t="s">
        <v>161</v>
      </c>
      <c r="D174" s="357"/>
      <c r="E174" s="347"/>
      <c r="F174" s="360" t="e">
        <f>F173/E173</f>
        <v>#DIV/0!</v>
      </c>
      <c r="G174" s="252"/>
      <c r="H174" s="347"/>
      <c r="I174" s="360"/>
      <c r="J174" s="276"/>
      <c r="K174" s="41"/>
      <c r="L174" s="360">
        <f>IF(L173=0,0,L173/K173)</f>
        <v>0.79735629842587885</v>
      </c>
      <c r="M174" s="291"/>
      <c r="N174" s="275"/>
      <c r="O174" s="276"/>
      <c r="P174" s="41"/>
      <c r="Q174" s="360">
        <f>IF(Q173=0,0,Q173/P173)</f>
        <v>0</v>
      </c>
      <c r="R174" s="276"/>
      <c r="S174" s="275"/>
      <c r="T174" s="290"/>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5.75" customHeight="1">
      <c r="A175" s="5" t="str">
        <f t="shared" si="52"/>
        <v>Service</v>
      </c>
      <c r="B175" s="41" t="s">
        <v>157</v>
      </c>
      <c r="C175" s="245"/>
      <c r="D175" s="827"/>
      <c r="E175" s="401">
        <f>IFERROR(E173/D173,0)</f>
        <v>0</v>
      </c>
      <c r="F175" s="362"/>
      <c r="G175" s="245"/>
      <c r="H175" s="401"/>
      <c r="I175" s="362"/>
      <c r="J175" s="363"/>
      <c r="K175" s="557">
        <f>IFERROR(K173/J173,0)</f>
        <v>141.14723667267575</v>
      </c>
      <c r="L175" s="362"/>
      <c r="M175" s="294"/>
      <c r="N175" s="295"/>
      <c r="O175" s="363"/>
      <c r="P175" s="557">
        <f>IFERROR(P173/O173,0)</f>
        <v>0</v>
      </c>
      <c r="Q175" s="362"/>
      <c r="R175" s="363"/>
      <c r="S175" s="295"/>
      <c r="T175" s="290"/>
      <c r="U175" s="41"/>
      <c r="V175" s="41"/>
      <c r="W175" s="41"/>
      <c r="X175" s="41"/>
      <c r="Y175" s="41"/>
      <c r="Z175" s="41"/>
      <c r="AA175" s="41"/>
      <c r="AB175" s="41"/>
      <c r="AC175" s="41"/>
      <c r="AD175" s="41"/>
      <c r="AE175" s="41"/>
      <c r="AF175" s="41"/>
      <c r="AG175" s="41"/>
      <c r="AH175" s="41"/>
      <c r="AI175" s="41"/>
      <c r="AJ175" s="41"/>
      <c r="AK175" s="41"/>
      <c r="AL175" s="41"/>
      <c r="AM175" s="41"/>
      <c r="AN175" s="41"/>
    </row>
    <row r="176" spans="1:40" ht="18" customHeight="1">
      <c r="A176" s="5" t="str">
        <f t="shared" si="52"/>
        <v>ServiceM/O Garantie</v>
      </c>
      <c r="B176" s="41" t="s">
        <v>157</v>
      </c>
      <c r="C176" s="240" t="s">
        <v>162</v>
      </c>
      <c r="D176" s="828" cm="1">
        <f t="array" ref="D176">+SUMPRODUCT(('Budget original'!$A$8:$A$501=$A176)*('Budget original'!$C$3:$AO$3=D$2),'Budget original'!$C$8:$AO$501)</f>
        <v>0</v>
      </c>
      <c r="E176" s="290" cm="1">
        <f t="array" ref="E176">+SUMPRODUCT(('Budget original'!$A$8:$A$501=$A176)*('Budget original'!$C$3:$AO$3=E$2),'Budget original'!$C$8:$AO$501)</f>
        <v>0</v>
      </c>
      <c r="F176" s="290" cm="1">
        <f t="array" ref="F176">+SUMPRODUCT(('Budget original'!$A$8:$A$501=$A176)*('Budget original'!$C$3:$AO$3=F$2),'Budget original'!$C$8:$AO$501)</f>
        <v>0</v>
      </c>
      <c r="G176" s="365"/>
      <c r="H176" s="290"/>
      <c r="I176" s="290"/>
      <c r="J176" s="254">
        <f>SUMIFS(BV_Data_An_Cour!$AX:$AX,BV_Data_An_Cour!$AP:$AP,$B176,BV_Data_An_Cour!$AQ:$AQ,$C176,BV_Data_An_Cour!$AY:$AY,J$2)</f>
        <v>1521</v>
      </c>
      <c r="K176" s="270">
        <f>-SUMIFS(BV_Data_An_Cour!$AN:$AN,BV_Data_An_Cour!$AS:$AS,"Oui",BV_Data_An_Cour!$AP:$AP,$B176,BV_Data_An_Cour!$AQ:$AQ,$C176)</f>
        <v>250449.31</v>
      </c>
      <c r="L176" s="255">
        <f>-SUMIFS(BV_Data_An_Cour!$AN:$AN,BV_Data_An_Cour!$AP:$AP,$B176,BV_Data_An_Cour!$AQ:$AQ,$C176,BV_Data_An_Cour!$AR:$AR,$L$2)</f>
        <v>177699.75</v>
      </c>
      <c r="M176" s="291" t="e">
        <f>(K176-E176)/E176</f>
        <v>#DIV/0!</v>
      </c>
      <c r="N176" s="315">
        <f>L176-F176</f>
        <v>177699.75</v>
      </c>
      <c r="O176" s="254">
        <f>SUMIFS(BV_Data_An_Prec!$AX:$AX,BV_Data_An_Prec!$AP:$AP,$B176,BV_Data_An_Prec!$AQ:$AQ,$C176,BV_Data_An_Prec!$AY:$AY,O$2)</f>
        <v>0</v>
      </c>
      <c r="P176" s="270">
        <f>-SUMIFS(BV_Data_An_Prec!$AN:$AN,BV_Data_An_Prec!$AS:$AS,"Oui",BV_Data_An_Prec!$AP:$AP,$B176,BV_Data_An_Prec!$AQ:$AQ,$C176)</f>
        <v>0</v>
      </c>
      <c r="Q176" s="255">
        <f>-SUMIFS(BV_Data_An_Prec!$AN:$AN,BV_Data_An_Prec!$AP:$AP,$B176,BV_Data_An_Prec!$AQ:$AQ,$C176,BV_Data_An_Prec!$AR:$AR,$L$2)</f>
        <v>0</v>
      </c>
      <c r="R176" s="291">
        <f>IF(O176=0,0,J176/O176)</f>
        <v>0</v>
      </c>
      <c r="S176" s="275">
        <f>L176-Q176</f>
        <v>177699.75</v>
      </c>
      <c r="T176" s="290"/>
      <c r="U176" s="41"/>
      <c r="V176" s="253"/>
      <c r="W176" s="41"/>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2"/>
        <v>Service% profit / ventes</v>
      </c>
      <c r="B177" s="41" t="s">
        <v>157</v>
      </c>
      <c r="C177" s="252" t="s">
        <v>161</v>
      </c>
      <c r="D177" s="357"/>
      <c r="E177" s="41"/>
      <c r="F177" s="360" t="e">
        <f>F176/E176</f>
        <v>#DIV/0!</v>
      </c>
      <c r="G177" s="252"/>
      <c r="H177" s="41"/>
      <c r="I177" s="360"/>
      <c r="J177" s="252"/>
      <c r="K177" s="41"/>
      <c r="L177" s="360">
        <f>IF(L176=0,0,L176/K176)</f>
        <v>0.70952381541797815</v>
      </c>
      <c r="M177" s="263"/>
      <c r="N177" s="264"/>
      <c r="O177" s="252"/>
      <c r="P177" s="41"/>
      <c r="Q177" s="360">
        <f>IF(Q176=0,0,Q176/P176)</f>
        <v>0</v>
      </c>
      <c r="R177" s="263"/>
      <c r="S177" s="264"/>
      <c r="T177" s="41"/>
      <c r="U177" s="41"/>
      <c r="V177" s="253"/>
      <c r="W177" s="366"/>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2"/>
        <v>Service</v>
      </c>
      <c r="B178" s="41" t="s">
        <v>157</v>
      </c>
      <c r="C178" s="245"/>
      <c r="D178" s="827"/>
      <c r="E178" s="316"/>
      <c r="F178" s="362"/>
      <c r="G178" s="245"/>
      <c r="H178" s="316"/>
      <c r="I178" s="362"/>
      <c r="J178" s="245"/>
      <c r="K178" s="557">
        <f>IFERROR(K176/J176,0)</f>
        <v>164.66095332018409</v>
      </c>
      <c r="L178" s="362"/>
      <c r="M178" s="367"/>
      <c r="N178" s="368"/>
      <c r="O178" s="245"/>
      <c r="P178" s="557">
        <f>IFERROR(P176/O176,0)</f>
        <v>0</v>
      </c>
      <c r="Q178" s="362"/>
      <c r="R178" s="367"/>
      <c r="S178" s="368"/>
      <c r="T178" s="4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2"/>
        <v>ServiceM/O Interne</v>
      </c>
      <c r="B179" s="41" t="s">
        <v>157</v>
      </c>
      <c r="C179" s="252" t="s">
        <v>163</v>
      </c>
      <c r="D179" s="357" cm="1">
        <f t="array" ref="D179">+SUMPRODUCT(('Budget original'!$A$8:$A$501=$A179)*('Budget original'!$C$3:$AO$3=D$2),'Budget original'!$C$8:$AO$501)</f>
        <v>0</v>
      </c>
      <c r="E179" s="290" cm="1">
        <f t="array" ref="E179">+SUMPRODUCT(('Budget original'!$A$8:$A$501=$A179)*('Budget original'!$C$3:$AO$3=E$2),'Budget original'!$C$8:$AO$501)</f>
        <v>0</v>
      </c>
      <c r="F179" s="290" cm="1">
        <f t="array" ref="F179">+SUMPRODUCT(('Budget original'!$A$8:$A$501=$A179)*('Budget original'!$C$3:$AO$3=F$2),'Budget original'!$C$8:$AO$501)</f>
        <v>0</v>
      </c>
      <c r="G179" s="252"/>
      <c r="H179" s="290"/>
      <c r="I179" s="290"/>
      <c r="J179" s="254">
        <f>SUMIFS(BV_Data_An_Cour!$AX:$AX,BV_Data_An_Cour!$AP:$AP,$B179,BV_Data_An_Cour!$AQ:$AQ,$C179,BV_Data_An_Cour!$AY:$AY,J$2)</f>
        <v>722</v>
      </c>
      <c r="K179" s="270">
        <f>-SUMIFS(BV_Data_An_Cour!$AN:$AN,BV_Data_An_Cour!$AS:$AS,"Oui",BV_Data_An_Cour!$AP:$AP,$B179,BV_Data_An_Cour!$AQ:$AQ,$C179)</f>
        <v>116188.4</v>
      </c>
      <c r="L179" s="255">
        <f>-SUMIFS(BV_Data_An_Cour!$AN:$AN,BV_Data_An_Cour!$AP:$AP,$B179,BV_Data_An_Cour!$AQ:$AQ,$C179,BV_Data_An_Cour!$AR:$AR,$L$2)</f>
        <v>92644.409999999989</v>
      </c>
      <c r="M179" s="291" t="e">
        <f>(K179-E179)/E179</f>
        <v>#DIV/0!</v>
      </c>
      <c r="N179" s="275">
        <f>L179-F179</f>
        <v>92644.409999999989</v>
      </c>
      <c r="O179" s="254">
        <f>SUMIFS(BV_Data_An_Prec!$AX:$AX,BV_Data_An_Prec!$AP:$AP,$B179,BV_Data_An_Prec!$AQ:$AQ,$C179,BV_Data_An_Prec!$AY:$AY,O$2)</f>
        <v>0</v>
      </c>
      <c r="P179" s="270">
        <f>-SUMIFS(BV_Data_An_Prec!$AN:$AN,BV_Data_An_Prec!$AS:$AS,"Oui",BV_Data_An_Prec!$AP:$AP,$B179,BV_Data_An_Prec!$AQ:$AQ,$C179)</f>
        <v>0</v>
      </c>
      <c r="Q179" s="255">
        <f>-SUMIFS(BV_Data_An_Prec!$AN:$AN,BV_Data_An_Prec!$AP:$AP,$B179,BV_Data_An_Prec!$AQ:$AQ,$C179,BV_Data_An_Prec!$AR:$AR,$L$2)</f>
        <v>0</v>
      </c>
      <c r="R179" s="291">
        <f>IF(O179=0,0,J179/O179)</f>
        <v>0</v>
      </c>
      <c r="S179" s="275">
        <f>L179-Q179</f>
        <v>92644.409999999989</v>
      </c>
      <c r="T179" s="290"/>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2"/>
        <v>Service% profit / ventes</v>
      </c>
      <c r="B180" s="41" t="s">
        <v>157</v>
      </c>
      <c r="C180" s="252" t="s">
        <v>161</v>
      </c>
      <c r="D180" s="357"/>
      <c r="E180" s="347"/>
      <c r="F180" s="360" t="e">
        <f>F179/E179</f>
        <v>#DIV/0!</v>
      </c>
      <c r="G180" s="252"/>
      <c r="H180" s="347"/>
      <c r="I180" s="360"/>
      <c r="J180" s="276"/>
      <c r="K180" s="347"/>
      <c r="L180" s="360">
        <f>IF(L179=0,0,L179/K179)</f>
        <v>0.79736367830179256</v>
      </c>
      <c r="M180" s="291"/>
      <c r="N180" s="275" t="e">
        <f>L180-F180</f>
        <v>#DIV/0!</v>
      </c>
      <c r="O180" s="276"/>
      <c r="P180" s="347"/>
      <c r="Q180" s="360">
        <f>IF(Q179=0,0,Q179/P179)</f>
        <v>0</v>
      </c>
      <c r="R180" s="276">
        <f>O180-K180</f>
        <v>0</v>
      </c>
      <c r="S180" s="275"/>
      <c r="T180" s="290"/>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2"/>
        <v>Service</v>
      </c>
      <c r="B181" s="41" t="s">
        <v>157</v>
      </c>
      <c r="C181" s="252"/>
      <c r="D181" s="357"/>
      <c r="E181" s="401"/>
      <c r="F181" s="362"/>
      <c r="G181" s="252"/>
      <c r="H181" s="401"/>
      <c r="I181" s="362"/>
      <c r="J181" s="276"/>
      <c r="K181" s="557">
        <f>IFERROR(K179/J179,0)</f>
        <v>160.92576177285318</v>
      </c>
      <c r="L181" s="360"/>
      <c r="M181" s="291"/>
      <c r="N181" s="275"/>
      <c r="O181" s="276"/>
      <c r="P181" s="557">
        <f>IFERROR(P179/O179,0)</f>
        <v>0</v>
      </c>
      <c r="Q181" s="360"/>
      <c r="R181" s="363"/>
      <c r="S181" s="275"/>
      <c r="T181" s="290"/>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2"/>
        <v>ServiceM/O Esthétique</v>
      </c>
      <c r="B182" s="41" t="s">
        <v>157</v>
      </c>
      <c r="C182" s="240" t="s">
        <v>164</v>
      </c>
      <c r="D182" s="828" cm="1">
        <f t="array" ref="D182">+SUMPRODUCT(('Budget original'!$A$8:$A$501=$A182)*('Budget original'!$C$3:$AO$3=D$2),'Budget original'!$C$8:$AO$501)</f>
        <v>0</v>
      </c>
      <c r="E182" s="290" cm="1">
        <f t="array" ref="E182">+SUMPRODUCT(('Budget original'!$A$8:$A$501=$A182)*('Budget original'!$C$3:$AO$3=E$2),'Budget original'!$C$8:$AO$501)</f>
        <v>0</v>
      </c>
      <c r="F182" s="290" cm="1">
        <f t="array" ref="F182">+SUMPRODUCT(('Budget original'!$A$8:$A$501=$A182)*('Budget original'!$C$3:$AO$3=F$2),'Budget original'!$C$8:$AO$501)</f>
        <v>0</v>
      </c>
      <c r="G182" s="240"/>
      <c r="H182" s="290"/>
      <c r="I182" s="290"/>
      <c r="J182" s="365">
        <f>SUMIFS(BV_Data_An_Cour!$AX:$AX,BV_Data_An_Cour!$AP:$AP,$B182,BV_Data_An_Cour!$AQ:$AQ,$C182,BV_Data_An_Cour!$AY:$AY,J$2)</f>
        <v>0</v>
      </c>
      <c r="K182" s="270">
        <f>-SUMIFS(BV_Data_An_Cour!$AN:$AN,BV_Data_An_Cour!$AS:$AS,"Oui",BV_Data_An_Cour!$AP:$AP,$B182,BV_Data_An_Cour!$AQ:$AQ,$C182)</f>
        <v>0</v>
      </c>
      <c r="L182" s="271">
        <f>-SUMIFS(BV_Data_An_Cour!$AN:$AN,BV_Data_An_Cour!$AP:$AP,$B182,BV_Data_An_Cour!$AQ:$AQ,$C182,BV_Data_An_Cour!$AR:$AR,$L$2)</f>
        <v>0</v>
      </c>
      <c r="M182" s="369">
        <f>IF(E182=0,0,(K182-E182)/E182)</f>
        <v>0</v>
      </c>
      <c r="N182" s="315">
        <f>L182-F182</f>
        <v>0</v>
      </c>
      <c r="O182" s="365">
        <f>SUMIFS(BV_Data_An_Prec!$AX:$AX,BV_Data_An_Prec!$AP:$AP,$B182,BV_Data_An_Prec!$AQ:$AQ,$C182,BV_Data_An_Prec!$AY:$AY,O$2)</f>
        <v>0</v>
      </c>
      <c r="P182" s="270">
        <f>-SUMIFS(BV_Data_An_Prec!$AN:$AN,BV_Data_An_Prec!$AS:$AS,"Oui",BV_Data_An_Prec!$AP:$AP,$B182,BV_Data_An_Prec!$AQ:$AQ,$C182)</f>
        <v>0</v>
      </c>
      <c r="Q182" s="271">
        <f>-SUMIFS(BV_Data_An_Prec!$AN:$AN,BV_Data_An_Prec!$AP:$AP,$B182,BV_Data_An_Prec!$AQ:$AQ,$C182,BV_Data_An_Prec!$AR:$AR,$L$2)</f>
        <v>0</v>
      </c>
      <c r="R182" s="291">
        <f>IF(O182=0,0,J182/O182)</f>
        <v>0</v>
      </c>
      <c r="S182" s="315">
        <f>L182-Q182</f>
        <v>0</v>
      </c>
      <c r="T182" s="290"/>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2"/>
        <v>Service% profit / ventes</v>
      </c>
      <c r="B183" s="41" t="s">
        <v>157</v>
      </c>
      <c r="C183" s="252" t="s">
        <v>161</v>
      </c>
      <c r="D183" s="11"/>
      <c r="E183" s="370"/>
      <c r="F183" s="360">
        <f>IFERROR(F182/E182,0)</f>
        <v>0</v>
      </c>
      <c r="G183" s="269"/>
      <c r="H183" s="370"/>
      <c r="I183" s="360"/>
      <c r="J183" s="371"/>
      <c r="K183" s="370">
        <f>IF(J183&lt;=0,0,L183/J183)</f>
        <v>0</v>
      </c>
      <c r="L183" s="360">
        <f>IF(L182=0,0,L182/K182)</f>
        <v>0</v>
      </c>
      <c r="M183" s="276">
        <f>J183-D183</f>
        <v>0</v>
      </c>
      <c r="N183" s="372"/>
      <c r="O183" s="371"/>
      <c r="P183" s="370">
        <f>IF(O183&lt;=0,0,Q183/O183)</f>
        <v>0</v>
      </c>
      <c r="Q183" s="360">
        <f>IF(Q182=0,0,Q182/P182)</f>
        <v>0</v>
      </c>
      <c r="R183" s="252"/>
      <c r="S183" s="372"/>
      <c r="T183" s="317"/>
      <c r="U183" s="41"/>
      <c r="V183" s="41"/>
      <c r="W183" s="41"/>
      <c r="X183" s="41"/>
      <c r="Y183" s="41"/>
      <c r="Z183" s="41"/>
      <c r="AA183" s="41"/>
      <c r="AB183" s="41"/>
      <c r="AC183" s="41"/>
      <c r="AD183" s="41"/>
      <c r="AE183" s="41"/>
      <c r="AF183" s="41"/>
      <c r="AG183" s="41"/>
      <c r="AH183" s="41"/>
      <c r="AI183" s="41"/>
      <c r="AJ183" s="41"/>
      <c r="AK183" s="41"/>
      <c r="AL183" s="41"/>
      <c r="AM183" s="41"/>
      <c r="AN183" s="41"/>
    </row>
    <row r="184" spans="1:40" ht="15.75" customHeight="1">
      <c r="A184" s="5" t="str">
        <f t="shared" si="52"/>
        <v>Service</v>
      </c>
      <c r="B184" s="41" t="s">
        <v>157</v>
      </c>
      <c r="C184" s="245"/>
      <c r="D184" s="373"/>
      <c r="E184" s="374"/>
      <c r="F184" s="362"/>
      <c r="G184" s="265"/>
      <c r="H184" s="374"/>
      <c r="I184" s="362"/>
      <c r="J184" s="375"/>
      <c r="K184" s="249"/>
      <c r="L184" s="362"/>
      <c r="M184" s="363"/>
      <c r="N184" s="376"/>
      <c r="O184" s="375"/>
      <c r="P184" s="249"/>
      <c r="Q184" s="362"/>
      <c r="R184" s="245"/>
      <c r="S184" s="376"/>
      <c r="T184" s="317"/>
      <c r="U184" s="41"/>
      <c r="V184" s="41"/>
      <c r="W184" s="41"/>
      <c r="X184" s="41"/>
      <c r="Y184" s="41"/>
      <c r="Z184" s="41"/>
      <c r="AA184" s="41"/>
      <c r="AB184" s="41"/>
      <c r="AC184" s="41"/>
      <c r="AD184" s="41"/>
      <c r="AE184" s="41"/>
      <c r="AF184" s="41"/>
      <c r="AG184" s="41"/>
      <c r="AH184" s="41"/>
      <c r="AI184" s="41"/>
      <c r="AJ184" s="41"/>
      <c r="AK184" s="41"/>
      <c r="AL184" s="41"/>
      <c r="AM184" s="41"/>
      <c r="AN184" s="41"/>
    </row>
    <row r="185" spans="1:40" ht="26.25" customHeight="1" thickBot="1">
      <c r="A185" s="5" t="str">
        <f t="shared" si="52"/>
        <v>ServiceAjustement M/O</v>
      </c>
      <c r="B185" s="41" t="s">
        <v>157</v>
      </c>
      <c r="C185" s="252" t="s">
        <v>165</v>
      </c>
      <c r="D185" s="41"/>
      <c r="E185" s="41"/>
      <c r="F185" s="275" cm="1">
        <f t="array" ref="F185">+SUMPRODUCT(('Budget original'!$A$8:$A$501=$A185)*('Budget original'!$C$3:$AO$3=F$2),'Budget original'!$C$8:$AO$501)</f>
        <v>0</v>
      </c>
      <c r="G185" s="252"/>
      <c r="H185" s="290"/>
      <c r="I185" s="290"/>
      <c r="J185" s="276"/>
      <c r="K185" s="290"/>
      <c r="L185" s="290">
        <f>-SUMIFS(BV_Data_An_Cour!$AN:$AN,BV_Data_An_Cour!$AP:$AP,$B185,BV_Data_An_Cour!$AQ:$AQ,$C185,BV_Data_An_Cour!$AR:$AR,$L$2)</f>
        <v>-7500.9</v>
      </c>
      <c r="M185" s="371"/>
      <c r="N185" s="275">
        <f>L185-F185</f>
        <v>-7500.9</v>
      </c>
      <c r="O185" s="276"/>
      <c r="P185" s="290"/>
      <c r="Q185" s="290">
        <f>-SUMIFS(BV_Data_An_Prec!$AN:$AN,BV_Data_An_Prec!$AP:$AP,$B185,BV_Data_An_Prec!$AQ:$AQ,$C185,BV_Data_An_Prec!$AR:$AR,$L$2)</f>
        <v>0</v>
      </c>
      <c r="R185" s="377"/>
      <c r="S185" s="275">
        <f t="shared" ref="S185:S186" si="53">L185-Q185</f>
        <v>-7500.9</v>
      </c>
      <c r="T185" s="41"/>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thickTop="1">
      <c r="A186" s="5" t="str">
        <f t="shared" si="52"/>
        <v>ServiceSous-total M/O</v>
      </c>
      <c r="B186" s="41" t="s">
        <v>157</v>
      </c>
      <c r="C186" s="378" t="s">
        <v>166</v>
      </c>
      <c r="D186" s="379">
        <f t="shared" ref="D186" si="54">D173+D176+D179+D182+D185</f>
        <v>0</v>
      </c>
      <c r="E186" s="379">
        <f>E173+E176+E179+E182+E185</f>
        <v>0</v>
      </c>
      <c r="F186" s="380">
        <f t="shared" ref="F186" si="55">F173+F176+F179+F182+F185</f>
        <v>0</v>
      </c>
      <c r="G186" s="381"/>
      <c r="H186" s="379"/>
      <c r="I186" s="380"/>
      <c r="J186" s="381">
        <f t="shared" ref="J186:L186" si="56">J173+J176+J179+J182+J185</f>
        <v>6126</v>
      </c>
      <c r="K186" s="379">
        <f t="shared" si="56"/>
        <v>914712.43</v>
      </c>
      <c r="L186" s="380">
        <f t="shared" si="56"/>
        <v>699854.09</v>
      </c>
      <c r="M186" s="382" t="e">
        <f>(K186-E186)/E186</f>
        <v>#DIV/0!</v>
      </c>
      <c r="N186" s="380">
        <f>L186-F186</f>
        <v>699854.09</v>
      </c>
      <c r="O186" s="381">
        <f t="shared" ref="O186:Q186" si="57">O173+O176+O179+O182+O185</f>
        <v>0</v>
      </c>
      <c r="P186" s="379">
        <f t="shared" si="57"/>
        <v>0</v>
      </c>
      <c r="Q186" s="380">
        <f t="shared" si="57"/>
        <v>0</v>
      </c>
      <c r="R186" s="263">
        <f>IF(O186=0,0,J186/O186)</f>
        <v>0</v>
      </c>
      <c r="S186" s="380">
        <f t="shared" si="53"/>
        <v>699854.09</v>
      </c>
      <c r="T186" s="317"/>
      <c r="U186" s="41"/>
      <c r="V186" s="290"/>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2"/>
        <v>Service% protit / ventes</v>
      </c>
      <c r="B187" s="41" t="s">
        <v>157</v>
      </c>
      <c r="C187" s="383" t="s">
        <v>167</v>
      </c>
      <c r="D187" s="384"/>
      <c r="E187" s="384">
        <f>IF(D186=0,0,E186/D186)</f>
        <v>0</v>
      </c>
      <c r="F187" s="386" t="e">
        <f>F186/E186</f>
        <v>#DIV/0!</v>
      </c>
      <c r="G187" s="387"/>
      <c r="H187" s="558"/>
      <c r="I187" s="264"/>
      <c r="J187" s="387"/>
      <c r="K187" s="558">
        <f>IF(J186=0,0,K186/J186)</f>
        <v>149.31642670584395</v>
      </c>
      <c r="L187" s="264">
        <f>IF(L186=0,0,L186/K186)</f>
        <v>0.76510831934359957</v>
      </c>
      <c r="M187" s="387"/>
      <c r="N187" s="386" t="e">
        <f>N186/F186</f>
        <v>#DIV/0!</v>
      </c>
      <c r="O187" s="387"/>
      <c r="P187" s="558">
        <f>IF(O186=0,0,P186/O186)</f>
        <v>0</v>
      </c>
      <c r="Q187" s="264">
        <f>IF(Q186=0,0,Q186/P186)</f>
        <v>0</v>
      </c>
      <c r="R187" s="387"/>
      <c r="S187" s="264">
        <f>IF(Q186=0,0,(S186/Q186))</f>
        <v>0</v>
      </c>
      <c r="T187" s="317"/>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2"/>
        <v>Service</v>
      </c>
      <c r="B188" s="41" t="s">
        <v>157</v>
      </c>
      <c r="C188" s="258"/>
      <c r="D188" s="388"/>
      <c r="E188" s="389"/>
      <c r="F188" s="390"/>
      <c r="G188" s="391"/>
      <c r="H188" s="389"/>
      <c r="I188" s="390"/>
      <c r="J188" s="391"/>
      <c r="K188" s="389"/>
      <c r="L188" s="390"/>
      <c r="M188" s="391"/>
      <c r="N188" s="390"/>
      <c r="O188" s="391"/>
      <c r="P188" s="389"/>
      <c r="Q188" s="390"/>
      <c r="R188" s="391"/>
      <c r="S188" s="390"/>
      <c r="T188" s="317"/>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2"/>
        <v>ServiceSous-traitement</v>
      </c>
      <c r="B189" s="41" t="s">
        <v>157</v>
      </c>
      <c r="C189" s="252" t="s">
        <v>168</v>
      </c>
      <c r="D189" s="290"/>
      <c r="E189" s="290" cm="1">
        <f t="array" ref="E189">+SUMPRODUCT(('Budget original'!$A$8:$A$501=$A189)*('Budget original'!$C$3:$AO$3=E$2),'Budget original'!$C$8:$AO$501)</f>
        <v>0</v>
      </c>
      <c r="F189" s="290" cm="1">
        <f t="array" ref="F189">+SUMPRODUCT(('Budget original'!$A$8:$A$501=$A189)*('Budget original'!$C$3:$AO$3=F$2),'Budget original'!$C$8:$AO$501)</f>
        <v>0</v>
      </c>
      <c r="G189" s="276"/>
      <c r="H189" s="290"/>
      <c r="I189" s="290"/>
      <c r="J189" s="254">
        <f>SUMIFS(BV_Data_An_Cour!$AX:$AX,BV_Data_An_Cour!$AP:$AP,$B189,BV_Data_An_Cour!$AQ:$AQ,$C189,BV_Data_An_Cour!$AY:$AY,J$2)</f>
        <v>1441</v>
      </c>
      <c r="K189" s="253">
        <f>-SUMIFS(BV_Data_An_Cour!$AN:$AN,BV_Data_An_Cour!$AS:$AS,"Oui",BV_Data_An_Cour!$AP:$AP,$B189,BV_Data_An_Cour!$AQ:$AQ,$C189)</f>
        <v>226202.53</v>
      </c>
      <c r="L189" s="255">
        <f>-SUMIFS(BV_Data_An_Cour!$AN:$AN,BV_Data_An_Cour!$AP:$AP,$B189,BV_Data_An_Cour!$AQ:$AQ,$C189,BV_Data_An_Cour!$AR:$AR,$L$2)</f>
        <v>28283.579999999987</v>
      </c>
      <c r="M189" s="291">
        <f>IF(E189=0,0,(K189-E189)/E189)</f>
        <v>0</v>
      </c>
      <c r="N189" s="275">
        <f>L189-F189</f>
        <v>28283.579999999987</v>
      </c>
      <c r="O189" s="254">
        <f>SUMIFS(BV_Data_An_Prec!$AX:$AX,BV_Data_An_Prec!$AP:$AP,$B189,BV_Data_An_Prec!$AQ:$AQ,$C189,BV_Data_An_Prec!$AY:$AY,O$2)</f>
        <v>0</v>
      </c>
      <c r="P189" s="253">
        <f>-SUMIFS(BV_Data_An_Prec!$AN:$AN,BV_Data_An_Prec!$AS:$AS,"Oui",BV_Data_An_Prec!$AP:$AP,$B189,BV_Data_An_Prec!$AQ:$AQ,$C189)</f>
        <v>0</v>
      </c>
      <c r="Q189" s="255">
        <f>-SUMIFS(BV_Data_An_Prec!$AN:$AN,BV_Data_An_Prec!$AP:$AP,$B189,BV_Data_An_Prec!$AQ:$AQ,$C189,BV_Data_An_Prec!$AR:$AR,$L$2)</f>
        <v>0</v>
      </c>
      <c r="R189" s="291">
        <f>IF(O189=0,0,J189/O189)</f>
        <v>0</v>
      </c>
      <c r="S189" s="275">
        <f>L189-Q189</f>
        <v>28283.579999999987</v>
      </c>
      <c r="T189" s="317"/>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2"/>
        <v>Service% profit / ventes</v>
      </c>
      <c r="B190" s="41" t="s">
        <v>157</v>
      </c>
      <c r="C190" s="252" t="s">
        <v>161</v>
      </c>
      <c r="D190" s="41"/>
      <c r="E190" s="347"/>
      <c r="F190" s="360">
        <f>IFERROR(F189/E189,0)</f>
        <v>0</v>
      </c>
      <c r="G190" s="252"/>
      <c r="H190" s="347"/>
      <c r="I190" s="360"/>
      <c r="J190" s="371"/>
      <c r="K190" s="370"/>
      <c r="L190" s="360">
        <f>IF(L189=0,0,L189/K189)</f>
        <v>0.12503653252684657</v>
      </c>
      <c r="M190" s="371"/>
      <c r="N190" s="372"/>
      <c r="O190" s="371"/>
      <c r="P190" s="370"/>
      <c r="Q190" s="360">
        <f>IF(Q189=0,0,Q189/P189)</f>
        <v>0</v>
      </c>
      <c r="R190" s="371"/>
      <c r="S190" s="372"/>
      <c r="T190" s="317"/>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2"/>
        <v>Service</v>
      </c>
      <c r="B191" s="41" t="s">
        <v>157</v>
      </c>
      <c r="C191" s="252"/>
      <c r="D191" s="41"/>
      <c r="E191" s="347"/>
      <c r="F191" s="360"/>
      <c r="G191" s="252"/>
      <c r="H191" s="347"/>
      <c r="I191" s="360"/>
      <c r="J191" s="371"/>
      <c r="K191" s="370"/>
      <c r="L191" s="360"/>
      <c r="M191" s="371"/>
      <c r="N191" s="372"/>
      <c r="O191" s="371"/>
      <c r="P191" s="370"/>
      <c r="Q191" s="360"/>
      <c r="R191" s="371"/>
      <c r="S191" s="372"/>
      <c r="T191" s="317"/>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2"/>
        <v>ServiceM.O. Recond. MCPA</v>
      </c>
      <c r="B192" s="41" t="s">
        <v>157</v>
      </c>
      <c r="C192" s="252" t="s">
        <v>169</v>
      </c>
      <c r="D192" s="41"/>
      <c r="E192" s="290" cm="1">
        <f t="array" ref="E192">+SUMPRODUCT(('Budget original'!$A$8:$A$501=$A192)*('Budget original'!$C$3:$AO$3=E$2),'Budget original'!$C$8:$AO$501)</f>
        <v>0</v>
      </c>
      <c r="F192" s="290" cm="1">
        <f t="array" ref="F192">+SUMPRODUCT(('Budget original'!$A$8:$A$501=$A192)*('Budget original'!$C$3:$AO$3=F$2),'Budget original'!$C$8:$AO$501)</f>
        <v>0</v>
      </c>
      <c r="G192" s="252"/>
      <c r="H192" s="290"/>
      <c r="I192" s="290"/>
      <c r="J192" s="371"/>
      <c r="K192" s="253">
        <f>-SUMIFS(BV_Data_An_Cour!$AN:$AN,BV_Data_An_Cour!$AS:$AS,"Oui",BV_Data_An_Cour!$AP:$AP,$B192,BV_Data_An_Cour!$AQ:$AQ,$C192)</f>
        <v>0</v>
      </c>
      <c r="L192" s="255">
        <f>-SUMIFS(BV_Data_An_Cour!$AN:$AN,BV_Data_An_Cour!$AP:$AP,$B192,BV_Data_An_Cour!$AQ:$AQ,$C192,BV_Data_An_Cour!$AR:$AR,$L$2)</f>
        <v>0</v>
      </c>
      <c r="M192" s="371"/>
      <c r="N192" s="372"/>
      <c r="O192" s="371"/>
      <c r="P192" s="253">
        <f>-SUMIFS(BV_Data_An_Prec!$AN:$AN,BV_Data_An_Prec!$AS:$AS,"Oui",BV_Data_An_Prec!$AP:$AP,$B192,BV_Data_An_Prec!$AQ:$AQ,$C192)</f>
        <v>0</v>
      </c>
      <c r="Q192" s="255">
        <f>-SUMIFS(BV_Data_An_Prec!$AN:$AN,BV_Data_An_Prec!$AP:$AP,$B192,BV_Data_An_Prec!$AQ:$AQ,$C192,BV_Data_An_Prec!$AR:$AR,$L$2)</f>
        <v>0</v>
      </c>
      <c r="R192" s="371"/>
      <c r="S192" s="372"/>
      <c r="T192" s="317"/>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2"/>
        <v>Service% profit / ventes</v>
      </c>
      <c r="B193" s="41" t="s">
        <v>157</v>
      </c>
      <c r="C193" s="252" t="s">
        <v>161</v>
      </c>
      <c r="D193" s="41"/>
      <c r="E193" s="347"/>
      <c r="F193" s="360">
        <f>IF(F192=0,0,F192/E192)</f>
        <v>0</v>
      </c>
      <c r="G193" s="252"/>
      <c r="H193" s="347"/>
      <c r="I193" s="360"/>
      <c r="J193" s="371"/>
      <c r="K193" s="370"/>
      <c r="L193" s="360">
        <f>IF(L192=0,0,L192/K192)</f>
        <v>0</v>
      </c>
      <c r="M193" s="371"/>
      <c r="N193" s="372"/>
      <c r="O193" s="371"/>
      <c r="P193" s="370"/>
      <c r="Q193" s="360">
        <f>IF(Q192=0,0,Q192/P192)</f>
        <v>0</v>
      </c>
      <c r="R193" s="371"/>
      <c r="S193" s="372"/>
      <c r="T193" s="317"/>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thickBot="1">
      <c r="A194" s="5" t="str">
        <f t="shared" si="52"/>
        <v>Service</v>
      </c>
      <c r="B194" s="41" t="s">
        <v>157</v>
      </c>
      <c r="C194" s="392"/>
      <c r="D194" s="393"/>
      <c r="E194" s="394"/>
      <c r="F194" s="395"/>
      <c r="G194" s="396"/>
      <c r="H194" s="394"/>
      <c r="I194" s="395"/>
      <c r="J194" s="396"/>
      <c r="K194" s="394"/>
      <c r="L194" s="395"/>
      <c r="M194" s="396"/>
      <c r="N194" s="395"/>
      <c r="O194" s="396"/>
      <c r="P194" s="394"/>
      <c r="Q194" s="395"/>
      <c r="R194" s="396"/>
      <c r="S194" s="395"/>
      <c r="T194" s="317"/>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thickTop="1">
      <c r="A195" s="5" t="str">
        <f t="shared" si="52"/>
        <v>ServiceTotal Mécanique</v>
      </c>
      <c r="B195" s="41" t="s">
        <v>157</v>
      </c>
      <c r="C195" s="277" t="s">
        <v>170</v>
      </c>
      <c r="D195" s="278"/>
      <c r="E195" s="278">
        <f t="shared" ref="E195:F195" si="58">E186+E189+E192</f>
        <v>0</v>
      </c>
      <c r="F195" s="280">
        <f t="shared" si="58"/>
        <v>0</v>
      </c>
      <c r="G195" s="281"/>
      <c r="H195" s="278"/>
      <c r="I195" s="280"/>
      <c r="J195" s="281"/>
      <c r="K195" s="278">
        <f t="shared" ref="K195:L195" si="59">K186+K189+K192</f>
        <v>1140914.96</v>
      </c>
      <c r="L195" s="280">
        <f t="shared" si="59"/>
        <v>728137.66999999993</v>
      </c>
      <c r="M195" s="397" t="e">
        <f>L196-F196</f>
        <v>#DIV/0!</v>
      </c>
      <c r="N195" s="280">
        <f>L195-F195</f>
        <v>728137.66999999993</v>
      </c>
      <c r="O195" s="281"/>
      <c r="P195" s="278">
        <f t="shared" ref="P195:Q195" si="60">P186+P189+P192</f>
        <v>0</v>
      </c>
      <c r="Q195" s="280">
        <f t="shared" si="60"/>
        <v>0</v>
      </c>
      <c r="R195" s="397" t="e">
        <f>L196-Q196</f>
        <v>#DIV/0!</v>
      </c>
      <c r="S195" s="280">
        <f>L195-Q195</f>
        <v>728137.66999999993</v>
      </c>
      <c r="T195" s="317"/>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thickBot="1">
      <c r="A196" s="5" t="str">
        <f t="shared" si="52"/>
        <v>Service</v>
      </c>
      <c r="B196" s="41" t="s">
        <v>157</v>
      </c>
      <c r="C196" s="282"/>
      <c r="D196" s="283"/>
      <c r="E196" s="283"/>
      <c r="F196" s="286" t="e">
        <f>F195/E195</f>
        <v>#DIV/0!</v>
      </c>
      <c r="G196" s="282"/>
      <c r="H196" s="283"/>
      <c r="I196" s="286"/>
      <c r="J196" s="282"/>
      <c r="K196" s="283"/>
      <c r="L196" s="286">
        <f>L195/K195</f>
        <v>0.63820503326558187</v>
      </c>
      <c r="M196" s="285"/>
      <c r="N196" s="286" t="e">
        <f>N195/F195</f>
        <v>#DIV/0!</v>
      </c>
      <c r="O196" s="282"/>
      <c r="P196" s="283"/>
      <c r="Q196" s="286" t="e">
        <f>Q195/P195</f>
        <v>#DIV/0!</v>
      </c>
      <c r="R196" s="285"/>
      <c r="S196" s="286">
        <f>L195/S195</f>
        <v>1</v>
      </c>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thickTop="1">
      <c r="A197" s="5" t="str">
        <f t="shared" si="52"/>
        <v>Service</v>
      </c>
      <c r="B197" s="41" t="s">
        <v>157</v>
      </c>
      <c r="C197" s="269"/>
      <c r="D197" s="11"/>
      <c r="E197" s="11"/>
      <c r="F197" s="264"/>
      <c r="G197" s="269"/>
      <c r="H197" s="11"/>
      <c r="I197" s="264"/>
      <c r="J197" s="269"/>
      <c r="K197" s="11"/>
      <c r="L197" s="264"/>
      <c r="M197" s="263"/>
      <c r="N197" s="264"/>
      <c r="O197" s="269"/>
      <c r="P197" s="11"/>
      <c r="Q197" s="264"/>
      <c r="R197" s="263"/>
      <c r="S197" s="264"/>
      <c r="T197" s="1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2"/>
        <v>ServiceDEPENSES</v>
      </c>
      <c r="B198" s="41" t="s">
        <v>157</v>
      </c>
      <c r="C198" s="288" t="s">
        <v>106</v>
      </c>
      <c r="D198" s="41"/>
      <c r="E198" s="41"/>
      <c r="F198" s="275"/>
      <c r="G198" s="252"/>
      <c r="H198" s="41"/>
      <c r="I198" s="275"/>
      <c r="J198" s="252"/>
      <c r="K198" s="41"/>
      <c r="L198" s="262"/>
      <c r="M198" s="252"/>
      <c r="N198" s="262"/>
      <c r="O198" s="252"/>
      <c r="P198" s="41"/>
      <c r="Q198" s="262"/>
      <c r="R198" s="252"/>
      <c r="S198" s="262"/>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2"/>
        <v>ServiceSalaires cadres</v>
      </c>
      <c r="B199" s="41" t="s">
        <v>157</v>
      </c>
      <c r="C199" s="310" t="s">
        <v>116</v>
      </c>
      <c r="D199" s="41"/>
      <c r="E199" s="41"/>
      <c r="F199" s="253" cm="1">
        <f t="array" ref="F199">+SUMPRODUCT(('Budget original'!$A$8:$A$501=$A199)*('Budget original'!$C$3:$AO$3=F$2),'Budget original'!$C$8:$AO$501)</f>
        <v>0</v>
      </c>
      <c r="G199" s="252"/>
      <c r="H199" s="41"/>
      <c r="I199" s="253"/>
      <c r="J199" s="252"/>
      <c r="K199" s="41"/>
      <c r="L199" s="255">
        <f>SUMIFS(BV_Data_An_Cour!$AN:$AN,BV_Data_An_Cour!$AP:$AP,$B199,BV_Data_An_Cour!$AQ:$AQ,$C199,BV_Data_An_Cour!$AR:$AR,$L$2)</f>
        <v>34753.879999999997</v>
      </c>
      <c r="M199" s="252"/>
      <c r="N199" s="275">
        <f t="shared" ref="N199:N230" si="61">L199-F199</f>
        <v>34753.879999999997</v>
      </c>
      <c r="O199" s="252"/>
      <c r="P199" s="41"/>
      <c r="Q199" s="255">
        <f>SUMIFS(BV_Data_An_Prec!$AN:$AN,BV_Data_An_Prec!$AP:$AP,$B199,BV_Data_An_Prec!$AQ:$AQ,$C199,BV_Data_An_Prec!$AR:$AR,$L$2)</f>
        <v>0</v>
      </c>
      <c r="R199" s="252"/>
      <c r="S199" s="255">
        <f t="shared" ref="S199:S230" si="62">L199-Q199</f>
        <v>34753.879999999997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2"/>
        <v>ServiceSalaires commis</v>
      </c>
      <c r="B200" s="41" t="s">
        <v>157</v>
      </c>
      <c r="C200" s="311" t="s">
        <v>117</v>
      </c>
      <c r="D200" s="296"/>
      <c r="E200" s="41"/>
      <c r="F200" s="247" cm="1">
        <f t="array" ref="F200">+SUMPRODUCT(('Budget original'!$A$8:$A$501=$A200)*('Budget original'!$C$3:$AO$3=F$2),'Budget original'!$C$8:$AO$501)</f>
        <v>0</v>
      </c>
      <c r="G200" s="297"/>
      <c r="H200" s="41"/>
      <c r="I200" s="247"/>
      <c r="J200" s="252"/>
      <c r="K200" s="41"/>
      <c r="L200" s="255">
        <f>SUMIFS(BV_Data_An_Cour!$AN:$AN,BV_Data_An_Cour!$AP:$AP,$B200,BV_Data_An_Cour!$AQ:$AQ,$C200,BV_Data_An_Cour!$AR:$AR,$L$2)</f>
        <v>0</v>
      </c>
      <c r="M200" s="252"/>
      <c r="N200" s="275">
        <f t="shared" si="61"/>
        <v>0</v>
      </c>
      <c r="O200" s="252"/>
      <c r="P200" s="41"/>
      <c r="Q200" s="255">
        <f>SUMIFS(BV_Data_An_Prec!$AN:$AN,BV_Data_An_Prec!$AP:$AP,$B200,BV_Data_An_Prec!$AQ:$AQ,$C200,BV_Data_An_Prec!$AR:$AR,$L$2)</f>
        <v>0</v>
      </c>
      <c r="R200" s="252"/>
      <c r="S200" s="275">
        <f t="shared" si="62"/>
        <v>0</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2"/>
        <v>ServiceSalaires autres</v>
      </c>
      <c r="B201" s="41" t="s">
        <v>157</v>
      </c>
      <c r="C201" s="310" t="s">
        <v>118</v>
      </c>
      <c r="D201" s="312"/>
      <c r="E201" s="313"/>
      <c r="F201" s="253" cm="1">
        <f t="array" ref="F201">+SUMPRODUCT(('Budget original'!$A$8:$A$501=$A201)*('Budget original'!$C$3:$AO$3=F$2),'Budget original'!$C$8:$AO$501)</f>
        <v>0</v>
      </c>
      <c r="G201" s="314"/>
      <c r="H201" s="313"/>
      <c r="I201" s="253"/>
      <c r="J201" s="240"/>
      <c r="K201" s="313"/>
      <c r="L201" s="271">
        <f>SUMIFS(BV_Data_An_Cour!$AN:$AN,BV_Data_An_Cour!$AP:$AP,$B201,BV_Data_An_Cour!$AQ:$AQ,$C201,BV_Data_An_Cour!$AR:$AR,$L$2)</f>
        <v>209205.78</v>
      </c>
      <c r="M201" s="240"/>
      <c r="N201" s="315">
        <f t="shared" si="61"/>
        <v>209205.78</v>
      </c>
      <c r="O201" s="240"/>
      <c r="P201" s="313"/>
      <c r="Q201" s="271">
        <f>SUMIFS(BV_Data_An_Prec!$AN:$AN,BV_Data_An_Prec!$AP:$AP,$B201,BV_Data_An_Prec!$AQ:$AQ,$C201,BV_Data_An_Prec!$AR:$AR,$L$2)</f>
        <v>0</v>
      </c>
      <c r="R201" s="240"/>
      <c r="S201" s="315">
        <f t="shared" si="62"/>
        <v>209205.78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customHeight="1">
      <c r="A202" s="5" t="str">
        <f t="shared" si="52"/>
        <v>ServiceSalaires spécialistes</v>
      </c>
      <c r="B202" s="41" t="s">
        <v>157</v>
      </c>
      <c r="C202" s="310" t="s">
        <v>119</v>
      </c>
      <c r="D202" s="296"/>
      <c r="E202" s="41"/>
      <c r="F202" s="253" cm="1">
        <f t="array" ref="F202">+SUMPRODUCT(('Budget original'!$A$8:$A$501=$A202)*('Budget original'!$C$3:$AO$3=F$2),'Budget original'!$C$8:$AO$501)</f>
        <v>0</v>
      </c>
      <c r="G202" s="297"/>
      <c r="H202" s="41"/>
      <c r="I202" s="253"/>
      <c r="J202" s="252"/>
      <c r="K202" s="41"/>
      <c r="L202" s="255">
        <f>SUMIFS(BV_Data_An_Cour!$AN:$AN,BV_Data_An_Cour!$AP:$AP,$B202,BV_Data_An_Cour!$AQ:$AQ,$C202,BV_Data_An_Cour!$AR:$AR,$L$2)</f>
        <v>0</v>
      </c>
      <c r="M202" s="252"/>
      <c r="N202" s="275">
        <f t="shared" si="61"/>
        <v>0</v>
      </c>
      <c r="O202" s="252"/>
      <c r="P202" s="41"/>
      <c r="Q202" s="255">
        <f>SUMIFS(BV_Data_An_Prec!$AN:$AN,BV_Data_An_Prec!$AP:$AP,$B202,BV_Data_An_Prec!$AQ:$AQ,$C202,BV_Data_An_Prec!$AR:$AR,$L$2)</f>
        <v>0</v>
      </c>
      <c r="R202" s="252"/>
      <c r="S202" s="275">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2"/>
        <v>Service[...]</v>
      </c>
      <c r="B203" s="41" t="s">
        <v>157</v>
      </c>
      <c r="C203" s="252" t="s">
        <v>55</v>
      </c>
      <c r="D203" s="296"/>
      <c r="E203" s="41"/>
      <c r="F203" s="253" cm="1">
        <f t="array" ref="F203">+SUMPRODUCT(('Budget original'!$A$8:$A$501=$A203)*('Budget original'!$C$3:$AO$3=F$2),'Budget original'!$C$8:$AO$501)</f>
        <v>0</v>
      </c>
      <c r="G203" s="297"/>
      <c r="H203" s="41"/>
      <c r="I203" s="253"/>
      <c r="J203" s="252"/>
      <c r="K203" s="41"/>
      <c r="L203" s="255">
        <f>SUMIFS(BV_Data_An_Cour!$AN:$AN,BV_Data_An_Cour!$AP:$AP,$B203,BV_Data_An_Cour!$AQ:$AQ,$C203,BV_Data_An_Cour!$AR:$AR,$L$2)</f>
        <v>0</v>
      </c>
      <c r="M203" s="252"/>
      <c r="N203" s="275">
        <f t="shared" si="61"/>
        <v>0</v>
      </c>
      <c r="O203" s="252"/>
      <c r="P203" s="41"/>
      <c r="Q203" s="255">
        <f>SUMIFS(BV_Data_An_Prec!$AN:$AN,BV_Data_An_Prec!$AP:$AP,$B203,BV_Data_An_Prec!$AQ:$AQ,$C203,BV_Data_An_Prec!$AR:$AR,$L$2)</f>
        <v>0</v>
      </c>
      <c r="R203" s="252"/>
      <c r="S203" s="275">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2"/>
        <v>Service[...]</v>
      </c>
      <c r="B204" s="41" t="s">
        <v>157</v>
      </c>
      <c r="C204" s="252" t="s">
        <v>55</v>
      </c>
      <c r="D204" s="296"/>
      <c r="E204" s="41"/>
      <c r="F204" s="253" cm="1">
        <f t="array" ref="F204">+SUMPRODUCT(('Budget original'!$A$8:$A$501=$A204)*('Budget original'!$C$3:$AO$3=F$2),'Budget original'!$C$8:$AO$501)</f>
        <v>0</v>
      </c>
      <c r="G204" s="297"/>
      <c r="H204" s="41"/>
      <c r="I204" s="253"/>
      <c r="J204" s="252"/>
      <c r="K204" s="41"/>
      <c r="L204" s="255">
        <f>SUMIFS(BV_Data_An_Cour!$AN:$AN,BV_Data_An_Cour!$AP:$AP,$B204,BV_Data_An_Cour!$AQ:$AQ,$C204,BV_Data_An_Cour!$AR:$AR,$L$2)</f>
        <v>0</v>
      </c>
      <c r="M204" s="252"/>
      <c r="N204" s="275">
        <f t="shared" si="61"/>
        <v>0</v>
      </c>
      <c r="O204" s="252"/>
      <c r="P204" s="41"/>
      <c r="Q204" s="255">
        <f>SUMIFS(BV_Data_An_Prec!$AN:$AN,BV_Data_An_Prec!$AP:$AP,$B204,BV_Data_An_Prec!$AQ:$AQ,$C204,BV_Data_An_Prec!$AR:$AR,$L$2)</f>
        <v>0</v>
      </c>
      <c r="R204" s="252"/>
      <c r="S204" s="275">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hidden="1" customHeight="1">
      <c r="A205" s="5" t="str">
        <f t="shared" si="52"/>
        <v>Service[...]</v>
      </c>
      <c r="B205" s="41" t="s">
        <v>157</v>
      </c>
      <c r="C205" s="252" t="s">
        <v>55</v>
      </c>
      <c r="D205" s="296"/>
      <c r="E205" s="41"/>
      <c r="F205" s="253" cm="1">
        <f t="array" ref="F205">+SUMPRODUCT(('Budget original'!$A$8:$A$501=$A205)*('Budget original'!$C$3:$AO$3=F$2),'Budget original'!$C$8:$AO$501)</f>
        <v>0</v>
      </c>
      <c r="G205" s="297"/>
      <c r="H205" s="41"/>
      <c r="I205" s="253"/>
      <c r="J205" s="252"/>
      <c r="K205" s="41"/>
      <c r="L205" s="255">
        <f>SUMIFS(BV_Data_An_Cour!$AN:$AN,BV_Data_An_Cour!$AP:$AP,$B205,BV_Data_An_Cour!$AQ:$AQ,$C205,BV_Data_An_Cour!$AR:$AR,$L$2)</f>
        <v>0</v>
      </c>
      <c r="M205" s="252"/>
      <c r="N205" s="275">
        <f t="shared" si="61"/>
        <v>0</v>
      </c>
      <c r="O205" s="252"/>
      <c r="P205" s="41"/>
      <c r="Q205" s="255">
        <f>SUMIFS(BV_Data_An_Prec!$AN:$AN,BV_Data_An_Prec!$AP:$AP,$B205,BV_Data_An_Prec!$AQ:$AQ,$C205,BV_Data_An_Prec!$AR:$AR,$L$2)</f>
        <v>0</v>
      </c>
      <c r="R205" s="252"/>
      <c r="S205" s="275">
        <f t="shared" si="62"/>
        <v>0</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2"/>
        <v>ServiceSalaires en absences</v>
      </c>
      <c r="B206" s="41" t="s">
        <v>157</v>
      </c>
      <c r="C206" s="311" t="s">
        <v>120</v>
      </c>
      <c r="D206" s="296"/>
      <c r="E206" s="41"/>
      <c r="F206" s="253" cm="1">
        <f t="array" ref="F206">+SUMPRODUCT(('Budget original'!$A$8:$A$501=$A206)*('Budget original'!$C$3:$AO$3=F$2),'Budget original'!$C$8:$AO$501)</f>
        <v>0</v>
      </c>
      <c r="G206" s="297"/>
      <c r="H206" s="41"/>
      <c r="I206" s="253"/>
      <c r="J206" s="252"/>
      <c r="K206" s="41"/>
      <c r="L206" s="255">
        <f>SUMIFS(BV_Data_An_Cour!$AN:$AN,BV_Data_An_Cour!$AP:$AP,$B206,BV_Data_An_Cour!$AQ:$AQ,$C206,BV_Data_An_Cour!$AR:$AR,$L$2)</f>
        <v>53072.37</v>
      </c>
      <c r="M206" s="252"/>
      <c r="N206" s="275">
        <f t="shared" si="61"/>
        <v>53072.37</v>
      </c>
      <c r="O206" s="252"/>
      <c r="P206" s="41"/>
      <c r="Q206" s="255">
        <f>SUMIFS(BV_Data_An_Prec!$AN:$AN,BV_Data_An_Prec!$AP:$AP,$B206,BV_Data_An_Prec!$AQ:$AQ,$C206,BV_Data_An_Prec!$AR:$AR,$L$2)</f>
        <v>0</v>
      </c>
      <c r="R206" s="252"/>
      <c r="S206" s="275">
        <f t="shared" si="62"/>
        <v>53072.37</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2"/>
        <v>ServiceDéduction à la source</v>
      </c>
      <c r="B207" s="41" t="s">
        <v>157</v>
      </c>
      <c r="C207" s="310" t="s">
        <v>121</v>
      </c>
      <c r="D207" s="312"/>
      <c r="E207" s="313"/>
      <c r="F207" s="271" cm="1">
        <f t="array" ref="F207">+SUMPRODUCT(('Budget original'!$A$8:$A$501=$A207)*('Budget original'!$C$3:$AO$3=F$2),'Budget original'!$C$8:$AO$501)</f>
        <v>0</v>
      </c>
      <c r="G207" s="314"/>
      <c r="H207" s="313"/>
      <c r="I207" s="271"/>
      <c r="J207" s="240"/>
      <c r="K207" s="313"/>
      <c r="L207" s="271">
        <f>SUMIFS(BV_Data_An_Cour!$AN:$AN,BV_Data_An_Cour!$AP:$AP,$B207,BV_Data_An_Cour!$AQ:$AQ,$C207,BV_Data_An_Cour!$AR:$AR,$L$2)</f>
        <v>73590.16</v>
      </c>
      <c r="M207" s="240"/>
      <c r="N207" s="315">
        <f t="shared" si="61"/>
        <v>73590.16</v>
      </c>
      <c r="O207" s="240"/>
      <c r="P207" s="313"/>
      <c r="Q207" s="271">
        <f>SUMIFS(BV_Data_An_Prec!$AN:$AN,BV_Data_An_Prec!$AP:$AP,$B207,BV_Data_An_Prec!$AQ:$AQ,$C207,BV_Data_An_Prec!$AR:$AR,$L$2)</f>
        <v>0</v>
      </c>
      <c r="R207" s="240"/>
      <c r="S207" s="315">
        <f t="shared" si="62"/>
        <v>73590.16</v>
      </c>
      <c r="T207" s="41"/>
      <c r="V207" s="253"/>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2"/>
        <v>ServiceBénéfices marginaux</v>
      </c>
      <c r="B208" s="41" t="s">
        <v>157</v>
      </c>
      <c r="C208" s="310" t="s">
        <v>122</v>
      </c>
      <c r="D208" s="296"/>
      <c r="E208" s="41"/>
      <c r="F208" s="253" cm="1">
        <f t="array" ref="F208">+SUMPRODUCT(('Budget original'!$A$8:$A$501=$A208)*('Budget original'!$C$3:$AO$3=F$2),'Budget original'!$C$8:$AO$501)</f>
        <v>0</v>
      </c>
      <c r="G208" s="297"/>
      <c r="H208" s="41"/>
      <c r="I208" s="253"/>
      <c r="J208" s="252"/>
      <c r="K208" s="41"/>
      <c r="L208" s="255">
        <f>SUMIFS(BV_Data_An_Cour!$AN:$AN,BV_Data_An_Cour!$AP:$AP,$B208,BV_Data_An_Cour!$AQ:$AQ,$C208,BV_Data_An_Cour!$AR:$AR,$L$2)</f>
        <v>6238.83</v>
      </c>
      <c r="M208" s="252"/>
      <c r="N208" s="275">
        <f t="shared" si="61"/>
        <v>6238.83</v>
      </c>
      <c r="O208" s="252"/>
      <c r="P208" s="41"/>
      <c r="Q208" s="255">
        <f>SUMIFS(BV_Data_An_Prec!$AN:$AN,BV_Data_An_Prec!$AP:$AP,$B208,BV_Data_An_Prec!$AQ:$AQ,$C208,BV_Data_An_Prec!$AR:$AR,$L$2)</f>
        <v>0</v>
      </c>
      <c r="R208" s="252"/>
      <c r="S208" s="275">
        <f t="shared" si="62"/>
        <v>6238.83</v>
      </c>
      <c r="T208" s="41"/>
      <c r="V208" s="253"/>
      <c r="W208" s="41"/>
      <c r="X208" s="41"/>
      <c r="Y208" s="41"/>
      <c r="Z208" s="41"/>
      <c r="AA208" s="41"/>
      <c r="AB208" s="41"/>
      <c r="AC208" s="41"/>
      <c r="AD208" s="41"/>
      <c r="AE208" s="41"/>
      <c r="AF208" s="41"/>
      <c r="AG208" s="41"/>
      <c r="AH208" s="41"/>
      <c r="AI208" s="41"/>
      <c r="AJ208" s="41"/>
      <c r="AK208" s="41"/>
      <c r="AL208" s="41"/>
      <c r="AM208" s="41"/>
      <c r="AN208" s="41"/>
    </row>
    <row r="209" spans="1:40" ht="15.75" customHeight="1">
      <c r="A209" s="5" t="str">
        <f t="shared" si="52"/>
        <v>ServiceCsst</v>
      </c>
      <c r="B209" s="41" t="s">
        <v>157</v>
      </c>
      <c r="C209" s="310" t="s">
        <v>123</v>
      </c>
      <c r="D209" s="296"/>
      <c r="E209" s="41"/>
      <c r="F209" s="253" cm="1">
        <f t="array" ref="F209">+SUMPRODUCT(('Budget original'!$A$8:$A$501=$A209)*('Budget original'!$C$3:$AO$3=F$2),'Budget original'!$C$8:$AO$501)</f>
        <v>0</v>
      </c>
      <c r="G209" s="297"/>
      <c r="H209" s="41"/>
      <c r="I209" s="253"/>
      <c r="J209" s="252"/>
      <c r="K209" s="41"/>
      <c r="L209" s="255">
        <f>SUMIFS(BV_Data_An_Cour!$AN:$AN,BV_Data_An_Cour!$AP:$AP,$B209,BV_Data_An_Cour!$AQ:$AQ,$C209,BV_Data_An_Cour!$AR:$AR,$L$2)</f>
        <v>0</v>
      </c>
      <c r="M209" s="252"/>
      <c r="N209" s="275">
        <f t="shared" si="61"/>
        <v>0</v>
      </c>
      <c r="O209" s="252"/>
      <c r="P209" s="41"/>
      <c r="Q209" s="255">
        <f>SUMIFS(BV_Data_An_Prec!$AN:$AN,BV_Data_An_Prec!$AP:$AP,$B209,BV_Data_An_Prec!$AQ:$AQ,$C209,BV_Data_An_Prec!$AR:$AR,$L$2)</f>
        <v>0</v>
      </c>
      <c r="R209" s="252"/>
      <c r="S209" s="275">
        <f t="shared" si="62"/>
        <v>0</v>
      </c>
      <c r="T209" s="41"/>
      <c r="V209" s="253"/>
      <c r="W209" s="41"/>
      <c r="X209" s="41"/>
      <c r="Y209" s="41"/>
      <c r="Z209" s="41"/>
      <c r="AA209" s="41"/>
      <c r="AB209" s="41"/>
      <c r="AC209" s="41"/>
      <c r="AD209" s="41"/>
      <c r="AE209" s="41"/>
      <c r="AF209" s="41"/>
      <c r="AG209" s="41"/>
      <c r="AH209" s="41"/>
      <c r="AI209" s="41"/>
      <c r="AJ209" s="41"/>
      <c r="AK209" s="41"/>
      <c r="AL209" s="41"/>
      <c r="AM209" s="41"/>
      <c r="AN209" s="41"/>
    </row>
    <row r="210" spans="1:40" ht="15.75" hidden="1" customHeight="1">
      <c r="A210" s="5" t="str">
        <f t="shared" si="52"/>
        <v>Service[...]</v>
      </c>
      <c r="B210" s="41" t="s">
        <v>157</v>
      </c>
      <c r="C210" s="252" t="s">
        <v>55</v>
      </c>
      <c r="D210" s="298"/>
      <c r="E210" s="316"/>
      <c r="F210" s="253" cm="1">
        <f t="array" ref="F210">+SUMPRODUCT(('Budget original'!$A$8:$A$501=$A210)*('Budget original'!$C$3:$AO$3=F$2),'Budget original'!$C$8:$AO$501)</f>
        <v>0</v>
      </c>
      <c r="G210" s="299"/>
      <c r="H210" s="316"/>
      <c r="I210" s="253"/>
      <c r="J210" s="245"/>
      <c r="K210" s="316"/>
      <c r="L210" s="255">
        <f>SUMIFS(BV_Data_An_Cour!$AN:$AN,BV_Data_An_Cour!$AP:$AP,$B210,BV_Data_An_Cour!$AQ:$AQ,$C210,BV_Data_An_Cour!$AR:$AR,$L$2)</f>
        <v>0</v>
      </c>
      <c r="M210" s="245"/>
      <c r="N210" s="295">
        <f t="shared" si="61"/>
        <v>0</v>
      </c>
      <c r="O210" s="245"/>
      <c r="P210" s="316"/>
      <c r="Q210" s="255">
        <f>SUMIFS(BV_Data_An_Prec!$AN:$AN,BV_Data_An_Prec!$AP:$AP,$B210,BV_Data_An_Prec!$AQ:$AQ,$C210,BV_Data_An_Prec!$AR:$AR,$L$2)</f>
        <v>0</v>
      </c>
      <c r="R210" s="245"/>
      <c r="S210" s="295">
        <f t="shared" si="62"/>
        <v>0</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2"/>
        <v>ServiceTOTAL PERSONNEL</v>
      </c>
      <c r="B211" s="41" t="s">
        <v>157</v>
      </c>
      <c r="C211" s="303" t="s">
        <v>124</v>
      </c>
      <c r="D211" s="304" t="s">
        <v>171</v>
      </c>
      <c r="E211" s="305" t="e">
        <f>F211/F$195</f>
        <v>#DIV/0!</v>
      </c>
      <c r="F211" s="306">
        <f>+SUM(F199:F210)</f>
        <v>0</v>
      </c>
      <c r="G211" s="307"/>
      <c r="H211" s="305"/>
      <c r="I211" s="306"/>
      <c r="J211" s="307" t="s">
        <v>171</v>
      </c>
      <c r="K211" s="305">
        <f>L211/L$195</f>
        <v>0.51756836038986986</v>
      </c>
      <c r="L211" s="306">
        <f>+SUM(L199:L210)</f>
        <v>376861.02000000008</v>
      </c>
      <c r="M211" s="353"/>
      <c r="N211" s="318">
        <f t="shared" si="61"/>
        <v>376861.02000000008</v>
      </c>
      <c r="O211" s="307" t="s">
        <v>171</v>
      </c>
      <c r="P211" s="305" t="e">
        <f>Q211/Q$195</f>
        <v>#DIV/0!</v>
      </c>
      <c r="Q211" s="306">
        <f>+SUM(Q199:Q210)</f>
        <v>0</v>
      </c>
      <c r="R211" s="353"/>
      <c r="S211" s="318">
        <f t="shared" si="62"/>
        <v>376861.02000000008</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2"/>
        <v>ServicePublicité 2</v>
      </c>
      <c r="B212" s="41" t="s">
        <v>157</v>
      </c>
      <c r="C212" s="252" t="s">
        <v>125</v>
      </c>
      <c r="D212" s="296"/>
      <c r="E212" s="41"/>
      <c r="F212" s="253" cm="1">
        <f t="array" ref="F212">+SUMPRODUCT(('Budget original'!$A$8:$A$501=$A212)*('Budget original'!$C$3:$AO$3=F$2),'Budget original'!$C$8:$AO$501)</f>
        <v>0</v>
      </c>
      <c r="G212" s="297"/>
      <c r="H212" s="41"/>
      <c r="I212" s="253"/>
      <c r="J212" s="252"/>
      <c r="K212" s="41"/>
      <c r="L212" s="255">
        <f>SUMIFS(BV_Data_An_Cour!$AN:$AN,BV_Data_An_Cour!$AP:$AP,$B212,BV_Data_An_Cour!$AQ:$AQ,$C212,BV_Data_An_Cour!$AR:$AR,$L$2)</f>
        <v>2601.9</v>
      </c>
      <c r="M212" s="252"/>
      <c r="N212" s="275">
        <f t="shared" si="61"/>
        <v>2601.9</v>
      </c>
      <c r="O212" s="252"/>
      <c r="P212" s="41"/>
      <c r="Q212" s="255">
        <f>SUMIFS(BV_Data_An_Prec!$AN:$AN,BV_Data_An_Prec!$AP:$AP,$B212,BV_Data_An_Prec!$AQ:$AQ,$C212,BV_Data_An_Prec!$AR:$AR,$L$2)</f>
        <v>0</v>
      </c>
      <c r="R212" s="252"/>
      <c r="S212" s="275">
        <f t="shared" si="62"/>
        <v>2601.9</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2"/>
        <v>ServiceService gratuit 2</v>
      </c>
      <c r="B213" s="41" t="s">
        <v>157</v>
      </c>
      <c r="C213" s="252" t="s">
        <v>126</v>
      </c>
      <c r="D213" s="296"/>
      <c r="E213" s="41"/>
      <c r="F213" s="253" cm="1">
        <f t="array" ref="F213">+SUMPRODUCT(('Budget original'!$A$8:$A$501=$A213)*('Budget original'!$C$3:$AO$3=F$2),'Budget original'!$C$8:$AO$501)</f>
        <v>0</v>
      </c>
      <c r="G213" s="297"/>
      <c r="H213" s="41"/>
      <c r="I213" s="253"/>
      <c r="J213" s="252"/>
      <c r="K213" s="41"/>
      <c r="L213" s="559">
        <f>SUMIFS(BV_Data_An_Cour!$AN:$AN,BV_Data_An_Cour!$AP:$AP,$B213,BV_Data_An_Cour!$AQ:$AQ,$C213,BV_Data_An_Cour!$AR:$AR,$L$2)</f>
        <v>0</v>
      </c>
      <c r="M213" s="252"/>
      <c r="N213" s="275">
        <f t="shared" si="61"/>
        <v>0</v>
      </c>
      <c r="O213" s="252"/>
      <c r="P213" s="41"/>
      <c r="Q213" s="559">
        <f>SUMIFS(BV_Data_An_Prec!$AN:$AN,BV_Data_An_Prec!$AP:$AP,$B213,BV_Data_An_Prec!$AQ:$AQ,$C213,BV_Data_An_Prec!$AR:$AR,$L$2)</f>
        <v>0</v>
      </c>
      <c r="R213" s="252"/>
      <c r="S213" s="275">
        <f t="shared" si="62"/>
        <v>0</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2"/>
        <v>ServiceFrais véhicules de cie</v>
      </c>
      <c r="B214" s="41" t="s">
        <v>157</v>
      </c>
      <c r="C214" s="245" t="s">
        <v>127</v>
      </c>
      <c r="D214" s="298"/>
      <c r="E214" s="316"/>
      <c r="F214" s="247" cm="1">
        <f t="array" ref="F214">+SUMPRODUCT(('Budget original'!$A$8:$A$501=$A214)*('Budget original'!$C$3:$AO$3=F$2),'Budget original'!$C$8:$AO$501)</f>
        <v>0</v>
      </c>
      <c r="G214" s="299"/>
      <c r="H214" s="316"/>
      <c r="I214" s="247"/>
      <c r="J214" s="245"/>
      <c r="K214" s="316"/>
      <c r="L214" s="255">
        <f>SUMIFS(BV_Data_An_Cour!$AN:$AN,BV_Data_An_Cour!$AP:$AP,$B214,BV_Data_An_Cour!$AQ:$AQ,$C214,BV_Data_An_Cour!$AR:$AR,$L$2)</f>
        <v>-13503.649999999998</v>
      </c>
      <c r="M214" s="245"/>
      <c r="N214" s="295">
        <f t="shared" si="61"/>
        <v>-13503.649999999998</v>
      </c>
      <c r="O214" s="245"/>
      <c r="P214" s="316"/>
      <c r="Q214" s="255">
        <f>SUMIFS(BV_Data_An_Prec!$AN:$AN,BV_Data_An_Prec!$AP:$AP,$B214,BV_Data_An_Prec!$AQ:$AQ,$C214,BV_Data_An_Prec!$AR:$AR,$L$2)</f>
        <v>0</v>
      </c>
      <c r="R214" s="245"/>
      <c r="S214" s="295">
        <f t="shared" si="62"/>
        <v>-13503.649999999998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2"/>
        <v>ServiceInformatique</v>
      </c>
      <c r="B215" s="41" t="s">
        <v>157</v>
      </c>
      <c r="C215" s="252" t="s">
        <v>128</v>
      </c>
      <c r="D215" s="296"/>
      <c r="E215" s="41"/>
      <c r="F215" s="253" cm="1">
        <f t="array" ref="F215">+SUMPRODUCT(('Budget original'!$A$8:$A$501=$A215)*('Budget original'!$C$3:$AO$3=F$2),'Budget original'!$C$8:$AO$501)</f>
        <v>0</v>
      </c>
      <c r="G215" s="297"/>
      <c r="H215" s="41"/>
      <c r="I215" s="253"/>
      <c r="J215" s="252"/>
      <c r="K215" s="41"/>
      <c r="L215" s="271">
        <f>SUMIFS(BV_Data_An_Cour!$AN:$AN,BV_Data_An_Cour!$AP:$AP,$B215,BV_Data_An_Cour!$AQ:$AQ,$C215,BV_Data_An_Cour!$AR:$AR,$L$2)</f>
        <v>8102.55</v>
      </c>
      <c r="M215" s="252"/>
      <c r="N215" s="275">
        <f t="shared" si="61"/>
        <v>8102.55</v>
      </c>
      <c r="O215" s="252"/>
      <c r="P215" s="41"/>
      <c r="Q215" s="271">
        <f>SUMIFS(BV_Data_An_Prec!$AN:$AN,BV_Data_An_Prec!$AP:$AP,$B215,BV_Data_An_Prec!$AQ:$AQ,$C215,BV_Data_An_Prec!$AR:$AR,$L$2)</f>
        <v>0</v>
      </c>
      <c r="R215" s="252"/>
      <c r="S215" s="275">
        <f t="shared" si="62"/>
        <v>8102.55</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2"/>
        <v>ServiceFrais de déplacement</v>
      </c>
      <c r="B216" s="41" t="s">
        <v>157</v>
      </c>
      <c r="C216" s="252" t="s">
        <v>129</v>
      </c>
      <c r="D216" s="296"/>
      <c r="E216" s="41"/>
      <c r="F216" s="253" cm="1">
        <f t="array" ref="F216">+SUMPRODUCT(('Budget original'!$A$8:$A$501=$A216)*('Budget original'!$C$3:$AO$3=F$2),'Budget original'!$C$8:$AO$501)</f>
        <v>0</v>
      </c>
      <c r="G216" s="297"/>
      <c r="H216" s="41"/>
      <c r="I216" s="253"/>
      <c r="J216" s="252"/>
      <c r="K216" s="41"/>
      <c r="L216" s="255">
        <f>SUMIFS(BV_Data_An_Cour!$AN:$AN,BV_Data_An_Cour!$AP:$AP,$B216,BV_Data_An_Cour!$AQ:$AQ,$C216,BV_Data_An_Cour!$AR:$AR,$L$2)</f>
        <v>14440.37</v>
      </c>
      <c r="M216" s="252"/>
      <c r="N216" s="275">
        <f t="shared" si="61"/>
        <v>14440.37</v>
      </c>
      <c r="O216" s="252"/>
      <c r="P216" s="41"/>
      <c r="Q216" s="255">
        <f>SUMIFS(BV_Data_An_Prec!$AN:$AN,BV_Data_An_Prec!$AP:$AP,$B216,BV_Data_An_Prec!$AQ:$AQ,$C216,BV_Data_An_Prec!$AR:$AR,$L$2)</f>
        <v>0</v>
      </c>
      <c r="R216" s="252"/>
      <c r="S216" s="275">
        <f t="shared" si="62"/>
        <v>14440.37</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2"/>
        <v>ServiceServices extérieurs</v>
      </c>
      <c r="B217" s="41" t="s">
        <v>157</v>
      </c>
      <c r="C217" s="245" t="s">
        <v>130</v>
      </c>
      <c r="D217" s="298"/>
      <c r="E217" s="316"/>
      <c r="F217" s="247" cm="1">
        <f t="array" ref="F217">+SUMPRODUCT(('Budget original'!$A$8:$A$501=$A217)*('Budget original'!$C$3:$AO$3=F$2),'Budget original'!$C$8:$AO$501)</f>
        <v>0</v>
      </c>
      <c r="G217" s="299"/>
      <c r="H217" s="316"/>
      <c r="I217" s="247"/>
      <c r="J217" s="245"/>
      <c r="K217" s="316"/>
      <c r="L217" s="255">
        <f>SUMIFS(BV_Data_An_Cour!$AN:$AN,BV_Data_An_Cour!$AP:$AP,$B217,BV_Data_An_Cour!$AQ:$AQ,$C217,BV_Data_An_Cour!$AR:$AR,$L$2)</f>
        <v>1683.35</v>
      </c>
      <c r="M217" s="245"/>
      <c r="N217" s="295">
        <f t="shared" si="61"/>
        <v>1683.35</v>
      </c>
      <c r="O217" s="245"/>
      <c r="P217" s="316"/>
      <c r="Q217" s="255">
        <f>SUMIFS(BV_Data_An_Prec!$AN:$AN,BV_Data_An_Prec!$AP:$AP,$B217,BV_Data_An_Prec!$AQ:$AQ,$C217,BV_Data_An_Prec!$AR:$AR,$L$2)</f>
        <v>0</v>
      </c>
      <c r="R217" s="245"/>
      <c r="S217" s="295">
        <f t="shared" si="62"/>
        <v>1683.35</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2"/>
        <v>ServiceFournitures d'atelier</v>
      </c>
      <c r="B218" s="41" t="s">
        <v>157</v>
      </c>
      <c r="C218" s="252" t="s">
        <v>483</v>
      </c>
      <c r="D218" s="296"/>
      <c r="E218" s="41"/>
      <c r="F218" s="253" cm="1">
        <f t="array" ref="F218">+SUMPRODUCT(('Budget original'!$A$8:$A$501=$A218)*('Budget original'!$C$3:$AO$3=F$2),'Budget original'!$C$8:$AO$501)</f>
        <v>0</v>
      </c>
      <c r="G218" s="297"/>
      <c r="H218" s="41"/>
      <c r="I218" s="253"/>
      <c r="J218" s="252"/>
      <c r="K218" s="41"/>
      <c r="L218" s="271">
        <f>SUMIFS(BV_Data_An_Cour!$AN:$AN,BV_Data_An_Cour!$AP:$AP,$B218,BV_Data_An_Cour!$AQ:$AQ,$C218,BV_Data_An_Cour!$AR:$AR,$L$2)</f>
        <v>24415.31</v>
      </c>
      <c r="M218" s="252"/>
      <c r="N218" s="275">
        <f t="shared" si="61"/>
        <v>24415.31</v>
      </c>
      <c r="O218" s="252"/>
      <c r="P218" s="41"/>
      <c r="Q218" s="271">
        <f>SUMIFS(BV_Data_An_Prec!$AN:$AN,BV_Data_An_Prec!$AP:$AP,$B218,BV_Data_An_Prec!$AQ:$AQ,$C218,BV_Data_An_Prec!$AR:$AR,$L$2)</f>
        <v>0</v>
      </c>
      <c r="R218" s="252"/>
      <c r="S218" s="275">
        <f t="shared" si="62"/>
        <v>24415.31</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2"/>
        <v>ServiceFournitures autres</v>
      </c>
      <c r="B219" s="41" t="s">
        <v>157</v>
      </c>
      <c r="C219" s="252" t="s">
        <v>131</v>
      </c>
      <c r="D219" s="296"/>
      <c r="E219" s="41"/>
      <c r="F219" s="253" cm="1">
        <f t="array" ref="F219">+SUMPRODUCT(('Budget original'!$A$8:$A$501=$A219)*('Budget original'!$C$3:$AO$3=F$2),'Budget original'!$C$8:$AO$501)</f>
        <v>0</v>
      </c>
      <c r="G219" s="297"/>
      <c r="H219" s="41"/>
      <c r="I219" s="253"/>
      <c r="J219" s="252"/>
      <c r="K219" s="41"/>
      <c r="L219" s="255">
        <f>SUMIFS(BV_Data_An_Cour!$AN:$AN,BV_Data_An_Cour!$AP:$AP,$B219,BV_Data_An_Cour!$AQ:$AQ,$C219,BV_Data_An_Cour!$AR:$AR,$L$2)</f>
        <v>0</v>
      </c>
      <c r="M219" s="252"/>
      <c r="N219" s="275">
        <f t="shared" si="61"/>
        <v>0</v>
      </c>
      <c r="O219" s="252"/>
      <c r="P219" s="41"/>
      <c r="Q219" s="255">
        <f>SUMIFS(BV_Data_An_Prec!$AN:$AN,BV_Data_An_Prec!$AP:$AP,$B219,BV_Data_An_Prec!$AQ:$AQ,$C219,BV_Data_An_Prec!$AR:$AR,$L$2)</f>
        <v>0</v>
      </c>
      <c r="R219" s="252"/>
      <c r="S219" s="275">
        <f t="shared" si="62"/>
        <v>0</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2"/>
        <v>ServiceUniformes</v>
      </c>
      <c r="B220" s="41" t="s">
        <v>157</v>
      </c>
      <c r="C220" s="252" t="s">
        <v>132</v>
      </c>
      <c r="D220" s="296"/>
      <c r="E220" s="41"/>
      <c r="F220" s="253" cm="1">
        <f t="array" ref="F220">+SUMPRODUCT(('Budget original'!$A$8:$A$501=$A220)*('Budget original'!$C$3:$AO$3=F$2),'Budget original'!$C$8:$AO$501)</f>
        <v>0</v>
      </c>
      <c r="G220" s="297"/>
      <c r="H220" s="41"/>
      <c r="I220" s="253"/>
      <c r="J220" s="252"/>
      <c r="K220" s="41"/>
      <c r="L220" s="255">
        <f>SUMIFS(BV_Data_An_Cour!$AN:$AN,BV_Data_An_Cour!$AP:$AP,$B220,BV_Data_An_Cour!$AQ:$AQ,$C220,BV_Data_An_Cour!$AR:$AR,$L$2)</f>
        <v>9710.93</v>
      </c>
      <c r="M220" s="252"/>
      <c r="N220" s="275">
        <f t="shared" si="61"/>
        <v>9710.93</v>
      </c>
      <c r="O220" s="252"/>
      <c r="P220" s="41"/>
      <c r="Q220" s="255">
        <f>SUMIFS(BV_Data_An_Prec!$AN:$AN,BV_Data_An_Prec!$AP:$AP,$B220,BV_Data_An_Prec!$AQ:$AQ,$C220,BV_Data_An_Prec!$AR:$AR,$L$2)</f>
        <v>0</v>
      </c>
      <c r="R220" s="252"/>
      <c r="S220" s="275">
        <f t="shared" si="62"/>
        <v>9710.93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2"/>
        <v>ServicePapeterie</v>
      </c>
      <c r="B221" s="41" t="s">
        <v>157</v>
      </c>
      <c r="C221" s="252" t="s">
        <v>133</v>
      </c>
      <c r="D221" s="296"/>
      <c r="E221" s="41"/>
      <c r="F221" s="253" cm="1">
        <f t="array" ref="F221">+SUMPRODUCT(('Budget original'!$A$8:$A$501=$A221)*('Budget original'!$C$3:$AO$3=F$2),'Budget original'!$C$8:$AO$501)</f>
        <v>0</v>
      </c>
      <c r="G221" s="297"/>
      <c r="H221" s="41"/>
      <c r="I221" s="253"/>
      <c r="J221" s="252"/>
      <c r="K221" s="41"/>
      <c r="L221" s="255">
        <f>SUMIFS(BV_Data_An_Cour!$AN:$AN,BV_Data_An_Cour!$AP:$AP,$B221,BV_Data_An_Cour!$AQ:$AQ,$C221,BV_Data_An_Cour!$AR:$AR,$L$2)</f>
        <v>3735.3</v>
      </c>
      <c r="M221" s="252"/>
      <c r="N221" s="275">
        <f t="shared" si="61"/>
        <v>3735.3</v>
      </c>
      <c r="O221" s="252"/>
      <c r="P221" s="41"/>
      <c r="Q221" s="255">
        <f>SUMIFS(BV_Data_An_Prec!$AN:$AN,BV_Data_An_Prec!$AP:$AP,$B221,BV_Data_An_Prec!$AQ:$AQ,$C221,BV_Data_An_Prec!$AR:$AR,$L$2)</f>
        <v>0</v>
      </c>
      <c r="R221" s="252"/>
      <c r="S221" s="275">
        <f t="shared" si="62"/>
        <v>3735.3</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2"/>
        <v>ServiceTéléphone</v>
      </c>
      <c r="B222" s="41" t="s">
        <v>157</v>
      </c>
      <c r="C222" s="252" t="s">
        <v>134</v>
      </c>
      <c r="D222" s="296"/>
      <c r="E222" s="41"/>
      <c r="F222" s="253" cm="1">
        <f t="array" ref="F222">+SUMPRODUCT(('Budget original'!$A$8:$A$501=$A222)*('Budget original'!$C$3:$AO$3=F$2),'Budget original'!$C$8:$AO$501)</f>
        <v>0</v>
      </c>
      <c r="G222" s="297"/>
      <c r="H222" s="41"/>
      <c r="I222" s="253"/>
      <c r="J222" s="252"/>
      <c r="K222" s="41"/>
      <c r="L222" s="255">
        <f>SUMIFS(BV_Data_An_Cour!$AN:$AN,BV_Data_An_Cour!$AP:$AP,$B222,BV_Data_An_Cour!$AQ:$AQ,$C222,BV_Data_An_Cour!$AR:$AR,$L$2)</f>
        <v>599.62</v>
      </c>
      <c r="M222" s="252"/>
      <c r="N222" s="275">
        <f t="shared" si="61"/>
        <v>599.62</v>
      </c>
      <c r="O222" s="252"/>
      <c r="P222" s="41"/>
      <c r="Q222" s="255">
        <f>SUMIFS(BV_Data_An_Prec!$AN:$AN,BV_Data_An_Prec!$AP:$AP,$B222,BV_Data_An_Prec!$AQ:$AQ,$C222,BV_Data_An_Prec!$AR:$AR,$L$2)</f>
        <v>0</v>
      </c>
      <c r="R222" s="252"/>
      <c r="S222" s="275">
        <f t="shared" si="62"/>
        <v>599.62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2"/>
        <v>ServiceFrais postaux</v>
      </c>
      <c r="B223" s="41" t="s">
        <v>157</v>
      </c>
      <c r="C223" s="252" t="s">
        <v>135</v>
      </c>
      <c r="D223" s="296"/>
      <c r="E223" s="41"/>
      <c r="F223" s="253" cm="1">
        <f t="array" ref="F223">+SUMPRODUCT(('Budget original'!$A$8:$A$501=$A223)*('Budget original'!$C$3:$AO$3=F$2),'Budget original'!$C$8:$AO$501)</f>
        <v>0</v>
      </c>
      <c r="G223" s="297"/>
      <c r="H223" s="41"/>
      <c r="I223" s="253"/>
      <c r="J223" s="252"/>
      <c r="K223" s="41"/>
      <c r="L223" s="255">
        <f>SUMIFS(BV_Data_An_Cour!$AN:$AN,BV_Data_An_Cour!$AP:$AP,$B223,BV_Data_An_Cour!$AQ:$AQ,$C223,BV_Data_An_Cour!$AR:$AR,$L$2)</f>
        <v>1841.08</v>
      </c>
      <c r="M223" s="252"/>
      <c r="N223" s="275">
        <f t="shared" si="61"/>
        <v>1841.08</v>
      </c>
      <c r="O223" s="252"/>
      <c r="P223" s="41"/>
      <c r="Q223" s="255">
        <f>SUMIFS(BV_Data_An_Prec!$AN:$AN,BV_Data_An_Prec!$AP:$AP,$B223,BV_Data_An_Prec!$AQ:$AQ,$C223,BV_Data_An_Prec!$AR:$AR,$L$2)</f>
        <v>0</v>
      </c>
      <c r="R223" s="252"/>
      <c r="S223" s="275">
        <f t="shared" si="62"/>
        <v>1841.08</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2"/>
        <v>ServiceDivers</v>
      </c>
      <c r="B224" s="41" t="s">
        <v>157</v>
      </c>
      <c r="C224" s="252" t="s">
        <v>136</v>
      </c>
      <c r="D224" s="296"/>
      <c r="E224" s="41"/>
      <c r="F224" s="253" cm="1">
        <f t="array" ref="F224">+SUMPRODUCT(('Budget original'!$A$8:$A$501=$A224)*('Budget original'!$C$3:$AO$3=F$2),'Budget original'!$C$8:$AO$501)</f>
        <v>0</v>
      </c>
      <c r="G224" s="297"/>
      <c r="H224" s="41"/>
      <c r="I224" s="253"/>
      <c r="J224" s="252"/>
      <c r="K224" s="41"/>
      <c r="L224" s="255">
        <f>SUMIFS(BV_Data_An_Cour!$AN:$AN,BV_Data_An_Cour!$AP:$AP,$B224,BV_Data_An_Cour!$AQ:$AQ,$C224,BV_Data_An_Cour!$AR:$AR,$L$2)</f>
        <v>1536.5</v>
      </c>
      <c r="M224" s="252"/>
      <c r="N224" s="275">
        <f t="shared" si="61"/>
        <v>1536.5</v>
      </c>
      <c r="O224" s="252"/>
      <c r="P224" s="41"/>
      <c r="Q224" s="255">
        <f>SUMIFS(BV_Data_An_Prec!$AN:$AN,BV_Data_An_Prec!$AP:$AP,$B224,BV_Data_An_Prec!$AQ:$AQ,$C224,BV_Data_An_Prec!$AR:$AR,$L$2)</f>
        <v>0</v>
      </c>
      <c r="R224" s="252"/>
      <c r="S224" s="275">
        <f t="shared" si="62"/>
        <v>1536.5</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2"/>
        <v>ServiceFormation</v>
      </c>
      <c r="B225" s="41" t="s">
        <v>157</v>
      </c>
      <c r="C225" s="252" t="s">
        <v>137</v>
      </c>
      <c r="D225" s="296"/>
      <c r="E225" s="41"/>
      <c r="F225" s="253" cm="1">
        <f t="array" ref="F225">+SUMPRODUCT(('Budget original'!$A$8:$A$501=$A225)*('Budget original'!$C$3:$AO$3=F$2),'Budget original'!$C$8:$AO$501)</f>
        <v>0</v>
      </c>
      <c r="G225" s="297"/>
      <c r="H225" s="41"/>
      <c r="I225" s="253"/>
      <c r="J225" s="252"/>
      <c r="K225" s="41"/>
      <c r="L225" s="255">
        <f>SUMIFS(BV_Data_An_Cour!$AN:$AN,BV_Data_An_Cour!$AP:$AP,$B225,BV_Data_An_Cour!$AQ:$AQ,$C225,BV_Data_An_Cour!$AR:$AR,$L$2)</f>
        <v>6376.46</v>
      </c>
      <c r="M225" s="252"/>
      <c r="N225" s="275">
        <f t="shared" si="61"/>
        <v>6376.46</v>
      </c>
      <c r="O225" s="252"/>
      <c r="P225" s="41"/>
      <c r="Q225" s="255">
        <f>SUMIFS(BV_Data_An_Prec!$AN:$AN,BV_Data_An_Prec!$AP:$AP,$B225,BV_Data_An_Prec!$AQ:$AQ,$C225,BV_Data_An_Prec!$AR:$AR,$L$2)</f>
        <v>0</v>
      </c>
      <c r="R225" s="252"/>
      <c r="S225" s="275">
        <f t="shared" si="62"/>
        <v>6376.46</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customHeight="1">
      <c r="A226" s="5" t="str">
        <f t="shared" si="52"/>
        <v>ServiceFrais bancaires</v>
      </c>
      <c r="B226" s="41" t="s">
        <v>157</v>
      </c>
      <c r="C226" s="252" t="s">
        <v>138</v>
      </c>
      <c r="D226" s="296"/>
      <c r="E226" s="41"/>
      <c r="F226" s="253" cm="1">
        <f t="array" ref="F226">+SUMPRODUCT(('Budget original'!$A$8:$A$501=$A226)*('Budget original'!$C$3:$AO$3=F$2),'Budget original'!$C$8:$AO$501)</f>
        <v>0</v>
      </c>
      <c r="G226" s="297"/>
      <c r="H226" s="41"/>
      <c r="I226" s="253"/>
      <c r="J226" s="252"/>
      <c r="K226" s="41"/>
      <c r="L226" s="255">
        <f>SUMIFS(BV_Data_An_Cour!$AN:$AN,BV_Data_An_Cour!$AP:$AP,$B226,BV_Data_An_Cour!$AQ:$AQ,$C226,BV_Data_An_Cour!$AR:$AR,L$2)</f>
        <v>0</v>
      </c>
      <c r="M226" s="252"/>
      <c r="N226" s="275">
        <f t="shared" si="61"/>
        <v>0</v>
      </c>
      <c r="O226" s="252"/>
      <c r="P226" s="41"/>
      <c r="Q226" s="255">
        <f>SUMIFS(BV_Data_An_Prec!$AN:$AN,BV_Data_An_Prec!$AP:$AP,$B226,BV_Data_An_Prec!$AQ:$AQ,$C226,BV_Data_An_Prec!$AR:$AR,Q$2)</f>
        <v>0</v>
      </c>
      <c r="R226" s="252"/>
      <c r="S226" s="275">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2"/>
        <v>Service[...]</v>
      </c>
      <c r="B227" s="41" t="s">
        <v>157</v>
      </c>
      <c r="C227" s="252" t="s">
        <v>55</v>
      </c>
      <c r="D227" s="296"/>
      <c r="E227" s="41"/>
      <c r="F227" s="253" cm="1">
        <f t="array" ref="F227">+SUMPRODUCT(('Budget original'!$A$8:$A$501=$A227)*('Budget original'!$C$3:$AO$3=F$2),'Budget original'!$C$8:$AO$501)</f>
        <v>0</v>
      </c>
      <c r="G227" s="297"/>
      <c r="H227" s="41"/>
      <c r="I227" s="253"/>
      <c r="J227" s="252"/>
      <c r="K227" s="41"/>
      <c r="L227" s="255">
        <f>SUMIFS(BV_Data_An_Cour!$AN:$AN,BV_Data_An_Cour!$AP:$AP,$B227,BV_Data_An_Cour!$AQ:$AQ,$C227,BV_Data_An_Cour!$AR:$AR,$L$2)</f>
        <v>0</v>
      </c>
      <c r="M227" s="252"/>
      <c r="N227" s="275">
        <f t="shared" si="61"/>
        <v>0</v>
      </c>
      <c r="O227" s="252"/>
      <c r="P227" s="41"/>
      <c r="Q227" s="255">
        <f>SUMIFS(BV_Data_An_Prec!$AN:$AN,BV_Data_An_Prec!$AP:$AP,$B227,BV_Data_An_Prec!$AQ:$AQ,$C227,BV_Data_An_Prec!$AR:$AR,$L$2)</f>
        <v>0</v>
      </c>
      <c r="R227" s="252"/>
      <c r="S227" s="275">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2"/>
        <v>Service[...]</v>
      </c>
      <c r="B228" s="41" t="s">
        <v>157</v>
      </c>
      <c r="C228" s="252" t="s">
        <v>55</v>
      </c>
      <c r="D228" s="296"/>
      <c r="E228" s="41"/>
      <c r="F228" s="253" cm="1">
        <f t="array" ref="F228">+SUMPRODUCT(('Budget original'!$A$8:$A$501=$A228)*('Budget original'!$C$3:$AO$3=F$2),'Budget original'!$C$8:$AO$501)</f>
        <v>0</v>
      </c>
      <c r="G228" s="297"/>
      <c r="H228" s="41"/>
      <c r="I228" s="253"/>
      <c r="J228" s="252"/>
      <c r="K228" s="41"/>
      <c r="L228" s="255">
        <f>SUMIFS(BV_Data_An_Cour!$AN:$AN,BV_Data_An_Cour!$AP:$AP,$B228,BV_Data_An_Cour!$AQ:$AQ,$C228,BV_Data_An_Cour!$AR:$AR,$L$2)</f>
        <v>0</v>
      </c>
      <c r="M228" s="252"/>
      <c r="N228" s="275">
        <f t="shared" si="61"/>
        <v>0</v>
      </c>
      <c r="O228" s="252"/>
      <c r="P228" s="41"/>
      <c r="Q228" s="255">
        <f>SUMIFS(BV_Data_An_Prec!$AN:$AN,BV_Data_An_Prec!$AP:$AP,$B228,BV_Data_An_Prec!$AQ:$AQ,$C228,BV_Data_An_Prec!$AR:$AR,$L$2)</f>
        <v>0</v>
      </c>
      <c r="R228" s="252"/>
      <c r="S228" s="275">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hidden="1" customHeight="1">
      <c r="A229" s="5" t="str">
        <f t="shared" si="52"/>
        <v>Service[...]</v>
      </c>
      <c r="B229" s="41" t="s">
        <v>157</v>
      </c>
      <c r="C229" s="252" t="s">
        <v>55</v>
      </c>
      <c r="D229" s="296"/>
      <c r="E229" s="41"/>
      <c r="F229" s="253" cm="1">
        <f t="array" ref="F229">+SUMPRODUCT(('Budget original'!$A$8:$A$501=$A229)*('Budget original'!$C$3:$AO$3=F$2),'Budget original'!$C$8:$AO$501)</f>
        <v>0</v>
      </c>
      <c r="G229" s="297"/>
      <c r="H229" s="41"/>
      <c r="I229" s="253"/>
      <c r="J229" s="252"/>
      <c r="K229" s="41"/>
      <c r="L229" s="255">
        <f>SUMIFS(BV_Data_An_Cour!$AN:$AN,BV_Data_An_Cour!$AP:$AP,$B229,BV_Data_An_Cour!$AQ:$AQ,$C229,BV_Data_An_Cour!$AR:$AR,$L$2)</f>
        <v>0</v>
      </c>
      <c r="M229" s="252"/>
      <c r="N229" s="275">
        <f t="shared" si="61"/>
        <v>0</v>
      </c>
      <c r="O229" s="252"/>
      <c r="P229" s="41"/>
      <c r="Q229" s="255">
        <f>SUMIFS(BV_Data_An_Prec!$AN:$AN,BV_Data_An_Prec!$AP:$AP,$B229,BV_Data_An_Prec!$AQ:$AQ,$C229,BV_Data_An_Prec!$AR:$AR,$L$2)</f>
        <v>0</v>
      </c>
      <c r="R229" s="252"/>
      <c r="S229" s="275">
        <f t="shared" si="62"/>
        <v>0</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303" t="s">
        <v>139</v>
      </c>
      <c r="D230" s="304" t="s">
        <v>171</v>
      </c>
      <c r="E230" s="305" t="e">
        <f>F230/F$195</f>
        <v>#DIV/0!</v>
      </c>
      <c r="F230" s="306">
        <f>+SUM(F212:F229)</f>
        <v>0</v>
      </c>
      <c r="G230" s="307"/>
      <c r="H230" s="305"/>
      <c r="I230" s="306"/>
      <c r="J230" s="307" t="s">
        <v>171</v>
      </c>
      <c r="K230" s="305">
        <f>L230/L$195</f>
        <v>8.451659972488447E-2</v>
      </c>
      <c r="L230" s="306">
        <f>+SUM(L212:L229)</f>
        <v>61539.720000000008</v>
      </c>
      <c r="M230" s="309"/>
      <c r="N230" s="306">
        <f t="shared" si="61"/>
        <v>61539.720000000008</v>
      </c>
      <c r="O230" s="307" t="s">
        <v>171</v>
      </c>
      <c r="P230" s="305" t="e">
        <f>Q230/Q$195</f>
        <v>#DIV/0!</v>
      </c>
      <c r="Q230" s="306">
        <f>+SUM(Q212:Q229)</f>
        <v>0</v>
      </c>
      <c r="R230" s="309"/>
      <c r="S230" s="306">
        <f t="shared" si="62"/>
        <v>61539.720000000008</v>
      </c>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245"/>
      <c r="D231" s="298"/>
      <c r="E231" s="316"/>
      <c r="F231" s="275"/>
      <c r="G231" s="299"/>
      <c r="H231" s="316"/>
      <c r="I231" s="275"/>
      <c r="J231" s="245"/>
      <c r="K231" s="316"/>
      <c r="L231" s="295"/>
      <c r="M231" s="245"/>
      <c r="N231" s="295"/>
      <c r="O231" s="245"/>
      <c r="P231" s="316"/>
      <c r="Q231" s="295"/>
      <c r="R231" s="245"/>
      <c r="S231" s="295"/>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303" t="s">
        <v>140</v>
      </c>
      <c r="D232" s="304" t="s">
        <v>115</v>
      </c>
      <c r="E232" s="305" t="e">
        <f>F232/F$195</f>
        <v>#DIV/0!</v>
      </c>
      <c r="F232" s="306">
        <f>F211+F230</f>
        <v>0</v>
      </c>
      <c r="G232" s="307"/>
      <c r="H232" s="305"/>
      <c r="I232" s="306"/>
      <c r="J232" s="307" t="s">
        <v>115</v>
      </c>
      <c r="K232" s="305">
        <f>L232/L$195</f>
        <v>0.60208496011475432</v>
      </c>
      <c r="L232" s="306">
        <f>L211+L230</f>
        <v>438400.74000000011</v>
      </c>
      <c r="M232" s="309"/>
      <c r="N232" s="318">
        <f>L232-F232</f>
        <v>438400.74000000011</v>
      </c>
      <c r="O232" s="307" t="s">
        <v>115</v>
      </c>
      <c r="P232" s="305" t="e">
        <f>Q232/Q$195</f>
        <v>#DIV/0!</v>
      </c>
      <c r="Q232" s="306">
        <f>Q211+Q230</f>
        <v>0</v>
      </c>
      <c r="R232" s="309"/>
      <c r="S232" s="318">
        <f>L232-Q232</f>
        <v>438400.74000000011</v>
      </c>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252"/>
      <c r="D233" s="296"/>
      <c r="E233" s="41"/>
      <c r="F233" s="275"/>
      <c r="G233" s="297"/>
      <c r="H233" s="41"/>
      <c r="I233" s="275"/>
      <c r="J233" s="252"/>
      <c r="K233" s="41"/>
      <c r="L233" s="275"/>
      <c r="M233" s="252"/>
      <c r="N233" s="275">
        <f>L233-F233</f>
        <v>0</v>
      </c>
      <c r="O233" s="252"/>
      <c r="P233" s="41"/>
      <c r="Q233" s="275"/>
      <c r="R233" s="252"/>
      <c r="S233" s="275"/>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thickBot="1">
      <c r="B234" s="41"/>
      <c r="C234" s="330" t="s">
        <v>147</v>
      </c>
      <c r="D234" s="358"/>
      <c r="E234" s="331"/>
      <c r="F234" s="333">
        <f>F195-F232</f>
        <v>0</v>
      </c>
      <c r="G234" s="359"/>
      <c r="H234" s="331"/>
      <c r="I234" s="333"/>
      <c r="J234" s="330"/>
      <c r="K234" s="332"/>
      <c r="L234" s="333">
        <f>L195-L232</f>
        <v>289736.92999999982</v>
      </c>
      <c r="M234" s="330"/>
      <c r="N234" s="333">
        <f>L234-F234</f>
        <v>289736.92999999982</v>
      </c>
      <c r="O234" s="330"/>
      <c r="P234" s="332"/>
      <c r="Q234" s="333">
        <f>Q195-Q232</f>
        <v>0</v>
      </c>
      <c r="R234" s="330"/>
      <c r="S234" s="333">
        <f>L234-Q234</f>
        <v>289736.92999999982</v>
      </c>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thickTop="1">
      <c r="B235" s="41"/>
      <c r="C235" s="41"/>
      <c r="D235" s="41"/>
      <c r="E235" s="41"/>
      <c r="F235" s="41"/>
      <c r="G235" s="41"/>
      <c r="H235" s="41"/>
      <c r="I235" s="41"/>
      <c r="J235" s="41"/>
      <c r="K235" s="41"/>
      <c r="L235" s="290"/>
      <c r="M235" s="290"/>
      <c r="N235" s="41"/>
      <c r="O235" s="290"/>
      <c r="P235" s="290"/>
      <c r="Q235" s="290"/>
      <c r="R235" s="41"/>
      <c r="S235" s="41"/>
      <c r="T235" s="41"/>
      <c r="U235" s="41"/>
      <c r="V235" s="41"/>
      <c r="W235" s="41"/>
      <c r="X235" s="41"/>
      <c r="Y235" s="41"/>
      <c r="Z235" s="41"/>
      <c r="AA235" s="41"/>
      <c r="AB235" s="41"/>
      <c r="AC235" s="41"/>
      <c r="AD235" s="41"/>
      <c r="AE235" s="41"/>
      <c r="AF235" s="41"/>
      <c r="AG235" s="41"/>
      <c r="AH235" s="41"/>
      <c r="AI235" s="41"/>
      <c r="AJ235" s="41"/>
      <c r="AK235" s="41"/>
      <c r="AL235" s="41"/>
      <c r="AM235" s="41"/>
      <c r="AN235" s="41"/>
    </row>
    <row r="236" spans="1:40" ht="15.75" hidden="1" customHeight="1">
      <c r="B236" s="41"/>
      <c r="C236" s="38"/>
      <c r="D236" s="38"/>
      <c r="E236" s="38"/>
      <c r="F236" s="38"/>
      <c r="G236" s="38"/>
      <c r="H236" s="38"/>
      <c r="I236" s="38"/>
      <c r="J236" s="38"/>
      <c r="K236" s="38"/>
      <c r="L236" s="94"/>
      <c r="M236" s="94"/>
      <c r="N236" s="38"/>
      <c r="O236" s="94"/>
      <c r="P236" s="38"/>
      <c r="Q236" s="94"/>
      <c r="R236" s="38"/>
      <c r="S236" s="38"/>
      <c r="T236" s="38"/>
      <c r="U236" s="38"/>
      <c r="V236" s="41"/>
      <c r="W236" s="41"/>
      <c r="X236" s="41"/>
      <c r="Y236" s="41"/>
      <c r="Z236" s="41"/>
      <c r="AA236" s="41"/>
      <c r="AB236" s="41"/>
      <c r="AC236" s="41"/>
      <c r="AD236" s="41"/>
      <c r="AE236" s="41"/>
      <c r="AF236" s="41"/>
      <c r="AG236" s="41"/>
      <c r="AH236" s="41"/>
      <c r="AI236" s="41"/>
      <c r="AJ236" s="41"/>
      <c r="AK236" s="41"/>
      <c r="AL236" s="41"/>
      <c r="AM236" s="41"/>
      <c r="AN236" s="41"/>
    </row>
    <row r="237" spans="1:40" ht="33" hidden="1" customHeight="1">
      <c r="B237" s="41"/>
      <c r="C237" s="36" t="str">
        <f>C1</f>
        <v>Hyundai</v>
      </c>
      <c r="D237" s="231"/>
      <c r="E237" s="231"/>
      <c r="F237" s="231"/>
      <c r="G237" s="231"/>
      <c r="H237" s="36"/>
      <c r="I237" s="36"/>
      <c r="J237" s="36"/>
      <c r="K237" s="9" t="s">
        <v>172</v>
      </c>
      <c r="L237" s="231"/>
      <c r="M237" s="231"/>
      <c r="N237" s="36"/>
      <c r="O237" s="36"/>
      <c r="P237" s="231"/>
      <c r="Q237" s="36"/>
      <c r="R237" s="231"/>
      <c r="S237" s="10" t="str">
        <f>$S$1</f>
        <v>Réalisé AAJ, Mai 2025</v>
      </c>
      <c r="T237" s="231"/>
      <c r="U237" s="36"/>
      <c r="V237" s="38"/>
      <c r="W237" s="38"/>
      <c r="X237" s="38"/>
      <c r="Y237" s="38"/>
      <c r="Z237" s="38"/>
      <c r="AA237" s="38"/>
      <c r="AB237" s="38"/>
      <c r="AC237" s="38"/>
      <c r="AD237" s="38"/>
      <c r="AE237" s="38"/>
      <c r="AF237" s="38"/>
      <c r="AG237" s="38"/>
      <c r="AH237" s="38"/>
      <c r="AI237" s="38"/>
      <c r="AJ237" s="38"/>
      <c r="AK237" s="38"/>
      <c r="AL237" s="38"/>
      <c r="AM237" s="38"/>
      <c r="AN237" s="38"/>
    </row>
    <row r="238" spans="1:40" ht="24" hidden="1" customHeight="1" thickBot="1">
      <c r="B238" s="41"/>
      <c r="C238" s="37"/>
      <c r="D238" s="38"/>
      <c r="E238" s="38"/>
      <c r="F238" s="38"/>
      <c r="G238" s="38"/>
      <c r="H238" s="38"/>
      <c r="I238" s="38"/>
      <c r="J238" s="38"/>
      <c r="K238" s="38"/>
      <c r="L238" s="38"/>
      <c r="M238" s="38"/>
      <c r="N238" s="38"/>
      <c r="O238" s="38"/>
      <c r="P238" s="38"/>
      <c r="Q238" s="38"/>
      <c r="R238" s="38"/>
      <c r="S238" s="38"/>
      <c r="T238" s="38"/>
      <c r="U238" s="38"/>
      <c r="V238" s="36"/>
      <c r="W238" s="36"/>
      <c r="X238" s="36"/>
      <c r="Y238" s="36"/>
      <c r="Z238" s="36"/>
      <c r="AA238" s="36"/>
      <c r="AB238" s="36"/>
      <c r="AC238" s="36"/>
      <c r="AD238" s="36"/>
      <c r="AE238" s="36"/>
      <c r="AF238" s="36"/>
      <c r="AG238" s="36"/>
      <c r="AH238" s="36"/>
      <c r="AI238" s="36"/>
      <c r="AJ238" s="36"/>
      <c r="AK238" s="36"/>
      <c r="AL238" s="36"/>
      <c r="AM238" s="36"/>
      <c r="AN238" s="36"/>
    </row>
    <row r="239" spans="1:40" ht="15.75" hidden="1" customHeight="1" thickTop="1">
      <c r="B239" s="41"/>
      <c r="C239" s="237"/>
      <c r="D239" s="1058" t="s">
        <v>339</v>
      </c>
      <c r="E239" s="1059"/>
      <c r="F239" s="1060"/>
      <c r="G239" s="1061"/>
      <c r="H239" s="1059"/>
      <c r="I239" s="1060"/>
      <c r="J239" s="1061" t="s">
        <v>340</v>
      </c>
      <c r="K239" s="1059"/>
      <c r="L239" s="1060"/>
      <c r="M239" s="1061" t="s">
        <v>681</v>
      </c>
      <c r="N239" s="1060"/>
      <c r="O239" s="1058" t="s">
        <v>341</v>
      </c>
      <c r="P239" s="1059"/>
      <c r="Q239" s="1060"/>
      <c r="R239" s="1062" t="s">
        <v>683</v>
      </c>
      <c r="S239" s="1063"/>
      <c r="T239" s="354"/>
      <c r="U239" s="41"/>
      <c r="V239" s="38"/>
      <c r="W239" s="38"/>
      <c r="X239" s="38"/>
      <c r="Y239" s="38"/>
      <c r="Z239" s="38"/>
      <c r="AA239" s="38"/>
      <c r="AB239" s="38"/>
      <c r="AC239" s="38"/>
      <c r="AD239" s="38"/>
      <c r="AE239" s="38"/>
      <c r="AF239" s="38"/>
      <c r="AG239" s="38"/>
      <c r="AH239" s="38"/>
      <c r="AI239" s="38"/>
      <c r="AJ239" s="38"/>
      <c r="AK239" s="38"/>
      <c r="AL239" s="38"/>
      <c r="AM239" s="38"/>
      <c r="AN239" s="38"/>
    </row>
    <row r="240" spans="1:40" ht="15.75" hidden="1" customHeight="1">
      <c r="A240" s="5" t="str">
        <f t="shared" ref="A240:A285" si="63">+B240&amp;C240</f>
        <v>Carrosserie</v>
      </c>
      <c r="B240" s="41" t="s">
        <v>172</v>
      </c>
      <c r="C240" s="252"/>
      <c r="D240" s="39" t="s">
        <v>158</v>
      </c>
      <c r="E240" s="39" t="s">
        <v>159</v>
      </c>
      <c r="F240" s="338" t="s">
        <v>91</v>
      </c>
      <c r="G240" s="339"/>
      <c r="H240" s="39"/>
      <c r="I240" s="338"/>
      <c r="J240" s="339" t="s">
        <v>158</v>
      </c>
      <c r="K240" s="39" t="s">
        <v>159</v>
      </c>
      <c r="L240" s="338" t="s">
        <v>91</v>
      </c>
      <c r="M240" s="339" t="s">
        <v>158</v>
      </c>
      <c r="N240" s="338" t="s">
        <v>682</v>
      </c>
      <c r="O240" s="39" t="s">
        <v>158</v>
      </c>
      <c r="P240" s="39" t="s">
        <v>159</v>
      </c>
      <c r="Q240" s="338" t="s">
        <v>91</v>
      </c>
      <c r="R240" s="339" t="s">
        <v>453</v>
      </c>
      <c r="S240" s="338" t="s">
        <v>91</v>
      </c>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hidden="1" customHeight="1">
      <c r="A241" s="5" t="str">
        <f t="shared" si="63"/>
        <v>Carrosserie</v>
      </c>
      <c r="B241" s="41" t="s">
        <v>172</v>
      </c>
      <c r="C241" s="252"/>
      <c r="D241" s="39"/>
      <c r="E241" s="39"/>
      <c r="F241" s="338"/>
      <c r="G241" s="339"/>
      <c r="H241" s="39"/>
      <c r="I241" s="338"/>
      <c r="J241" s="339"/>
      <c r="K241" s="253"/>
      <c r="L241" s="255"/>
      <c r="M241" s="339"/>
      <c r="N241" s="338"/>
      <c r="O241" s="39"/>
      <c r="P241" s="39"/>
      <c r="Q241" s="338"/>
      <c r="R241" s="339"/>
      <c r="S241" s="338"/>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hidden="1" customHeight="1">
      <c r="A242" s="5" t="str">
        <f t="shared" si="63"/>
        <v>CarrosserieM/O Sous-traitement</v>
      </c>
      <c r="B242" s="41" t="s">
        <v>172</v>
      </c>
      <c r="C242" s="252" t="s">
        <v>173</v>
      </c>
      <c r="D242" s="39" cm="1">
        <f t="array" ref="D242">+SUMPRODUCT(('Budget original'!$A$8:$A$501=$A242)*('Budget original'!$C$3:$AO$3=D$2),'Budget original'!$C$8:$AO$501)</f>
        <v>0</v>
      </c>
      <c r="E242" s="290" cm="1">
        <f t="array" ref="E242">+SUMPRODUCT(('Budget original'!$A$8:$A$501=$A242)*('Budget original'!$C$3:$AO$3=E$2),'Budget original'!$C$8:$AO$501)</f>
        <v>0</v>
      </c>
      <c r="F242" s="290" cm="1">
        <f t="array" ref="F242">+SUMPRODUCT(('Budget original'!$A$8:$A$501=$A242)*('Budget original'!$C$3:$AO$3=F$2),'Budget original'!$C$8:$AO$501)</f>
        <v>0</v>
      </c>
      <c r="G242" s="320"/>
      <c r="H242" s="290"/>
      <c r="I242" s="290"/>
      <c r="J242" s="276">
        <f>-SUMIFS(BV_Data_An_Cour!$AN:$AN,BV_Data_An_Cour!$AP:$AP,$B242,BV_Data_An_Cour!$AQ:$AQ,$C242,BV_Data_An_Cour!$AR:$AR,J$2)</f>
        <v>0</v>
      </c>
      <c r="K242" s="253">
        <f>-SUMIFS(BV_Data_An_Cour!$AN:$AN,BV_Data_An_Cour!$AS:$AS,"Oui",BV_Data_An_Cour!$AP:$AP,$B242,BV_Data_An_Cour!$AQ:$AQ,$C242)</f>
        <v>0</v>
      </c>
      <c r="L242" s="255">
        <f>-SUMIFS(BV_Data_An_Cour!$AN:$AN,BV_Data_An_Cour!$AP:$AP,$B242,BV_Data_An_Cour!$AQ:$AQ,$C242,BV_Data_An_Cour!$AR:$AR,$L$2)</f>
        <v>0</v>
      </c>
      <c r="M242" s="291">
        <f>IFERROR((K242-E242)/E242,0)</f>
        <v>0</v>
      </c>
      <c r="N242" s="275">
        <f>L242-F242</f>
        <v>0</v>
      </c>
      <c r="O242" s="276" cm="1">
        <f t="array" ref="O242">+SUMPRODUCT(('Réel 2024'!$A$8:$A$501=$A242)*('Réel 2024'!$C$3:$AO$3=O$2),'Réel 2024'!$C$8:$AO$501)</f>
        <v>0</v>
      </c>
      <c r="P242" s="253">
        <f>-SUMIFS(BV_Data_An_Prec!$AN:$AN,BV_Data_An_Prec!$AS:$AS,"Oui",BV_Data_An_Prec!$AP:$AP,$B242,BV_Data_An_Prec!$AQ:$AQ,$C242)</f>
        <v>0</v>
      </c>
      <c r="Q242" s="255">
        <f>-SUMIFS(BV_Data_An_Prec!$AN:$AN,BV_Data_An_Prec!$AP:$AP,$B242,BV_Data_An_Prec!$AQ:$AQ,$C242,BV_Data_An_Prec!$AR:$AR,$L$2)</f>
        <v>0</v>
      </c>
      <c r="R242" s="291">
        <f>IF(O242=0,0,J242/O242)</f>
        <v>0</v>
      </c>
      <c r="S242" s="275">
        <f>L242-Q242</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hidden="1" customHeight="1">
      <c r="A243" s="5" t="str">
        <f t="shared" si="63"/>
        <v>Carrosserie% profit / ventes</v>
      </c>
      <c r="B243" s="41" t="s">
        <v>172</v>
      </c>
      <c r="C243" s="252" t="s">
        <v>161</v>
      </c>
      <c r="D243" s="39"/>
      <c r="E243" s="347"/>
      <c r="F243" s="360">
        <f>IFERROR(F242/E242,0)</f>
        <v>0</v>
      </c>
      <c r="G243" s="252"/>
      <c r="H243" s="347"/>
      <c r="I243" s="360"/>
      <c r="J243" s="276"/>
      <c r="K243" s="41"/>
      <c r="L243" s="360">
        <f>IFERROR(L242/K242,0)</f>
        <v>0</v>
      </c>
      <c r="M243" s="291"/>
      <c r="N243" s="275">
        <f>IFERROR(N242/M242,0)</f>
        <v>0</v>
      </c>
      <c r="O243" s="276"/>
      <c r="P243" s="41"/>
      <c r="Q243" s="360">
        <f>IFERROR(Q242/P242,0)</f>
        <v>0</v>
      </c>
      <c r="R243" s="276"/>
      <c r="S243" s="275">
        <f>IFERROR(S242/R242,0)</f>
        <v>0</v>
      </c>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hidden="1" customHeight="1">
      <c r="A244" s="5" t="str">
        <f t="shared" si="63"/>
        <v>Carrosserie</v>
      </c>
      <c r="B244" s="41" t="s">
        <v>172</v>
      </c>
      <c r="C244" s="252"/>
      <c r="D244" s="39"/>
      <c r="E244" s="399"/>
      <c r="F244" s="341"/>
      <c r="G244" s="339"/>
      <c r="H244" s="399"/>
      <c r="I244" s="341"/>
      <c r="J244" s="339"/>
      <c r="K244" s="39"/>
      <c r="L244" s="338"/>
      <c r="M244" s="339"/>
      <c r="N244" s="338"/>
      <c r="O244" s="339"/>
      <c r="P244" s="39"/>
      <c r="Q244" s="338"/>
      <c r="R244" s="340"/>
      <c r="S244" s="338"/>
      <c r="T244" s="39"/>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hidden="1" customHeight="1">
      <c r="A245" s="5" t="str">
        <f t="shared" si="63"/>
        <v>CarrosserieM/O Carrosserie</v>
      </c>
      <c r="B245" s="41" t="s">
        <v>172</v>
      </c>
      <c r="C245" s="240" t="s">
        <v>174</v>
      </c>
      <c r="D245" s="313" cm="1">
        <f t="array" ref="D245">+SUMPRODUCT(('Budget original'!$A$8:$A$501=$A245)*('Budget original'!$C$3:$AO$3=D$2),'Budget original'!$C$8:$AO$501)</f>
        <v>0</v>
      </c>
      <c r="E245" s="290" cm="1">
        <f t="array" ref="E245">+SUMPRODUCT(('Budget original'!$A$8:$A$501=$A245)*('Budget original'!$C$3:$AO$3=E$2),'Budget original'!$C$8:$AO$501)</f>
        <v>0</v>
      </c>
      <c r="F245" s="290" cm="1">
        <f t="array" ref="F245">+SUMPRODUCT(('Budget original'!$A$8:$A$501=$A245)*('Budget original'!$C$3:$AO$3=F$2),'Budget original'!$C$8:$AO$501)</f>
        <v>0</v>
      </c>
      <c r="G245" s="400"/>
      <c r="H245" s="290"/>
      <c r="I245" s="290"/>
      <c r="J245" s="365">
        <f>SUMIFS(BV_Data_An_Cour!$C$1:$C$364,BV_Data_An_Cour!$AQ$1:$AQ$364,$C245,BV_Data_An_Cour!$AP$1:$AP$364,$K$237)</f>
        <v>0</v>
      </c>
      <c r="K245" s="270">
        <f>-SUMIFS(BV_Data_An_Cour!$AN:$AN,BV_Data_An_Cour!$AS:$AS,"Oui",BV_Data_An_Cour!$AP:$AP,$B245,BV_Data_An_Cour!$AQ:$AQ,$C245)</f>
        <v>0</v>
      </c>
      <c r="L245" s="271">
        <f>-SUMIFS(BV_Data_An_Cour!$AN:$AN,BV_Data_An_Cour!$AP:$AP,$B245,BV_Data_An_Cour!$AQ:$AQ,$C245,BV_Data_An_Cour!$AR:$AR,$L$2)</f>
        <v>0</v>
      </c>
      <c r="M245" s="369">
        <f>IFERROR((K245-E245)/E245,0)</f>
        <v>0</v>
      </c>
      <c r="N245" s="315">
        <f>L245-F245</f>
        <v>0</v>
      </c>
      <c r="O245" s="365" cm="1">
        <f t="array" ref="O245">+SUMPRODUCT(('Réel 2024'!$A$8:$A$501=$A245)*('Réel 2024'!$C$3:$AO$3=O$2),'Réel 2024'!$C$8:$AO$501)</f>
        <v>0</v>
      </c>
      <c r="P245" s="270" cm="1">
        <f t="array" ref="P245">+SUMPRODUCT(('Réel 2024'!$A$8:$A$501=$A245)*('Réel 2024'!$C$3:$AO$3=P$2),'Réel 2024'!$C$8:$AO$501)</f>
        <v>0</v>
      </c>
      <c r="Q245" s="271" cm="1">
        <f t="array" ref="Q245">+SUMPRODUCT(('Réel 2024'!$A$8:$A$501=$A245)*('Réel 2024'!$C$3:$AO$3=Q$2),'Réel 2024'!$C$8:$AO$501)</f>
        <v>0</v>
      </c>
      <c r="R245" s="291">
        <f>IF(O245=0,0,J245/O245)</f>
        <v>0</v>
      </c>
      <c r="S245" s="315">
        <f>L245-Q245</f>
        <v>0</v>
      </c>
      <c r="T245" s="351"/>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hidden="1" customHeight="1">
      <c r="A246" s="5" t="str">
        <f t="shared" si="63"/>
        <v>Carrosserie% profit / ventes</v>
      </c>
      <c r="B246" s="41" t="s">
        <v>172</v>
      </c>
      <c r="C246" s="252" t="s">
        <v>161</v>
      </c>
      <c r="D246" s="41"/>
      <c r="E246" s="347"/>
      <c r="F246" s="360">
        <f>IFERROR(F245/E245,0)</f>
        <v>0</v>
      </c>
      <c r="G246" s="252"/>
      <c r="H246" s="347"/>
      <c r="I246" s="360"/>
      <c r="J246" s="276"/>
      <c r="K246" s="41"/>
      <c r="L246" s="360">
        <f>IFERROR(L245/K245,0)</f>
        <v>0</v>
      </c>
      <c r="M246" s="291"/>
      <c r="N246" s="275">
        <f>IFERROR(N245/F245,0)</f>
        <v>0</v>
      </c>
      <c r="O246" s="276"/>
      <c r="P246" s="41"/>
      <c r="Q246" s="360">
        <f>IFERROR(Q245/P245,0)</f>
        <v>0</v>
      </c>
      <c r="R246" s="276"/>
      <c r="S246" s="275">
        <f>IF(Q245=0,0,S245/Q245)</f>
        <v>0</v>
      </c>
      <c r="T246" s="351"/>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hidden="1" customHeight="1">
      <c r="A247" s="5" t="str">
        <f t="shared" si="63"/>
        <v>Carrosserie</v>
      </c>
      <c r="B247" s="41" t="s">
        <v>172</v>
      </c>
      <c r="C247" s="245"/>
      <c r="D247" s="316"/>
      <c r="E247" s="401"/>
      <c r="F247" s="362"/>
      <c r="G247" s="245"/>
      <c r="H247" s="401"/>
      <c r="I247" s="362"/>
      <c r="J247" s="363"/>
      <c r="K247" s="402"/>
      <c r="L247" s="362"/>
      <c r="M247" s="294"/>
      <c r="N247" s="295"/>
      <c r="O247" s="363"/>
      <c r="P247" s="402"/>
      <c r="Q247" s="362"/>
      <c r="R247" s="363"/>
      <c r="S247" s="295"/>
      <c r="T247" s="351"/>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hidden="1" customHeight="1">
      <c r="A248" s="5" t="str">
        <f t="shared" si="63"/>
        <v>CarrosserieM/O Esthétique Carr.</v>
      </c>
      <c r="B248" s="41" t="s">
        <v>172</v>
      </c>
      <c r="C248" s="240" t="s">
        <v>175</v>
      </c>
      <c r="D248" s="364" cm="1">
        <f t="array" ref="D248">+SUMPRODUCT(('Budget original'!$A$8:$A$501=$A248)*('Budget original'!$C$3:$AO$3=D$2),'Budget original'!$C$8:$AO$501)</f>
        <v>0</v>
      </c>
      <c r="E248" s="290" cm="1">
        <f t="array" ref="E248">+SUMPRODUCT(('Budget original'!$A$8:$A$501=$A248)*('Budget original'!$C$3:$AO$3=E$2),'Budget original'!$C$8:$AO$501)</f>
        <v>0</v>
      </c>
      <c r="F248" s="290" cm="1">
        <f t="array" ref="F248">+SUMPRODUCT(('Budget original'!$A$8:$A$501=$A248)*('Budget original'!$C$3:$AO$3=F$2),'Budget original'!$C$8:$AO$501)</f>
        <v>0</v>
      </c>
      <c r="G248" s="365"/>
      <c r="H248" s="290"/>
      <c r="I248" s="290"/>
      <c r="J248" s="365">
        <f>SUMIFS(BV_Data_An_Cour!$C$1:$C$364,BV_Data_An_Cour!$AQ$1:$AQ$364,$C248,BV_Data_An_Cour!$AP$1:$AP$364,$K$237)</f>
        <v>0</v>
      </c>
      <c r="K248" s="253">
        <f>-SUMIFS(BV_Data_An_Cour!$AN:$AN,BV_Data_An_Cour!$AS:$AS,"Oui",BV_Data_An_Cour!$AP:$AP,$B248,BV_Data_An_Cour!$AQ:$AQ,$C248)</f>
        <v>0</v>
      </c>
      <c r="L248" s="255">
        <f>-SUMIFS(BV_Data_An_Cour!$AN:$AN,BV_Data_An_Cour!$AP:$AP,$B248,BV_Data_An_Cour!$AQ:$AQ,$C248,BV_Data_An_Cour!$AR:$AR,$L$2)</f>
        <v>0</v>
      </c>
      <c r="M248" s="291">
        <f>IFERROR((K248-E248)/E248,0)</f>
        <v>0</v>
      </c>
      <c r="N248" s="315">
        <f>L248-F248</f>
        <v>0</v>
      </c>
      <c r="O248" s="365" cm="1">
        <f t="array" ref="O248">+SUMPRODUCT(('Réel 2024'!$A$8:$A$501=$A248)*('Réel 2024'!$C$3:$AO$3=O$2),'Réel 2024'!$C$8:$AO$501)</f>
        <v>0</v>
      </c>
      <c r="P248" s="253" cm="1">
        <f t="array" ref="P248">+SUMPRODUCT(('Réel 2024'!$A$8:$A$501=$A248)*('Réel 2024'!$C$3:$AO$3=P$2),'Réel 2024'!$C$8:$AO$501)</f>
        <v>0</v>
      </c>
      <c r="Q248" s="255" cm="1">
        <f t="array" ref="Q248">+SUMPRODUCT(('Réel 2024'!$A$8:$A$501=$A248)*('Réel 2024'!$C$3:$AO$3=Q$2),'Réel 2024'!$C$8:$AO$501)</f>
        <v>0</v>
      </c>
      <c r="R248" s="291">
        <f>IF(O248=0,0,J248/O248)</f>
        <v>0</v>
      </c>
      <c r="S248" s="275">
        <f>L248-Q248</f>
        <v>0</v>
      </c>
      <c r="T248" s="351"/>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hidden="1" customHeight="1">
      <c r="A249" s="5" t="str">
        <f t="shared" si="63"/>
        <v>Carrosserie% profit / ventes</v>
      </c>
      <c r="B249" s="41" t="s">
        <v>172</v>
      </c>
      <c r="C249" s="252" t="s">
        <v>161</v>
      </c>
      <c r="D249" s="41"/>
      <c r="E249" s="41"/>
      <c r="F249" s="360">
        <f>IFERROR(F248/E248,0)</f>
        <v>0</v>
      </c>
      <c r="G249" s="252"/>
      <c r="H249" s="41"/>
      <c r="I249" s="360"/>
      <c r="J249" s="252"/>
      <c r="K249" s="41"/>
      <c r="L249" s="360">
        <f>IFERROR(L248/K248,0)</f>
        <v>0</v>
      </c>
      <c r="M249" s="263"/>
      <c r="N249" s="264">
        <f>IF(L248=0,0,N248/L248)</f>
        <v>0</v>
      </c>
      <c r="O249" s="252"/>
      <c r="P249" s="41"/>
      <c r="Q249" s="360">
        <f>IFERROR(Q248/P248,0)</f>
        <v>0</v>
      </c>
      <c r="R249" s="263"/>
      <c r="S249" s="264">
        <f>IF(Q248=0,0,S248/Q248)</f>
        <v>0</v>
      </c>
      <c r="T249" s="351"/>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hidden="1" customHeight="1" thickBot="1">
      <c r="A250" s="5" t="str">
        <f t="shared" si="63"/>
        <v>Carrosserie</v>
      </c>
      <c r="B250" s="41" t="s">
        <v>172</v>
      </c>
      <c r="C250" s="252"/>
      <c r="D250" s="41"/>
      <c r="E250" s="41"/>
      <c r="F250" s="360"/>
      <c r="G250" s="252"/>
      <c r="H250" s="41"/>
      <c r="I250" s="360"/>
      <c r="J250" s="252"/>
      <c r="K250" s="41"/>
      <c r="L250" s="360"/>
      <c r="M250" s="263"/>
      <c r="N250" s="264"/>
      <c r="O250" s="252"/>
      <c r="P250" s="41"/>
      <c r="Q250" s="360"/>
      <c r="R250" s="263"/>
      <c r="S250" s="264"/>
      <c r="T250" s="351"/>
      <c r="U250" s="41"/>
      <c r="V250" s="41"/>
      <c r="W250" s="41"/>
      <c r="X250" s="41"/>
      <c r="Y250" s="41"/>
      <c r="Z250" s="41"/>
      <c r="AA250" s="41"/>
      <c r="AB250" s="41"/>
      <c r="AC250" s="41"/>
      <c r="AD250" s="41"/>
      <c r="AE250" s="41"/>
      <c r="AF250" s="41"/>
      <c r="AG250" s="41"/>
      <c r="AH250" s="41"/>
      <c r="AI250" s="41"/>
      <c r="AJ250" s="41"/>
      <c r="AK250" s="41"/>
      <c r="AL250" s="41"/>
      <c r="AM250" s="41"/>
      <c r="AN250" s="41"/>
    </row>
    <row r="251" spans="1:40" ht="15.75" hidden="1" customHeight="1" thickTop="1">
      <c r="A251" s="5" t="str">
        <f t="shared" si="63"/>
        <v>CarrosserieTotal Mécanique</v>
      </c>
      <c r="B251" s="41" t="s">
        <v>172</v>
      </c>
      <c r="C251" s="277" t="s">
        <v>170</v>
      </c>
      <c r="D251" s="278"/>
      <c r="E251" s="278">
        <f t="shared" ref="E251:F251" si="64">E245+E248+E242</f>
        <v>0</v>
      </c>
      <c r="F251" s="280">
        <f t="shared" si="64"/>
        <v>0</v>
      </c>
      <c r="G251" s="281"/>
      <c r="H251" s="278"/>
      <c r="I251" s="280"/>
      <c r="J251" s="281"/>
      <c r="K251" s="278">
        <f t="shared" ref="K251:L251" si="65">K245+K248+K242</f>
        <v>0</v>
      </c>
      <c r="L251" s="280">
        <f t="shared" si="65"/>
        <v>0</v>
      </c>
      <c r="M251" s="397" t="e">
        <f>L252-F252</f>
        <v>#DIV/0!</v>
      </c>
      <c r="N251" s="280">
        <f>L251-F251</f>
        <v>0</v>
      </c>
      <c r="O251" s="281"/>
      <c r="P251" s="278">
        <f t="shared" ref="P251:Q251" si="66">P245+P248+P242</f>
        <v>0</v>
      </c>
      <c r="Q251" s="280">
        <f t="shared" si="66"/>
        <v>0</v>
      </c>
      <c r="R251" s="397" t="e">
        <f>L252-Q252</f>
        <v>#DIV/0!</v>
      </c>
      <c r="S251" s="280">
        <f>L251-Q251</f>
        <v>0</v>
      </c>
      <c r="T251" s="351"/>
      <c r="U251" s="41"/>
      <c r="V251" s="41"/>
      <c r="W251" s="41"/>
      <c r="X251" s="41"/>
      <c r="Y251" s="41"/>
      <c r="Z251" s="41"/>
      <c r="AA251" s="41"/>
      <c r="AB251" s="41"/>
      <c r="AC251" s="41"/>
      <c r="AD251" s="41"/>
      <c r="AE251" s="41"/>
      <c r="AF251" s="41"/>
      <c r="AG251" s="41"/>
      <c r="AH251" s="41"/>
      <c r="AI251" s="41"/>
      <c r="AJ251" s="41"/>
      <c r="AK251" s="41"/>
      <c r="AL251" s="41"/>
      <c r="AM251" s="41"/>
      <c r="AN251" s="41"/>
    </row>
    <row r="252" spans="1:40" ht="23.25" hidden="1" customHeight="1" thickBot="1">
      <c r="A252" s="5" t="str">
        <f t="shared" si="63"/>
        <v>Carrosserie</v>
      </c>
      <c r="B252" s="41" t="s">
        <v>172</v>
      </c>
      <c r="C252" s="282"/>
      <c r="D252" s="283"/>
      <c r="E252" s="283"/>
      <c r="F252" s="286" t="e">
        <f>F251/E251</f>
        <v>#DIV/0!</v>
      </c>
      <c r="G252" s="282"/>
      <c r="H252" s="283"/>
      <c r="I252" s="286"/>
      <c r="J252" s="282"/>
      <c r="K252" s="283"/>
      <c r="L252" s="286">
        <f>IF(K251=0,0,L251/K251)</f>
        <v>0</v>
      </c>
      <c r="M252" s="285"/>
      <c r="N252" s="286" t="e">
        <f>N251/F251</f>
        <v>#DIV/0!</v>
      </c>
      <c r="O252" s="282"/>
      <c r="P252" s="283"/>
      <c r="Q252" s="286" t="e">
        <f>Q251/P251</f>
        <v>#DIV/0!</v>
      </c>
      <c r="R252" s="285"/>
      <c r="S252" s="286">
        <f>IF(Q251=0,0,(S251/Q251))</f>
        <v>0</v>
      </c>
      <c r="T252" s="35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hidden="1" customHeight="1" thickTop="1">
      <c r="A253" s="5" t="str">
        <f t="shared" si="63"/>
        <v>Carrosserie</v>
      </c>
      <c r="B253" s="41" t="s">
        <v>172</v>
      </c>
      <c r="C253" s="252"/>
      <c r="D253" s="41"/>
      <c r="E253" s="41"/>
      <c r="F253" s="275"/>
      <c r="G253" s="252"/>
      <c r="H253" s="41"/>
      <c r="I253" s="275"/>
      <c r="J253" s="252"/>
      <c r="K253" s="41"/>
      <c r="L253" s="262"/>
      <c r="M253" s="252"/>
      <c r="N253" s="262"/>
      <c r="O253" s="252"/>
      <c r="P253" s="41"/>
      <c r="Q253" s="262"/>
      <c r="R253" s="252"/>
      <c r="S253" s="262"/>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hidden="1" customHeight="1">
      <c r="A254" s="5" t="str">
        <f t="shared" si="63"/>
        <v>CarrosserieDEPENSES</v>
      </c>
      <c r="B254" s="41" t="s">
        <v>172</v>
      </c>
      <c r="C254" s="288" t="s">
        <v>106</v>
      </c>
      <c r="D254" s="41"/>
      <c r="E254" s="41"/>
      <c r="F254" s="275"/>
      <c r="G254" s="252"/>
      <c r="H254" s="41"/>
      <c r="I254" s="275"/>
      <c r="J254" s="252"/>
      <c r="K254" s="41"/>
      <c r="L254" s="262"/>
      <c r="M254" s="252"/>
      <c r="N254" s="262"/>
      <c r="O254" s="252"/>
      <c r="P254" s="41"/>
      <c r="Q254" s="262"/>
      <c r="R254" s="252"/>
      <c r="S254" s="262"/>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hidden="1" customHeight="1">
      <c r="A255" s="5" t="str">
        <f t="shared" si="63"/>
        <v>CarrosserieSalaires cadres</v>
      </c>
      <c r="B255" s="41" t="s">
        <v>172</v>
      </c>
      <c r="C255" s="310" t="s">
        <v>116</v>
      </c>
      <c r="D255" s="41"/>
      <c r="E255" s="41"/>
      <c r="F255" s="253" cm="1">
        <f t="array" ref="F255">+SUMPRODUCT(('Budget original'!$A$8:$A$501=$A255)*('Budget original'!$C$3:$AO$3=F$2),'Budget original'!$C$8:$AO$501)</f>
        <v>0</v>
      </c>
      <c r="G255" s="252"/>
      <c r="H255" s="41"/>
      <c r="I255" s="253"/>
      <c r="J255" s="252"/>
      <c r="K255" s="41"/>
      <c r="L255" s="255">
        <f>SUMIFS(BV_Data_An_Cour!$AN:$AN,BV_Data_An_Cour!$AP:$AP,$B255,BV_Data_An_Cour!$AQ:$AQ,$C255,BV_Data_An_Cour!$AR:$AR,$L$2)</f>
        <v>0</v>
      </c>
      <c r="M255" s="252"/>
      <c r="N255" s="275">
        <f t="shared" ref="N255:N285" si="67">L255-F255</f>
        <v>0</v>
      </c>
      <c r="O255" s="252"/>
      <c r="P255" s="41"/>
      <c r="Q255" s="255" cm="1">
        <f t="array" ref="Q255">+SUMPRODUCT(('Réel 2024'!$A$8:$A$501=$A255)*('Réel 2024'!$C$3:$AO$3=Q$2),'Réel 2024'!$C$8:$AO$501)</f>
        <v>0</v>
      </c>
      <c r="R255" s="252"/>
      <c r="S255" s="255">
        <f t="shared" ref="S255:S286" si="68">L255-Q255</f>
        <v>0</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hidden="1" customHeight="1">
      <c r="A256" s="5" t="str">
        <f t="shared" si="63"/>
        <v>CarrosserieSalaires commis</v>
      </c>
      <c r="B256" s="41" t="s">
        <v>172</v>
      </c>
      <c r="C256" s="311" t="s">
        <v>117</v>
      </c>
      <c r="D256" s="296"/>
      <c r="E256" s="41"/>
      <c r="F256" s="247" cm="1">
        <f t="array" ref="F256">+SUMPRODUCT(('Budget original'!$A$8:$A$501=$A256)*('Budget original'!$C$3:$AO$3=F$2),'Budget original'!$C$8:$AO$501)</f>
        <v>0</v>
      </c>
      <c r="G256" s="297"/>
      <c r="H256" s="41"/>
      <c r="I256" s="247"/>
      <c r="J256" s="252"/>
      <c r="K256" s="41"/>
      <c r="L256" s="255">
        <f>SUMIFS(BV_Data_An_Cour!$AN:$AN,BV_Data_An_Cour!$AP:$AP,$B256,BV_Data_An_Cour!$AQ:$AQ,$C256,BV_Data_An_Cour!$AR:$AR,$L$2)</f>
        <v>0</v>
      </c>
      <c r="M256" s="252"/>
      <c r="N256" s="275">
        <f t="shared" si="67"/>
        <v>0</v>
      </c>
      <c r="O256" s="252"/>
      <c r="P256" s="41"/>
      <c r="Q256" s="255" cm="1">
        <f t="array" ref="Q256">+SUMPRODUCT(('Réel 2024'!$A$8:$A$501=$A256)*('Réel 2024'!$C$3:$AO$3=Q$2),'Réel 2024'!$C$8:$AO$501)</f>
        <v>0</v>
      </c>
      <c r="R256" s="252"/>
      <c r="S256" s="275">
        <f t="shared" si="68"/>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hidden="1" customHeight="1">
      <c r="A257" s="5" t="str">
        <f t="shared" si="63"/>
        <v>CarrosserieSalaires autres</v>
      </c>
      <c r="B257" s="41" t="s">
        <v>172</v>
      </c>
      <c r="C257" s="310" t="s">
        <v>118</v>
      </c>
      <c r="D257" s="312"/>
      <c r="E257" s="313"/>
      <c r="F257" s="253" cm="1">
        <f t="array" ref="F257">+SUMPRODUCT(('Budget original'!$A$8:$A$501=$A257)*('Budget original'!$C$3:$AO$3=F$2),'Budget original'!$C$8:$AO$501)</f>
        <v>0</v>
      </c>
      <c r="G257" s="314"/>
      <c r="H257" s="313"/>
      <c r="I257" s="253"/>
      <c r="J257" s="240"/>
      <c r="K257" s="313"/>
      <c r="L257" s="271">
        <f>SUMIFS(BV_Data_An_Cour!$AN:$AN,BV_Data_An_Cour!$AP:$AP,$B257,BV_Data_An_Cour!$AQ:$AQ,$C257,BV_Data_An_Cour!$AR:$AR,$L$2)</f>
        <v>0</v>
      </c>
      <c r="M257" s="240"/>
      <c r="N257" s="315">
        <f t="shared" si="67"/>
        <v>0</v>
      </c>
      <c r="O257" s="240"/>
      <c r="P257" s="313"/>
      <c r="Q257" s="271" cm="1">
        <f t="array" ref="Q257">+SUMPRODUCT(('Réel 2024'!$A$8:$A$501=$A257)*('Réel 2024'!$C$3:$AO$3=Q$2),'Réel 2024'!$C$8:$AO$501)</f>
        <v>0</v>
      </c>
      <c r="R257" s="240"/>
      <c r="S257" s="315">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CarrosserieSalaires spécialistes</v>
      </c>
      <c r="B258" s="41" t="s">
        <v>172</v>
      </c>
      <c r="C258" s="310" t="s">
        <v>119</v>
      </c>
      <c r="D258" s="296"/>
      <c r="E258" s="41"/>
      <c r="F258" s="253" cm="1">
        <f t="array" ref="F258">+SUMPRODUCT(('Budget original'!$A$8:$A$501=$A258)*('Budget original'!$C$3:$AO$3=F$2),'Budget original'!$C$8:$AO$501)</f>
        <v>0</v>
      </c>
      <c r="G258" s="297"/>
      <c r="H258" s="41"/>
      <c r="I258" s="253"/>
      <c r="J258" s="252"/>
      <c r="K258" s="41"/>
      <c r="L258" s="255">
        <f>SUMIFS(BV_Data_An_Cour!$AN:$AN,BV_Data_An_Cour!$AP:$AP,$B258,BV_Data_An_Cour!$AQ:$AQ,$C258,BV_Data_An_Cour!$AR:$AR,$L$2)</f>
        <v>0</v>
      </c>
      <c r="M258" s="252"/>
      <c r="N258" s="275">
        <f t="shared" si="67"/>
        <v>0</v>
      </c>
      <c r="O258" s="252"/>
      <c r="P258" s="41"/>
      <c r="Q258" s="255" cm="1">
        <f t="array" ref="Q258">+SUMPRODUCT(('Réel 2024'!$A$8:$A$501=$A258)*('Réel 2024'!$C$3:$AO$3=Q$2),'Réel 2024'!$C$8:$AO$501)</f>
        <v>0</v>
      </c>
      <c r="R258" s="252"/>
      <c r="S258" s="275">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172</v>
      </c>
      <c r="C259" s="252" t="s">
        <v>55</v>
      </c>
      <c r="D259" s="296"/>
      <c r="E259" s="41"/>
      <c r="F259" s="253" cm="1">
        <f t="array" ref="F259">+SUMPRODUCT(('Budget original'!$A$8:$A$501=$A259)*('Budget original'!$C$3:$AO$3=F$2),'Budget original'!$C$8:$AO$501)</f>
        <v>0</v>
      </c>
      <c r="G259" s="297"/>
      <c r="H259" s="41"/>
      <c r="I259" s="253"/>
      <c r="J259" s="252"/>
      <c r="K259" s="41"/>
      <c r="L259" s="255">
        <f>SUMIFS(BV_Data_An_Cour!$AN:$AN,BV_Data_An_Cour!$AP:$AP,$B259,BV_Data_An_Cour!$AQ:$AQ,$C259,BV_Data_An_Cour!$AR:$AR,$L$2)</f>
        <v>0</v>
      </c>
      <c r="M259" s="252"/>
      <c r="N259" s="275">
        <f t="shared" si="67"/>
        <v>0</v>
      </c>
      <c r="O259" s="252"/>
      <c r="P259" s="41"/>
      <c r="Q259" s="255" cm="1">
        <f t="array" ref="Q259">+SUMPRODUCT(('Réel 2024'!$A$8:$A$501=$A259)*('Réel 2024'!$C$3:$AO$3=Q$2),'Réel 2024'!$C$8:$AO$501)</f>
        <v>0</v>
      </c>
      <c r="R259" s="252"/>
      <c r="S259" s="275">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172</v>
      </c>
      <c r="C260" s="252" t="s">
        <v>55</v>
      </c>
      <c r="D260" s="296"/>
      <c r="E260" s="41"/>
      <c r="F260" s="253" cm="1">
        <f t="array" ref="F260">+SUMPRODUCT(('Budget original'!$A$8:$A$501=$A260)*('Budget original'!$C$3:$AO$3=F$2),'Budget original'!$C$8:$AO$501)</f>
        <v>0</v>
      </c>
      <c r="G260" s="297"/>
      <c r="H260" s="41"/>
      <c r="I260" s="253"/>
      <c r="J260" s="252"/>
      <c r="K260" s="41"/>
      <c r="L260" s="255">
        <f>SUMIFS(BV_Data_An_Cour!$AN:$AN,BV_Data_An_Cour!$AP:$AP,$B260,BV_Data_An_Cour!$AQ:$AQ,$C260,BV_Data_An_Cour!$AR:$AR,$L$2)</f>
        <v>0</v>
      </c>
      <c r="M260" s="252"/>
      <c r="N260" s="275">
        <f t="shared" si="67"/>
        <v>0</v>
      </c>
      <c r="O260" s="252"/>
      <c r="P260" s="41"/>
      <c r="Q260" s="255" cm="1">
        <f t="array" ref="Q260">+SUMPRODUCT(('Réel 2024'!$A$8:$A$501=$A260)*('Réel 2024'!$C$3:$AO$3=Q$2),'Réel 2024'!$C$8:$AO$501)</f>
        <v>0</v>
      </c>
      <c r="R260" s="252"/>
      <c r="S260" s="275">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hidden="1" customHeight="1">
      <c r="A261" s="5" t="str">
        <f t="shared" si="63"/>
        <v>Carrosserie[...]</v>
      </c>
      <c r="B261" s="41" t="s">
        <v>172</v>
      </c>
      <c r="C261" s="252" t="s">
        <v>55</v>
      </c>
      <c r="D261" s="296"/>
      <c r="E261" s="41"/>
      <c r="F261" s="253" cm="1">
        <f t="array" ref="F261">+SUMPRODUCT(('Budget original'!$A$8:$A$501=$A261)*('Budget original'!$C$3:$AO$3=F$2),'Budget original'!$C$8:$AO$501)</f>
        <v>0</v>
      </c>
      <c r="G261" s="297"/>
      <c r="H261" s="41"/>
      <c r="I261" s="253"/>
      <c r="J261" s="252"/>
      <c r="K261" s="41"/>
      <c r="L261" s="255">
        <f>SUMIFS(BV_Data_An_Cour!$AN:$AN,BV_Data_An_Cour!$AP:$AP,$B261,BV_Data_An_Cour!$AQ:$AQ,$C261,BV_Data_An_Cour!$AR:$AR,$L$2)</f>
        <v>0</v>
      </c>
      <c r="M261" s="252"/>
      <c r="N261" s="275">
        <f t="shared" si="67"/>
        <v>0</v>
      </c>
      <c r="O261" s="252"/>
      <c r="P261" s="41"/>
      <c r="Q261" s="255" cm="1">
        <f t="array" ref="Q261">+SUMPRODUCT(('Réel 2024'!$A$8:$A$501=$A261)*('Réel 2024'!$C$3:$AO$3=Q$2),'Réel 2024'!$C$8:$AO$501)</f>
        <v>0</v>
      </c>
      <c r="R261" s="252"/>
      <c r="S261" s="275">
        <f t="shared" si="68"/>
        <v>0</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hidden="1" customHeight="1">
      <c r="A262" s="5" t="str">
        <f t="shared" si="63"/>
        <v>CarrosserieSalaires en absences</v>
      </c>
      <c r="B262" s="41" t="s">
        <v>172</v>
      </c>
      <c r="C262" s="311" t="s">
        <v>120</v>
      </c>
      <c r="D262" s="296"/>
      <c r="E262" s="41"/>
      <c r="F262" s="247" cm="1">
        <f t="array" ref="F262">+SUMPRODUCT(('Budget original'!$A$8:$A$501=$A262)*('Budget original'!$C$3:$AO$3=F$2),'Budget original'!$C$8:$AO$501)</f>
        <v>0</v>
      </c>
      <c r="G262" s="297"/>
      <c r="H262" s="41"/>
      <c r="I262" s="247"/>
      <c r="J262" s="252"/>
      <c r="K262" s="41"/>
      <c r="L262" s="255">
        <f>SUMIFS(BV_Data_An_Cour!$AN:$AN,BV_Data_An_Cour!$AP:$AP,$B262,BV_Data_An_Cour!$AQ:$AQ,$C262,BV_Data_An_Cour!$AR:$AR,$L$2)</f>
        <v>0</v>
      </c>
      <c r="M262" s="252"/>
      <c r="N262" s="275">
        <f t="shared" si="67"/>
        <v>0</v>
      </c>
      <c r="O262" s="252"/>
      <c r="P262" s="41"/>
      <c r="Q262" s="255" cm="1">
        <f t="array" ref="Q262">+SUMPRODUCT(('Réel 2024'!$A$8:$A$501=$A262)*('Réel 2024'!$C$3:$AO$3=Q$2),'Réel 2024'!$C$8:$AO$501)</f>
        <v>0</v>
      </c>
      <c r="R262" s="252"/>
      <c r="S262" s="275">
        <f t="shared" si="68"/>
        <v>0</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hidden="1" customHeight="1">
      <c r="A263" s="5" t="str">
        <f t="shared" si="63"/>
        <v>CarrosserieDéduction à la source</v>
      </c>
      <c r="B263" s="41" t="s">
        <v>172</v>
      </c>
      <c r="C263" s="310" t="s">
        <v>121</v>
      </c>
      <c r="D263" s="312"/>
      <c r="E263" s="313"/>
      <c r="F263" s="253" cm="1">
        <f t="array" ref="F263">+SUMPRODUCT(('Budget original'!$A$8:$A$501=$A263)*('Budget original'!$C$3:$AO$3=F$2),'Budget original'!$C$8:$AO$501)</f>
        <v>0</v>
      </c>
      <c r="G263" s="314"/>
      <c r="H263" s="313"/>
      <c r="I263" s="253"/>
      <c r="J263" s="240"/>
      <c r="K263" s="313"/>
      <c r="L263" s="271">
        <f>SUMIFS(BV_Data_An_Cour!$AN:$AN,BV_Data_An_Cour!$AP:$AP,$B263,BV_Data_An_Cour!$AQ:$AQ,$C263,BV_Data_An_Cour!$AR:$AR,$L$2)</f>
        <v>0</v>
      </c>
      <c r="M263" s="240"/>
      <c r="N263" s="315">
        <f t="shared" si="67"/>
        <v>0</v>
      </c>
      <c r="O263" s="240"/>
      <c r="P263" s="313"/>
      <c r="Q263" s="271" cm="1">
        <f t="array" ref="Q263">+SUMPRODUCT(('Réel 2024'!$A$8:$A$501=$A263)*('Réel 2024'!$C$3:$AO$3=Q$2),'Réel 2024'!$C$8:$AO$501)</f>
        <v>0</v>
      </c>
      <c r="R263" s="240"/>
      <c r="S263" s="315">
        <f t="shared" si="68"/>
        <v>0</v>
      </c>
      <c r="T263" s="41"/>
      <c r="U263" s="253"/>
      <c r="V263" s="41"/>
      <c r="W263" s="41"/>
      <c r="X263" s="41"/>
      <c r="Y263" s="41"/>
      <c r="Z263" s="41"/>
      <c r="AA263" s="41"/>
      <c r="AB263" s="41"/>
      <c r="AC263" s="41"/>
      <c r="AD263" s="41"/>
      <c r="AE263" s="41"/>
      <c r="AF263" s="41"/>
      <c r="AG263" s="41"/>
      <c r="AH263" s="41"/>
      <c r="AI263" s="41"/>
      <c r="AJ263" s="41"/>
      <c r="AK263" s="41"/>
      <c r="AL263" s="41"/>
      <c r="AM263" s="41"/>
      <c r="AN263" s="41"/>
    </row>
    <row r="264" spans="1:40" ht="15.75" hidden="1" customHeight="1">
      <c r="A264" s="5" t="str">
        <f t="shared" si="63"/>
        <v>CarrosserieBénéfices marginaux</v>
      </c>
      <c r="B264" s="41" t="s">
        <v>172</v>
      </c>
      <c r="C264" s="310" t="s">
        <v>122</v>
      </c>
      <c r="D264" s="296"/>
      <c r="E264" s="41"/>
      <c r="F264" s="253" cm="1">
        <f t="array" ref="F264">+SUMPRODUCT(('Budget original'!$A$8:$A$501=$A264)*('Budget original'!$C$3:$AO$3=F$2),'Budget original'!$C$8:$AO$501)</f>
        <v>0</v>
      </c>
      <c r="G264" s="297"/>
      <c r="H264" s="41"/>
      <c r="I264" s="253"/>
      <c r="J264" s="252"/>
      <c r="K264" s="41"/>
      <c r="L264" s="255">
        <f>SUMIFS(BV_Data_An_Cour!$AN:$AN,BV_Data_An_Cour!$AP:$AP,$B264,BV_Data_An_Cour!$AQ:$AQ,$C264,BV_Data_An_Cour!$AR:$AR,$L$2)</f>
        <v>0</v>
      </c>
      <c r="M264" s="252"/>
      <c r="N264" s="275">
        <f t="shared" si="67"/>
        <v>0</v>
      </c>
      <c r="O264" s="252"/>
      <c r="P264" s="41"/>
      <c r="Q264" s="255" cm="1">
        <f t="array" ref="Q264">+SUMPRODUCT(('Réel 2024'!$A$8:$A$501=$A264)*('Réel 2024'!$C$3:$AO$3=Q$2),'Réel 2024'!$C$8:$AO$501)</f>
        <v>0</v>
      </c>
      <c r="R264" s="252"/>
      <c r="S264" s="275">
        <f t="shared" si="68"/>
        <v>0</v>
      </c>
      <c r="T264" s="41"/>
      <c r="U264" s="253"/>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CarrosserieCsst</v>
      </c>
      <c r="B265" s="41" t="s">
        <v>172</v>
      </c>
      <c r="C265" s="310" t="s">
        <v>123</v>
      </c>
      <c r="D265" s="296"/>
      <c r="E265" s="41"/>
      <c r="F265" s="253" cm="1">
        <f t="array" ref="F265">+SUMPRODUCT(('Budget original'!$A$8:$A$501=$A265)*('Budget original'!$C$3:$AO$3=F$2),'Budget original'!$C$8:$AO$501)</f>
        <v>0</v>
      </c>
      <c r="G265" s="297"/>
      <c r="H265" s="41"/>
      <c r="I265" s="253"/>
      <c r="J265" s="252"/>
      <c r="K265" s="41"/>
      <c r="L265" s="255">
        <f>SUMIFS(BV_Data_An_Cour!$AN:$AN,BV_Data_An_Cour!$AP:$AP,$B265,BV_Data_An_Cour!$AQ:$AQ,$C265,BV_Data_An_Cour!$AR:$AR,$L$2)</f>
        <v>0</v>
      </c>
      <c r="M265" s="252"/>
      <c r="N265" s="275">
        <f t="shared" si="67"/>
        <v>0</v>
      </c>
      <c r="O265" s="252"/>
      <c r="P265" s="41"/>
      <c r="Q265" s="255" cm="1">
        <f t="array" ref="Q265">+SUMPRODUCT(('Réel 2024'!$A$8:$A$501=$A265)*('Réel 2024'!$C$3:$AO$3=Q$2),'Réel 2024'!$C$8:$AO$501)</f>
        <v>0</v>
      </c>
      <c r="R265" s="252"/>
      <c r="S265" s="275">
        <f t="shared" si="68"/>
        <v>0</v>
      </c>
      <c r="T265" s="41"/>
      <c r="U265" s="253"/>
      <c r="V265" s="41"/>
      <c r="W265" s="41"/>
      <c r="X265" s="41"/>
      <c r="Y265" s="41"/>
      <c r="Z265" s="41"/>
      <c r="AA265" s="41"/>
      <c r="AB265" s="41"/>
      <c r="AC265" s="41"/>
      <c r="AD265" s="41"/>
      <c r="AE265" s="41"/>
      <c r="AF265" s="41"/>
      <c r="AG265" s="41"/>
      <c r="AH265" s="41"/>
      <c r="AI265" s="41"/>
      <c r="AJ265" s="41"/>
      <c r="AK265" s="41"/>
      <c r="AL265" s="41"/>
      <c r="AM265" s="41"/>
      <c r="AN265" s="41"/>
    </row>
    <row r="266" spans="1:40" ht="15.75" hidden="1" customHeight="1">
      <c r="A266" s="5" t="str">
        <f t="shared" si="63"/>
        <v>Carrosserie[...]</v>
      </c>
      <c r="B266" s="41" t="s">
        <v>172</v>
      </c>
      <c r="C266" s="252" t="s">
        <v>55</v>
      </c>
      <c r="D266" s="298"/>
      <c r="E266" s="316"/>
      <c r="F266" s="253">
        <f t="array" ref="F266">+INDEX('Budget original'!$A$2:$AO$501,MATCH($A266,'Budget original'!$A$2:$A$501,0),MATCH(F$2,'Budget original'!$A$2:$AO$2,0))</f>
        <v>0</v>
      </c>
      <c r="G266" s="299"/>
      <c r="H266" s="316"/>
      <c r="I266" s="253"/>
      <c r="J266" s="245"/>
      <c r="K266" s="316"/>
      <c r="L266" s="255">
        <f>SUMIFS(BV_Data_An_Cour!$AN:$AN,BV_Data_An_Cour!$AP:$AP,$B266,BV_Data_An_Cour!$AQ:$AQ,$C266,BV_Data_An_Cour!$AR:$AR,$L$2)</f>
        <v>0</v>
      </c>
      <c r="M266" s="245"/>
      <c r="N266" s="295">
        <f t="shared" si="67"/>
        <v>0</v>
      </c>
      <c r="O266" s="245"/>
      <c r="P266" s="316"/>
      <c r="Q266" s="255" cm="1">
        <f t="array" ref="Q266">+SUMPRODUCT(('Réel 2024'!$A$8:$A$501=$A266)*('Réel 2024'!$C$3:$AO$3=Q$2),'Réel 2024'!$C$8:$AO$501)</f>
        <v>0</v>
      </c>
      <c r="R266" s="245"/>
      <c r="S266" s="295">
        <f t="shared" si="68"/>
        <v>0</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hidden="1" customHeight="1">
      <c r="A267" s="5" t="str">
        <f t="shared" si="63"/>
        <v>CarrosserieTOTAL PERSONNEL</v>
      </c>
      <c r="B267" s="41" t="s">
        <v>172</v>
      </c>
      <c r="C267" s="303" t="s">
        <v>124</v>
      </c>
      <c r="D267" s="304" t="s">
        <v>115</v>
      </c>
      <c r="E267" s="305" t="e">
        <f>F267/F$245</f>
        <v>#DIV/0!</v>
      </c>
      <c r="F267" s="306">
        <f>+SUM(F255:F266)</f>
        <v>0</v>
      </c>
      <c r="G267" s="307"/>
      <c r="H267" s="305"/>
      <c r="I267" s="306"/>
      <c r="J267" s="307" t="s">
        <v>115</v>
      </c>
      <c r="K267" s="305">
        <f>IF(L245=0,0,L267/L$245)</f>
        <v>0</v>
      </c>
      <c r="L267" s="306">
        <f>+SUM(L255:L266)</f>
        <v>0</v>
      </c>
      <c r="M267" s="353"/>
      <c r="N267" s="318">
        <f t="shared" si="67"/>
        <v>0</v>
      </c>
      <c r="O267" s="307" t="s">
        <v>115</v>
      </c>
      <c r="P267" s="305" t="e">
        <f>Q267/Q$245</f>
        <v>#DIV/0!</v>
      </c>
      <c r="Q267" s="306">
        <f>+SUM(Q255:Q266)</f>
        <v>0</v>
      </c>
      <c r="R267" s="353"/>
      <c r="S267" s="318">
        <f t="shared" si="68"/>
        <v>0</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hidden="1" customHeight="1">
      <c r="A268" s="5" t="str">
        <f t="shared" si="63"/>
        <v>CarrosseriePublicité 2</v>
      </c>
      <c r="B268" s="41" t="s">
        <v>172</v>
      </c>
      <c r="C268" s="404" t="s">
        <v>125</v>
      </c>
      <c r="D268" s="296"/>
      <c r="E268" s="41"/>
      <c r="F268" s="253" cm="1">
        <f t="array" ref="F268">+SUMPRODUCT(('Budget original'!$A$8:$A$501=$A268)*('Budget original'!$C$3:$AO$3=F$2),'Budget original'!$C$8:$AO$501)</f>
        <v>0</v>
      </c>
      <c r="G268" s="297"/>
      <c r="H268" s="41"/>
      <c r="I268" s="253"/>
      <c r="J268" s="252"/>
      <c r="K268" s="41"/>
      <c r="L268" s="255">
        <f>SUMIFS(BV_Data_An_Cour!$AN:$AN,BV_Data_An_Cour!$AP:$AP,$B268,BV_Data_An_Cour!$AQ:$AQ,$C268,BV_Data_An_Cour!$AR:$AR,$L$2)</f>
        <v>0</v>
      </c>
      <c r="M268" s="252"/>
      <c r="N268" s="275">
        <f t="shared" si="67"/>
        <v>0</v>
      </c>
      <c r="O268" s="252"/>
      <c r="P268" s="41"/>
      <c r="Q268" s="255" cm="1">
        <f t="array" ref="Q268">+SUMPRODUCT(('Réel 2024'!$A$8:$A$501=$A268)*('Réel 2024'!$C$3:$AO$3=Q$2),'Réel 2024'!$C$8:$AO$501)</f>
        <v>0</v>
      </c>
      <c r="R268" s="252"/>
      <c r="S268" s="275">
        <f t="shared" si="68"/>
        <v>0</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hidden="1" customHeight="1">
      <c r="A269" s="5" t="str">
        <f t="shared" si="63"/>
        <v>CarrosserieService gratuit 2</v>
      </c>
      <c r="B269" s="41" t="s">
        <v>172</v>
      </c>
      <c r="C269" s="310" t="s">
        <v>126</v>
      </c>
      <c r="D269" s="296"/>
      <c r="E269" s="41"/>
      <c r="F269" s="253" cm="1">
        <f t="array" ref="F269">+SUMPRODUCT(('Budget original'!$A$8:$A$501=$A269)*('Budget original'!$C$3:$AO$3=F$2),'Budget original'!$C$8:$AO$501)</f>
        <v>0</v>
      </c>
      <c r="G269" s="297"/>
      <c r="H269" s="41"/>
      <c r="I269" s="253"/>
      <c r="J269" s="252"/>
      <c r="K269" s="41"/>
      <c r="L269" s="255">
        <f>SUMIFS(BV_Data_An_Cour!$AN:$AN,BV_Data_An_Cour!$AP:$AP,$B269,BV_Data_An_Cour!$AQ:$AQ,$C269,BV_Data_An_Cour!$AR:$AR,$L$2)</f>
        <v>0</v>
      </c>
      <c r="M269" s="252"/>
      <c r="N269" s="275">
        <f t="shared" si="67"/>
        <v>0</v>
      </c>
      <c r="O269" s="252"/>
      <c r="P269" s="41"/>
      <c r="Q269" s="255" cm="1">
        <f t="array" ref="Q269">+SUMPRODUCT(('Réel 2024'!$A$8:$A$501=$A269)*('Réel 2024'!$C$3:$AO$3=Q$2),'Réel 2024'!$C$8:$AO$501)</f>
        <v>0</v>
      </c>
      <c r="R269" s="252"/>
      <c r="S269" s="275">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hidden="1" customHeight="1">
      <c r="A270" s="5" t="str">
        <f t="shared" si="63"/>
        <v>CarrosserieFrais véhicules de cie</v>
      </c>
      <c r="B270" s="41" t="s">
        <v>172</v>
      </c>
      <c r="C270" s="311" t="s">
        <v>127</v>
      </c>
      <c r="D270" s="298"/>
      <c r="E270" s="316"/>
      <c r="F270" s="247" cm="1">
        <f t="array" ref="F270">+SUMPRODUCT(('Budget original'!$A$8:$A$501=$A270)*('Budget original'!$C$3:$AO$3=F$2),'Budget original'!$C$8:$AO$501)</f>
        <v>0</v>
      </c>
      <c r="G270" s="299"/>
      <c r="H270" s="316"/>
      <c r="I270" s="247"/>
      <c r="J270" s="245"/>
      <c r="K270" s="316"/>
      <c r="L270" s="255">
        <f>SUMIFS(BV_Data_An_Cour!$AN:$AN,BV_Data_An_Cour!$AP:$AP,$B270,BV_Data_An_Cour!$AQ:$AQ,$C270,BV_Data_An_Cour!$AR:$AR,$L$2)</f>
        <v>0</v>
      </c>
      <c r="M270" s="245"/>
      <c r="N270" s="295">
        <f t="shared" si="67"/>
        <v>0</v>
      </c>
      <c r="O270" s="245"/>
      <c r="P270" s="316"/>
      <c r="Q270" s="255" cm="1">
        <f t="array" ref="Q270">+SUMPRODUCT(('Réel 2024'!$A$8:$A$501=$A270)*('Réel 2024'!$C$3:$AO$3=Q$2),'Réel 2024'!$C$8:$AO$501)</f>
        <v>0</v>
      </c>
      <c r="R270" s="245"/>
      <c r="S270" s="295">
        <f t="shared" si="68"/>
        <v>0</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hidden="1" customHeight="1">
      <c r="A271" s="5" t="str">
        <f t="shared" si="63"/>
        <v>CarrosserieInformatique</v>
      </c>
      <c r="B271" s="41" t="s">
        <v>172</v>
      </c>
      <c r="C271" s="310" t="s">
        <v>128</v>
      </c>
      <c r="D271" s="296"/>
      <c r="E271" s="41"/>
      <c r="F271" s="253" cm="1">
        <f t="array" ref="F271">+SUMPRODUCT(('Budget original'!$A$8:$A$501=$A271)*('Budget original'!$C$3:$AO$3=F$2),'Budget original'!$C$8:$AO$501)</f>
        <v>0</v>
      </c>
      <c r="G271" s="297"/>
      <c r="H271" s="41"/>
      <c r="I271" s="253"/>
      <c r="J271" s="252"/>
      <c r="K271" s="41"/>
      <c r="L271" s="271">
        <f>SUMIFS(BV_Data_An_Cour!$AN:$AN,BV_Data_An_Cour!$AP:$AP,$B271,BV_Data_An_Cour!$AQ:$AQ,$C271,BV_Data_An_Cour!$AR:$AR,$L$2)</f>
        <v>0</v>
      </c>
      <c r="M271" s="252"/>
      <c r="N271" s="275">
        <f t="shared" si="67"/>
        <v>0</v>
      </c>
      <c r="O271" s="252"/>
      <c r="P271" s="41"/>
      <c r="Q271" s="271" cm="1">
        <f t="array" ref="Q271">+SUMPRODUCT(('Réel 2024'!$A$8:$A$501=$A271)*('Réel 2024'!$C$3:$AO$3=Q$2),'Réel 2024'!$C$8:$AO$501)</f>
        <v>0</v>
      </c>
      <c r="R271" s="252"/>
      <c r="S271" s="275">
        <f t="shared" si="68"/>
        <v>0</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hidden="1" customHeight="1">
      <c r="A272" s="5" t="str">
        <f t="shared" si="63"/>
        <v>CarrosserieFrais de déplacement</v>
      </c>
      <c r="B272" s="41" t="s">
        <v>172</v>
      </c>
      <c r="C272" s="310" t="s">
        <v>129</v>
      </c>
      <c r="D272" s="296"/>
      <c r="E272" s="41"/>
      <c r="F272" s="253" cm="1">
        <f t="array" ref="F272">+SUMPRODUCT(('Budget original'!$A$8:$A$501=$A272)*('Budget original'!$C$3:$AO$3=F$2),'Budget original'!$C$8:$AO$501)</f>
        <v>0</v>
      </c>
      <c r="G272" s="297"/>
      <c r="H272" s="41"/>
      <c r="I272" s="253"/>
      <c r="J272" s="252"/>
      <c r="K272" s="41"/>
      <c r="L272" s="255">
        <f>SUMIFS(BV_Data_An_Cour!$AN:$AN,BV_Data_An_Cour!$AP:$AP,$B272,BV_Data_An_Cour!$AQ:$AQ,$C272,BV_Data_An_Cour!$AR:$AR,$L$2)</f>
        <v>0</v>
      </c>
      <c r="M272" s="252"/>
      <c r="N272" s="275">
        <f t="shared" si="67"/>
        <v>0</v>
      </c>
      <c r="O272" s="252"/>
      <c r="P272" s="41"/>
      <c r="Q272" s="255" cm="1">
        <f t="array" ref="Q272">+SUMPRODUCT(('Réel 2024'!$A$8:$A$501=$A272)*('Réel 2024'!$C$3:$AO$3=Q$2),'Réel 2024'!$C$8:$AO$501)</f>
        <v>0</v>
      </c>
      <c r="R272" s="252"/>
      <c r="S272" s="275">
        <f t="shared" si="68"/>
        <v>0</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hidden="1" customHeight="1">
      <c r="A273" s="5" t="str">
        <f t="shared" si="63"/>
        <v>CarrosserieServices extérieurs</v>
      </c>
      <c r="B273" s="41" t="s">
        <v>172</v>
      </c>
      <c r="C273" s="310" t="s">
        <v>130</v>
      </c>
      <c r="D273" s="298"/>
      <c r="E273" s="316"/>
      <c r="F273" s="247" cm="1">
        <f t="array" ref="F273">+SUMPRODUCT(('Budget original'!$A$8:$A$501=$A273)*('Budget original'!$C$3:$AO$3=F$2),'Budget original'!$C$8:$AO$501)</f>
        <v>0</v>
      </c>
      <c r="G273" s="299"/>
      <c r="H273" s="316"/>
      <c r="I273" s="247"/>
      <c r="J273" s="245"/>
      <c r="K273" s="316"/>
      <c r="L273" s="255">
        <f>SUMIFS(BV_Data_An_Cour!$AN:$AN,BV_Data_An_Cour!$AP:$AP,$B273,BV_Data_An_Cour!$AQ:$AQ,$C273,BV_Data_An_Cour!$AR:$AR,$L$2)</f>
        <v>0</v>
      </c>
      <c r="M273" s="245"/>
      <c r="N273" s="295">
        <f t="shared" si="67"/>
        <v>0</v>
      </c>
      <c r="O273" s="245"/>
      <c r="P273" s="316"/>
      <c r="Q273" s="247" cm="1">
        <f t="array" ref="Q273">+SUMPRODUCT(('Réel 2024'!$A$8:$A$501=$A273)*('Réel 2024'!$C$3:$AO$3=Q$2),'Réel 2024'!$C$8:$AO$501)</f>
        <v>0</v>
      </c>
      <c r="R273" s="245"/>
      <c r="S273" s="295">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hidden="1" customHeight="1">
      <c r="A274" s="5" t="str">
        <f t="shared" si="63"/>
        <v>CarrosserieFournitures d'atelier</v>
      </c>
      <c r="B274" s="41" t="s">
        <v>172</v>
      </c>
      <c r="C274" s="404" t="s">
        <v>483</v>
      </c>
      <c r="D274" s="296"/>
      <c r="E274" s="41"/>
      <c r="F274" s="253"/>
      <c r="G274" s="297"/>
      <c r="H274" s="41"/>
      <c r="I274" s="253"/>
      <c r="J274" s="252"/>
      <c r="K274" s="41"/>
      <c r="L274" s="271">
        <f>SUMIFS(BV_Data_An_Cour!$AN:$AN,BV_Data_An_Cour!$AP:$AP,$B274,BV_Data_An_Cour!$AQ:$AQ,$C274,BV_Data_An_Cour!$AR:$AR,$L$2)</f>
        <v>0</v>
      </c>
      <c r="M274" s="252"/>
      <c r="N274" s="275">
        <f t="shared" si="67"/>
        <v>0</v>
      </c>
      <c r="O274" s="252"/>
      <c r="P274" s="41"/>
      <c r="Q274" s="255"/>
      <c r="R274" s="252"/>
      <c r="S274" s="275">
        <f t="shared" si="68"/>
        <v>0</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hidden="1" customHeight="1">
      <c r="A275" s="5" t="str">
        <f t="shared" si="63"/>
        <v>CarrosserieFournitures autres</v>
      </c>
      <c r="B275" s="41" t="s">
        <v>172</v>
      </c>
      <c r="C275" s="310" t="s">
        <v>131</v>
      </c>
      <c r="D275" s="296"/>
      <c r="E275" s="41"/>
      <c r="F275" s="253" cm="1">
        <f t="array" ref="F275">+SUMPRODUCT(('Budget original'!$A$8:$A$501=$A275)*('Budget original'!$C$3:$AO$3=F$2),'Budget original'!$C$8:$AO$501)</f>
        <v>0</v>
      </c>
      <c r="G275" s="297"/>
      <c r="H275" s="41"/>
      <c r="I275" s="253"/>
      <c r="J275" s="252"/>
      <c r="K275" s="41"/>
      <c r="L275" s="255">
        <f>SUMIFS(BV_Data_An_Cour!$AN:$AN,BV_Data_An_Cour!$AP:$AP,$B275,BV_Data_An_Cour!$AQ:$AQ,$C275,BV_Data_An_Cour!$AR:$AR,$L$2)</f>
        <v>0</v>
      </c>
      <c r="M275" s="252"/>
      <c r="N275" s="275">
        <f t="shared" si="67"/>
        <v>0</v>
      </c>
      <c r="O275" s="252"/>
      <c r="P275" s="41"/>
      <c r="Q275" s="255" cm="1">
        <f t="array" ref="Q275">+SUMPRODUCT(('Réel 2024'!$A$8:$A$501=$A275)*('Réel 2024'!$C$3:$AO$3=Q$2),'Réel 2024'!$C$8:$AO$501)</f>
        <v>0</v>
      </c>
      <c r="R275" s="252"/>
      <c r="S275" s="275">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hidden="1" customHeight="1">
      <c r="A276" s="5" t="str">
        <f t="shared" si="63"/>
        <v>CarrosserieUniformes</v>
      </c>
      <c r="B276" s="41" t="s">
        <v>172</v>
      </c>
      <c r="C276" s="310" t="s">
        <v>132</v>
      </c>
      <c r="D276" s="296"/>
      <c r="E276" s="41"/>
      <c r="F276" s="253" cm="1">
        <f t="array" ref="F276">+SUMPRODUCT(('Budget original'!$A$8:$A$501=$A276)*('Budget original'!$C$3:$AO$3=F$2),'Budget original'!$C$8:$AO$501)</f>
        <v>0</v>
      </c>
      <c r="G276" s="297"/>
      <c r="H276" s="41"/>
      <c r="I276" s="253"/>
      <c r="J276" s="252"/>
      <c r="K276" s="41"/>
      <c r="L276" s="255">
        <f>SUMIFS(BV_Data_An_Cour!$AN:$AN,BV_Data_An_Cour!$AP:$AP,$B276,BV_Data_An_Cour!$AQ:$AQ,$C276,BV_Data_An_Cour!$AR:$AR,$L$2)</f>
        <v>0</v>
      </c>
      <c r="M276" s="252"/>
      <c r="N276" s="275">
        <f t="shared" si="67"/>
        <v>0</v>
      </c>
      <c r="O276" s="252"/>
      <c r="P276" s="41"/>
      <c r="Q276" s="255" cm="1">
        <f t="array" ref="Q276">+SUMPRODUCT(('Réel 2024'!$A$8:$A$501=$A276)*('Réel 2024'!$C$3:$AO$3=Q$2),'Réel 2024'!$C$8:$AO$501)</f>
        <v>0</v>
      </c>
      <c r="R276" s="252"/>
      <c r="S276" s="275">
        <f t="shared" si="68"/>
        <v>0</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hidden="1" customHeight="1">
      <c r="A277" s="5" t="str">
        <f t="shared" si="63"/>
        <v>CarrosseriePapeterie</v>
      </c>
      <c r="B277" s="41" t="s">
        <v>172</v>
      </c>
      <c r="C277" s="310" t="s">
        <v>133</v>
      </c>
      <c r="D277" s="296"/>
      <c r="E277" s="41"/>
      <c r="F277" s="253" cm="1">
        <f t="array" ref="F277">+SUMPRODUCT(('Budget original'!$A$8:$A$501=$A277)*('Budget original'!$C$3:$AO$3=F$2),'Budget original'!$C$8:$AO$501)</f>
        <v>0</v>
      </c>
      <c r="G277" s="297"/>
      <c r="H277" s="41"/>
      <c r="I277" s="253"/>
      <c r="J277" s="252"/>
      <c r="K277" s="41"/>
      <c r="L277" s="255">
        <f>SUMIFS(BV_Data_An_Cour!$AN:$AN,BV_Data_An_Cour!$AP:$AP,$B277,BV_Data_An_Cour!$AQ:$AQ,$C277,BV_Data_An_Cour!$AR:$AR,$L$2)</f>
        <v>0</v>
      </c>
      <c r="M277" s="252"/>
      <c r="N277" s="275">
        <f t="shared" si="67"/>
        <v>0</v>
      </c>
      <c r="O277" s="252"/>
      <c r="P277" s="41"/>
      <c r="Q277" s="255" cm="1">
        <f t="array" ref="Q277">+SUMPRODUCT(('Réel 2024'!$A$8:$A$501=$A277)*('Réel 2024'!$C$3:$AO$3=Q$2),'Réel 2024'!$C$8:$AO$501)</f>
        <v>0</v>
      </c>
      <c r="R277" s="252"/>
      <c r="S277" s="275">
        <f t="shared" si="68"/>
        <v>0</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hidden="1" customHeight="1">
      <c r="A278" s="5" t="str">
        <f t="shared" si="63"/>
        <v>CarrosserieTéléphone</v>
      </c>
      <c r="B278" s="41" t="s">
        <v>172</v>
      </c>
      <c r="C278" s="310" t="s">
        <v>134</v>
      </c>
      <c r="D278" s="296"/>
      <c r="E278" s="41"/>
      <c r="F278" s="253" cm="1">
        <f t="array" ref="F278">+SUMPRODUCT(('Budget original'!$A$8:$A$501=$A278)*('Budget original'!$C$3:$AO$3=F$2),'Budget original'!$C$8:$AO$501)</f>
        <v>0</v>
      </c>
      <c r="G278" s="297"/>
      <c r="H278" s="41"/>
      <c r="I278" s="253"/>
      <c r="J278" s="252"/>
      <c r="K278" s="41"/>
      <c r="L278" s="255">
        <f>SUMIFS(BV_Data_An_Cour!$AN:$AN,BV_Data_An_Cour!$AP:$AP,$B278,BV_Data_An_Cour!$AQ:$AQ,$C278,BV_Data_An_Cour!$AR:$AR,$L$2)</f>
        <v>0</v>
      </c>
      <c r="M278" s="252"/>
      <c r="N278" s="275">
        <f t="shared" si="67"/>
        <v>0</v>
      </c>
      <c r="O278" s="252"/>
      <c r="P278" s="41"/>
      <c r="Q278" s="255" cm="1">
        <f t="array" ref="Q278">+SUMPRODUCT(('Réel 2024'!$A$8:$A$501=$A278)*('Réel 2024'!$C$3:$AO$3=Q$2),'Réel 2024'!$C$8:$AO$501)</f>
        <v>0</v>
      </c>
      <c r="R278" s="252"/>
      <c r="S278" s="275">
        <f t="shared" si="68"/>
        <v>0</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hidden="1" customHeight="1">
      <c r="A279" s="5" t="str">
        <f t="shared" si="63"/>
        <v>CarrosserieFrais postaux</v>
      </c>
      <c r="B279" s="41" t="s">
        <v>172</v>
      </c>
      <c r="C279" s="310" t="s">
        <v>135</v>
      </c>
      <c r="D279" s="296"/>
      <c r="E279" s="41"/>
      <c r="F279" s="253" cm="1">
        <f t="array" ref="F279">+SUMPRODUCT(('Budget original'!$A$8:$A$501=$A279)*('Budget original'!$C$3:$AO$3=F$2),'Budget original'!$C$8:$AO$501)</f>
        <v>0</v>
      </c>
      <c r="G279" s="297"/>
      <c r="H279" s="41"/>
      <c r="I279" s="253"/>
      <c r="J279" s="252"/>
      <c r="K279" s="41"/>
      <c r="L279" s="255">
        <f>SUMIFS(BV_Data_An_Cour!$AN:$AN,BV_Data_An_Cour!$AP:$AP,$B279,BV_Data_An_Cour!$AQ:$AQ,$C279,BV_Data_An_Cour!$AR:$AR,$L$2)</f>
        <v>0</v>
      </c>
      <c r="M279" s="252"/>
      <c r="N279" s="275">
        <f t="shared" si="67"/>
        <v>0</v>
      </c>
      <c r="O279" s="252"/>
      <c r="P279" s="41"/>
      <c r="Q279" s="255" cm="1">
        <f t="array" ref="Q279">+SUMPRODUCT(('Réel 2024'!$A$8:$A$501=$A279)*('Réel 2024'!$C$3:$AO$3=Q$2),'Réel 2024'!$C$8:$AO$501)</f>
        <v>0</v>
      </c>
      <c r="R279" s="252"/>
      <c r="S279" s="275">
        <f t="shared" si="68"/>
        <v>0</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hidden="1" customHeight="1">
      <c r="A280" s="5" t="str">
        <f t="shared" si="63"/>
        <v>CarrosserieDivers</v>
      </c>
      <c r="B280" s="41" t="s">
        <v>172</v>
      </c>
      <c r="C280" s="310" t="s">
        <v>136</v>
      </c>
      <c r="D280" s="296"/>
      <c r="E280" s="41"/>
      <c r="F280" s="253" cm="1">
        <f t="array" ref="F280">+SUMPRODUCT(('Budget original'!$A$8:$A$501=$A280)*('Budget original'!$C$3:$AO$3=F$2),'Budget original'!$C$8:$AO$501)</f>
        <v>0</v>
      </c>
      <c r="G280" s="297"/>
      <c r="H280" s="41"/>
      <c r="I280" s="253"/>
      <c r="J280" s="252"/>
      <c r="K280" s="41"/>
      <c r="L280" s="255">
        <f>SUMIFS(BV_Data_An_Cour!$AN:$AN,BV_Data_An_Cour!$AP:$AP,$B280,BV_Data_An_Cour!$AQ:$AQ,$C280,BV_Data_An_Cour!$AR:$AR,$L$2)</f>
        <v>0</v>
      </c>
      <c r="M280" s="252"/>
      <c r="N280" s="275">
        <f t="shared" si="67"/>
        <v>0</v>
      </c>
      <c r="O280" s="252"/>
      <c r="P280" s="41"/>
      <c r="Q280" s="255" cm="1">
        <f t="array" ref="Q280">+SUMPRODUCT(('Réel 2024'!$A$8:$A$501=$A280)*('Réel 2024'!$C$3:$AO$3=Q$2),'Réel 2024'!$C$8:$AO$501)</f>
        <v>0</v>
      </c>
      <c r="R280" s="252"/>
      <c r="S280" s="275">
        <f t="shared" si="68"/>
        <v>0</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hidden="1" customHeight="1">
      <c r="A281" s="5" t="str">
        <f t="shared" si="63"/>
        <v>CarrosserieFormation</v>
      </c>
      <c r="B281" s="41" t="s">
        <v>172</v>
      </c>
      <c r="C281" s="310" t="s">
        <v>137</v>
      </c>
      <c r="D281" s="296"/>
      <c r="E281" s="41"/>
      <c r="F281" s="253" cm="1">
        <f t="array" ref="F281">+SUMPRODUCT(('Budget original'!$A$8:$A$501=$A281)*('Budget original'!$C$3:$AO$3=F$2),'Budget original'!$C$8:$AO$501)</f>
        <v>0</v>
      </c>
      <c r="G281" s="297"/>
      <c r="H281" s="41"/>
      <c r="I281" s="253"/>
      <c r="J281" s="252"/>
      <c r="K281" s="41"/>
      <c r="L281" s="255">
        <f>SUMIFS(BV_Data_An_Cour!$AN:$AN,BV_Data_An_Cour!$AP:$AP,$B281,BV_Data_An_Cour!$AQ:$AQ,$C281,BV_Data_An_Cour!$AR:$AR,$L$2)</f>
        <v>0</v>
      </c>
      <c r="M281" s="252"/>
      <c r="N281" s="275">
        <f t="shared" si="67"/>
        <v>0</v>
      </c>
      <c r="O281" s="252"/>
      <c r="P281" s="41"/>
      <c r="Q281" s="255" cm="1">
        <f t="array" ref="Q281">+SUMPRODUCT(('Réel 2024'!$A$8:$A$501=$A281)*('Réel 2024'!$C$3:$AO$3=Q$2),'Réel 2024'!$C$8:$AO$501)</f>
        <v>0</v>
      </c>
      <c r="R281" s="252"/>
      <c r="S281" s="275">
        <f t="shared" si="68"/>
        <v>0</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CarrosserieFrais bancaires</v>
      </c>
      <c r="B282" s="41" t="s">
        <v>172</v>
      </c>
      <c r="C282" s="310" t="s">
        <v>138</v>
      </c>
      <c r="D282" s="296"/>
      <c r="E282" s="41"/>
      <c r="F282" s="253" cm="1">
        <f t="array" ref="F282">+SUMPRODUCT(('Budget original'!$A$8:$A$501=$A282)*('Budget original'!$C$3:$AO$3=F$2),'Budget original'!$C$8:$AO$501)</f>
        <v>0</v>
      </c>
      <c r="G282" s="297"/>
      <c r="H282" s="41"/>
      <c r="I282" s="253"/>
      <c r="J282" s="252"/>
      <c r="K282" s="41"/>
      <c r="L282" s="255">
        <f>SUMIFS(BV_Data_An_Cour!$AN:$AN,BV_Data_An_Cour!$AP:$AP,$B282,BV_Data_An_Cour!$AQ:$AQ,$C282,BV_Data_An_Cour!$AR:$AR,L$2)</f>
        <v>0</v>
      </c>
      <c r="M282" s="252"/>
      <c r="N282" s="275">
        <f t="shared" si="67"/>
        <v>0</v>
      </c>
      <c r="O282" s="252"/>
      <c r="P282" s="41"/>
      <c r="Q282" s="255" cm="1">
        <f t="array" ref="Q282">+SUMPRODUCT(('Réel 2024'!$A$8:$A$501=$A282)*('Réel 2024'!$C$3:$AO$3=Q$2),'Réel 2024'!$C$8:$AO$501)</f>
        <v>0</v>
      </c>
      <c r="R282" s="252"/>
      <c r="S282" s="275">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172</v>
      </c>
      <c r="C283" s="310" t="s">
        <v>55</v>
      </c>
      <c r="D283" s="296"/>
      <c r="E283" s="41"/>
      <c r="F283" s="253" cm="1">
        <f t="array" ref="F283">+SUMPRODUCT(('Budget original'!$A$8:$A$501=$A283)*('Budget original'!$C$3:$AO$3=F$2),'Budget original'!$C$8:$AO$501)</f>
        <v>0</v>
      </c>
      <c r="G283" s="297"/>
      <c r="H283" s="41"/>
      <c r="I283" s="253"/>
      <c r="J283" s="252"/>
      <c r="K283" s="41"/>
      <c r="L283" s="255">
        <f>SUMIFS(BV_Data_An_Cour!$AN:$AN,BV_Data_An_Cour!$AP:$AP,$B283,BV_Data_An_Cour!$AQ:$AQ,$C283,BV_Data_An_Cour!$AR:$AR,$L$2)</f>
        <v>0</v>
      </c>
      <c r="M283" s="252"/>
      <c r="N283" s="275">
        <f t="shared" si="67"/>
        <v>0</v>
      </c>
      <c r="O283" s="252"/>
      <c r="P283" s="41"/>
      <c r="Q283" s="255" cm="1">
        <f t="array" ref="Q283">+SUMPRODUCT(('Réel 2024'!$A$8:$A$501=$A283)*('Réel 2024'!$C$3:$AO$3=Q$2),'Réel 2024'!$C$8:$AO$501)</f>
        <v>0</v>
      </c>
      <c r="R283" s="252"/>
      <c r="S283" s="275">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172</v>
      </c>
      <c r="C284" s="310" t="s">
        <v>55</v>
      </c>
      <c r="D284" s="296"/>
      <c r="E284" s="41"/>
      <c r="F284" s="253" cm="1">
        <f t="array" ref="F284">+SUMPRODUCT(('Budget original'!$A$8:$A$501=$A284)*('Budget original'!$C$3:$AO$3=F$2),'Budget original'!$C$8:$AO$501)</f>
        <v>0</v>
      </c>
      <c r="G284" s="297"/>
      <c r="H284" s="41"/>
      <c r="I284" s="253"/>
      <c r="J284" s="252"/>
      <c r="K284" s="41"/>
      <c r="L284" s="255">
        <f>SUMIFS(BV_Data_An_Cour!$AN:$AN,BV_Data_An_Cour!$AP:$AP,$B284,BV_Data_An_Cour!$AQ:$AQ,$C284,BV_Data_An_Cour!$AR:$AR,$L$2)</f>
        <v>0</v>
      </c>
      <c r="M284" s="252"/>
      <c r="N284" s="275">
        <f t="shared" si="67"/>
        <v>0</v>
      </c>
      <c r="O284" s="252"/>
      <c r="P284" s="41"/>
      <c r="Q284" s="255" cm="1">
        <f t="array" ref="Q284">+SUMPRODUCT(('Réel 2024'!$A$8:$A$501=$A284)*('Réel 2024'!$C$3:$AO$3=Q$2),'Réel 2024'!$C$8:$AO$501)</f>
        <v>0</v>
      </c>
      <c r="R284" s="252"/>
      <c r="S284" s="275">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hidden="1" customHeight="1">
      <c r="A285" s="5" t="str">
        <f t="shared" si="63"/>
        <v>Carrosserie[...]</v>
      </c>
      <c r="B285" s="41" t="s">
        <v>172</v>
      </c>
      <c r="C285" s="310" t="s">
        <v>55</v>
      </c>
      <c r="D285" s="296"/>
      <c r="E285" s="41"/>
      <c r="F285" s="253" cm="1">
        <f t="array" ref="F285">+SUMPRODUCT(('Budget original'!$A$8:$A$501=$A285)*('Budget original'!$C$3:$AO$3=F$2),'Budget original'!$C$8:$AO$501)</f>
        <v>0</v>
      </c>
      <c r="G285" s="297"/>
      <c r="H285" s="41"/>
      <c r="I285" s="253"/>
      <c r="J285" s="252"/>
      <c r="K285" s="41"/>
      <c r="L285" s="255">
        <f>SUMIFS(BV_Data_An_Cour!$AN:$AN,BV_Data_An_Cour!$AP:$AP,$B285,BV_Data_An_Cour!$AQ:$AQ,$C285,BV_Data_An_Cour!$AR:$AR,$L$2)</f>
        <v>0</v>
      </c>
      <c r="M285" s="252"/>
      <c r="N285" s="275">
        <f t="shared" si="67"/>
        <v>0</v>
      </c>
      <c r="O285" s="252"/>
      <c r="P285" s="41"/>
      <c r="Q285" s="255" cm="1">
        <f t="array" ref="Q285">+SUMPRODUCT(('Réel 2024'!$A$8:$A$501=$A285)*('Réel 2024'!$C$3:$AO$3=Q$2),'Réel 2024'!$C$8:$AO$501)</f>
        <v>0</v>
      </c>
      <c r="R285" s="252"/>
      <c r="S285" s="275">
        <f t="shared" si="68"/>
        <v>0</v>
      </c>
      <c r="T285" s="4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hidden="1" customHeight="1">
      <c r="B286" s="41"/>
      <c r="C286" s="303" t="s">
        <v>139</v>
      </c>
      <c r="D286" s="304" t="s">
        <v>115</v>
      </c>
      <c r="E286" s="305">
        <f>IF(F251=0,0,F286/F$251)</f>
        <v>0</v>
      </c>
      <c r="F286" s="306">
        <f>+SUM(F268:F285)</f>
        <v>0</v>
      </c>
      <c r="G286" s="307"/>
      <c r="H286" s="305"/>
      <c r="I286" s="306"/>
      <c r="J286" s="307" t="s">
        <v>115</v>
      </c>
      <c r="K286" s="305">
        <f>IF(L263=0,0,L286/L$242)</f>
        <v>0</v>
      </c>
      <c r="L286" s="306">
        <f>+SUM(L268:L285)</f>
        <v>0</v>
      </c>
      <c r="M286" s="309"/>
      <c r="N286" s="306">
        <f>+SUM(N268:N285)</f>
        <v>0</v>
      </c>
      <c r="O286" s="307" t="s">
        <v>115</v>
      </c>
      <c r="P286" s="305">
        <f>IF(Q251=0,0,Q286/Q$251)</f>
        <v>0</v>
      </c>
      <c r="Q286" s="306">
        <f>+SUM(Q268:Q285)</f>
        <v>0</v>
      </c>
      <c r="R286" s="309"/>
      <c r="S286" s="306">
        <f t="shared" si="68"/>
        <v>0</v>
      </c>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hidden="1" customHeight="1">
      <c r="B287" s="41"/>
      <c r="C287" s="245"/>
      <c r="D287" s="298"/>
      <c r="E287" s="316"/>
      <c r="F287" s="275"/>
      <c r="G287" s="299"/>
      <c r="H287" s="316"/>
      <c r="I287" s="275"/>
      <c r="J287" s="245"/>
      <c r="K287" s="316"/>
      <c r="L287" s="295"/>
      <c r="M287" s="245"/>
      <c r="N287" s="295"/>
      <c r="O287" s="245"/>
      <c r="P287" s="316"/>
      <c r="Q287" s="295"/>
      <c r="R287" s="245"/>
      <c r="S287" s="295"/>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hidden="1" customHeight="1">
      <c r="B288" s="41"/>
      <c r="C288" s="303" t="s">
        <v>140</v>
      </c>
      <c r="D288" s="304" t="s">
        <v>115</v>
      </c>
      <c r="E288" s="305">
        <f>IF(F251=0,0,F288/F$251)</f>
        <v>0</v>
      </c>
      <c r="F288" s="306">
        <f>F267+F286</f>
        <v>0</v>
      </c>
      <c r="G288" s="307"/>
      <c r="H288" s="305"/>
      <c r="I288" s="306"/>
      <c r="J288" s="307" t="s">
        <v>115</v>
      </c>
      <c r="K288" s="305">
        <f>IF(L265=0,0,L288/L$245)</f>
        <v>0</v>
      </c>
      <c r="L288" s="306">
        <f>L267+L286</f>
        <v>0</v>
      </c>
      <c r="M288" s="309"/>
      <c r="N288" s="318">
        <f>L288-F288</f>
        <v>0</v>
      </c>
      <c r="O288" s="307" t="s">
        <v>115</v>
      </c>
      <c r="P288" s="305">
        <f>IF(Q251=0,0,Q288/Q$251)</f>
        <v>0</v>
      </c>
      <c r="Q288" s="306">
        <f>Q267+Q286</f>
        <v>0</v>
      </c>
      <c r="R288" s="309"/>
      <c r="S288" s="318">
        <f>L288-Q288</f>
        <v>0</v>
      </c>
      <c r="T288" s="1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hidden="1" customHeight="1">
      <c r="B289" s="41"/>
      <c r="C289" s="252"/>
      <c r="D289" s="296"/>
      <c r="E289" s="41"/>
      <c r="F289" s="275"/>
      <c r="G289" s="297"/>
      <c r="H289" s="41"/>
      <c r="I289" s="275"/>
      <c r="J289" s="252"/>
      <c r="K289" s="41"/>
      <c r="L289" s="275"/>
      <c r="M289" s="252"/>
      <c r="N289" s="275">
        <f>L289-F289</f>
        <v>0</v>
      </c>
      <c r="O289" s="252"/>
      <c r="P289" s="41"/>
      <c r="Q289" s="275"/>
      <c r="R289" s="252"/>
      <c r="S289" s="275"/>
      <c r="T289" s="4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hidden="1" customHeight="1" thickBot="1">
      <c r="B290" s="41"/>
      <c r="C290" s="330" t="s">
        <v>147</v>
      </c>
      <c r="D290" s="358"/>
      <c r="E290" s="331"/>
      <c r="F290" s="333">
        <f>F251-F288</f>
        <v>0</v>
      </c>
      <c r="G290" s="359"/>
      <c r="H290" s="331"/>
      <c r="I290" s="333"/>
      <c r="J290" s="330"/>
      <c r="K290" s="332"/>
      <c r="L290" s="333">
        <f>L251-L288</f>
        <v>0</v>
      </c>
      <c r="M290" s="330"/>
      <c r="N290" s="333">
        <f>L290-F290</f>
        <v>0</v>
      </c>
      <c r="O290" s="330"/>
      <c r="P290" s="332"/>
      <c r="Q290" s="333">
        <f>Q251-Q288</f>
        <v>0</v>
      </c>
      <c r="R290" s="330"/>
      <c r="S290" s="333">
        <f>L290-Q290</f>
        <v>0</v>
      </c>
      <c r="T290" s="1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15.75" customHeight="1">
      <c r="B291" s="41"/>
      <c r="C291" s="41"/>
      <c r="D291" s="41"/>
      <c r="E291" s="41"/>
      <c r="F291" s="41"/>
      <c r="G291" s="41"/>
      <c r="H291" s="41"/>
      <c r="I291" s="41"/>
      <c r="J291" s="41"/>
      <c r="K291" s="41"/>
      <c r="L291" s="290"/>
      <c r="M291" s="41"/>
      <c r="N291" s="41"/>
      <c r="O291" s="41"/>
      <c r="P291" s="41"/>
      <c r="Q291" s="41"/>
      <c r="R291" s="41"/>
      <c r="S291" s="41"/>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36" customHeight="1">
      <c r="B292" s="41"/>
      <c r="C292" s="36" t="str">
        <f>C1</f>
        <v>Hyundai</v>
      </c>
      <c r="D292" s="231"/>
      <c r="E292" s="231"/>
      <c r="F292" s="231"/>
      <c r="G292" s="231"/>
      <c r="H292" s="36"/>
      <c r="I292" s="36"/>
      <c r="J292" s="36"/>
      <c r="K292" s="9" t="s">
        <v>176</v>
      </c>
      <c r="L292" s="231"/>
      <c r="M292" s="231"/>
      <c r="N292" s="36"/>
      <c r="O292" s="36"/>
      <c r="P292" s="231"/>
      <c r="Q292" s="36"/>
      <c r="R292" s="231"/>
      <c r="S292" s="10" t="str">
        <f>$S$1</f>
        <v>Réalisé AAJ, Mai 2025</v>
      </c>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thickBot="1">
      <c r="B293" s="41"/>
      <c r="C293" s="37"/>
      <c r="D293" s="38"/>
      <c r="E293" s="38"/>
      <c r="F293" s="38"/>
      <c r="G293" s="38"/>
      <c r="H293" s="38"/>
      <c r="I293" s="38"/>
      <c r="J293" s="38"/>
      <c r="K293" s="38"/>
      <c r="L293" s="38"/>
      <c r="M293" s="38"/>
      <c r="N293" s="38"/>
      <c r="O293" s="38"/>
      <c r="P293" s="38"/>
      <c r="Q293" s="38"/>
      <c r="R293" s="38"/>
      <c r="S293" s="38"/>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thickTop="1">
      <c r="B294" s="41"/>
      <c r="C294" s="237"/>
      <c r="D294" s="1058" t="s">
        <v>339</v>
      </c>
      <c r="E294" s="1059"/>
      <c r="F294" s="1060"/>
      <c r="G294" s="1061"/>
      <c r="H294" s="1059"/>
      <c r="I294" s="1060"/>
      <c r="J294" s="1061" t="s">
        <v>340</v>
      </c>
      <c r="K294" s="1059"/>
      <c r="L294" s="1060"/>
      <c r="M294" s="1061" t="s">
        <v>681</v>
      </c>
      <c r="N294" s="1060"/>
      <c r="O294" s="1058" t="s">
        <v>341</v>
      </c>
      <c r="P294" s="1059"/>
      <c r="Q294" s="1060"/>
      <c r="R294" s="1062" t="s">
        <v>683</v>
      </c>
      <c r="S294" s="1063"/>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ref="A295:A349" si="69">+B295&amp;C295</f>
        <v>Pièces</v>
      </c>
      <c r="B295" s="41" t="s">
        <v>176</v>
      </c>
      <c r="C295" s="1039"/>
      <c r="D295" s="39" t="s">
        <v>159</v>
      </c>
      <c r="E295" s="39" t="s">
        <v>177</v>
      </c>
      <c r="F295" s="338" t="s">
        <v>91</v>
      </c>
      <c r="G295" s="339"/>
      <c r="H295" s="39"/>
      <c r="I295" s="338"/>
      <c r="J295" s="39" t="s">
        <v>159</v>
      </c>
      <c r="K295" s="39" t="s">
        <v>177</v>
      </c>
      <c r="L295" s="338" t="s">
        <v>91</v>
      </c>
      <c r="M295" s="339" t="s">
        <v>158</v>
      </c>
      <c r="N295" s="338" t="s">
        <v>682</v>
      </c>
      <c r="O295" s="39" t="s">
        <v>159</v>
      </c>
      <c r="P295" s="39" t="s">
        <v>177</v>
      </c>
      <c r="Q295" s="338" t="s">
        <v>91</v>
      </c>
      <c r="R295" s="339" t="s">
        <v>453</v>
      </c>
      <c r="S295" s="338" t="s">
        <v>91</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Clients</v>
      </c>
      <c r="B296" s="41" t="s">
        <v>176</v>
      </c>
      <c r="C296" s="1040" t="s">
        <v>178</v>
      </c>
      <c r="D296" s="290" cm="1">
        <f t="array" ref="D296">+SUMPRODUCT(('Budget original'!$A$8:$A$501=$A296)*('Budget original'!$C$3:$AO$3=D$2),'Budget original'!$C$8:$AO$501)</f>
        <v>0</v>
      </c>
      <c r="E296" s="351">
        <f t="shared" ref="E296:E304" si="70">IF(D296=0,0,F296/D296)</f>
        <v>0</v>
      </c>
      <c r="F296" s="275" cm="1">
        <f t="array" ref="F296">+SUMPRODUCT(('Budget original'!$A$8:$A$501=$A296)*('Budget original'!$C$3:$AO$3=F$2),'Budget original'!$C$8:$AO$501)</f>
        <v>0</v>
      </c>
      <c r="G296" s="290"/>
      <c r="H296" s="351"/>
      <c r="I296" s="275"/>
      <c r="J296" s="253">
        <f>-SUMIFS(BV_Data_An_Cour!$AN:$AN,BV_Data_An_Cour!$AS:$AS,"Oui",BV_Data_An_Cour!$AP:$AP,$B296,BV_Data_An_Cour!$AQ:$AQ,$C296)</f>
        <v>361352.77</v>
      </c>
      <c r="K296" s="351">
        <f t="shared" ref="K296:K305" si="71">IF(J296&lt;=0,0,L296/J296)</f>
        <v>0.3476742962285857</v>
      </c>
      <c r="L296" s="275">
        <f>-SUMIFS(BV_Data_An_Cour!$AN:$AN,BV_Data_An_Cour!$AP:$AP,$B296,BV_Data_An_Cour!$AQ:$AQ,$C296,BV_Data_An_Cour!$AR:$AR,$L$2)</f>
        <v>125633.07</v>
      </c>
      <c r="M296" s="291" t="e">
        <f t="shared" ref="M296:M302" si="72">(+J296-D296)/D296</f>
        <v>#DIV/0!</v>
      </c>
      <c r="N296" s="275">
        <f t="shared" ref="N296:N305" si="73">L296-F296</f>
        <v>125633.07</v>
      </c>
      <c r="O296" s="253">
        <f>-SUMIFS(BV_Data_An_Prec!$AN:$AN,BV_Data_An_Prec!$AS:$AS,"Oui",BV_Data_An_Prec!$AP:$AP,$B296,BV_Data_An_Prec!$AQ:$AQ,$C296)</f>
        <v>0</v>
      </c>
      <c r="P296" s="351">
        <f t="shared" ref="P296:P305" si="74">IF(O296&lt;=0,0,Q296/O296)</f>
        <v>0</v>
      </c>
      <c r="Q296" s="255">
        <f>-SUMIFS(BV_Data_An_Prec!$AN:$AN,BV_Data_An_Prec!$AP:$AP,$B296,BV_Data_An_Prec!$AQ:$AQ,$C296,BV_Data_An_Prec!$AR:$AR,$L$2)</f>
        <v>0</v>
      </c>
      <c r="R296" s="291">
        <f t="shared" ref="R296:R305" si="75">IF(O296=0,0,(J296-O296)/O296)</f>
        <v>0</v>
      </c>
      <c r="S296" s="275">
        <f t="shared" ref="S296:S305" si="76">L296-Q296</f>
        <v>125633.07</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PiècesPièces Ro Carrosserie</v>
      </c>
      <c r="B297" s="41" t="s">
        <v>176</v>
      </c>
      <c r="C297" s="1040" t="s">
        <v>179</v>
      </c>
      <c r="D297" s="290" cm="1">
        <f t="array" ref="D297">+SUMPRODUCT(('Budget original'!$A$8:$A$501=$A297)*('Budget original'!$C$3:$AO$3=D$2),'Budget original'!$C$8:$AO$501)</f>
        <v>0</v>
      </c>
      <c r="E297" s="351">
        <f t="shared" si="70"/>
        <v>0</v>
      </c>
      <c r="F297" s="275" cm="1">
        <f t="array" ref="F297">+SUMPRODUCT(('Budget original'!$A$8:$A$501=$A297)*('Budget original'!$C$3:$AO$3=F$2),'Budget original'!$C$8:$AO$501)</f>
        <v>0</v>
      </c>
      <c r="G297" s="290"/>
      <c r="H297" s="351"/>
      <c r="I297" s="275"/>
      <c r="J297" s="253">
        <f>-SUMIFS(BV_Data_An_Cour!$AN:$AN,BV_Data_An_Cour!$AS:$AS,"Oui",BV_Data_An_Cour!$AP:$AP,$B297,BV_Data_An_Cour!$AQ:$AQ,$C297)</f>
        <v>0</v>
      </c>
      <c r="K297" s="351">
        <f t="shared" si="71"/>
        <v>0</v>
      </c>
      <c r="L297" s="275">
        <f>-SUMIFS(BV_Data_An_Cour!$AN:$AN,BV_Data_An_Cour!$AP:$AP,$B297,BV_Data_An_Cour!$AQ:$AQ,$C297,BV_Data_An_Cour!$AR:$AR,$L$2)</f>
        <v>0</v>
      </c>
      <c r="M297" s="291" t="e">
        <f t="shared" si="72"/>
        <v>#DIV/0!</v>
      </c>
      <c r="N297" s="275">
        <f t="shared" si="73"/>
        <v>0</v>
      </c>
      <c r="O297" s="253">
        <f>-SUMIFS(BV_Data_An_Prec!$AN:$AN,BV_Data_An_Prec!$AS:$AS,"Oui",BV_Data_An_Prec!$AP:$AP,$B297,BV_Data_An_Prec!$AQ:$AQ,$C297)</f>
        <v>0</v>
      </c>
      <c r="P297" s="351">
        <f t="shared" si="74"/>
        <v>0</v>
      </c>
      <c r="Q297" s="255">
        <f>-SUMIFS(BV_Data_An_Prec!$AN:$AN,BV_Data_An_Prec!$AP:$AP,$B297,BV_Data_An_Prec!$AQ:$AQ,$C297,BV_Data_An_Prec!$AR:$AR,$L$2)</f>
        <v>0</v>
      </c>
      <c r="R297" s="291">
        <f t="shared" si="75"/>
        <v>0</v>
      </c>
      <c r="S297" s="275">
        <f t="shared" si="76"/>
        <v>0</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PiècesP/A Garantie</v>
      </c>
      <c r="B298" s="41" t="s">
        <v>176</v>
      </c>
      <c r="C298" s="1040" t="s">
        <v>180</v>
      </c>
      <c r="D298" s="290" cm="1">
        <f t="array" ref="D298">+SUMPRODUCT(('Budget original'!$A$8:$A$501=$A298)*('Budget original'!$C$3:$AO$3=D$2),'Budget original'!$C$8:$AO$501)</f>
        <v>0</v>
      </c>
      <c r="E298" s="351">
        <f t="shared" si="70"/>
        <v>0</v>
      </c>
      <c r="F298" s="275" cm="1">
        <f t="array" ref="F298">+SUMPRODUCT(('Budget original'!$A$8:$A$501=$A298)*('Budget original'!$C$3:$AO$3=F$2),'Budget original'!$C$8:$AO$501)</f>
        <v>0</v>
      </c>
      <c r="G298" s="290"/>
      <c r="H298" s="351"/>
      <c r="I298" s="275"/>
      <c r="J298" s="253">
        <f>-SUMIFS(BV_Data_An_Cour!$AN:$AN,BV_Data_An_Cour!$AS:$AS,"Oui",BV_Data_An_Cour!$AP:$AP,$B298,BV_Data_An_Cour!$AQ:$AQ,$C298)</f>
        <v>488778.36</v>
      </c>
      <c r="K298" s="351">
        <f t="shared" si="71"/>
        <v>0.20431671729493092</v>
      </c>
      <c r="L298" s="275">
        <f>-SUMIFS(BV_Data_An_Cour!$AN:$AN,BV_Data_An_Cour!$AP:$AP,$B298,BV_Data_An_Cour!$AQ:$AQ,$C298,BV_Data_An_Cour!$AR:$AR,$L$2)</f>
        <v>99865.589999999967</v>
      </c>
      <c r="M298" s="291" t="e">
        <f t="shared" si="72"/>
        <v>#DIV/0!</v>
      </c>
      <c r="N298" s="275">
        <f t="shared" si="73"/>
        <v>99865.589999999967</v>
      </c>
      <c r="O298" s="253">
        <f>-SUMIFS(BV_Data_An_Prec!$AN:$AN,BV_Data_An_Prec!$AS:$AS,"Oui",BV_Data_An_Prec!$AP:$AP,$B298,BV_Data_An_Prec!$AQ:$AQ,$C298)</f>
        <v>0</v>
      </c>
      <c r="P298" s="351">
        <f t="shared" si="74"/>
        <v>0</v>
      </c>
      <c r="Q298" s="255">
        <f>-SUMIFS(BV_Data_An_Prec!$AN:$AN,BV_Data_An_Prec!$AP:$AP,$B298,BV_Data_An_Prec!$AQ:$AQ,$C298,BV_Data_An_Prec!$AR:$AR,$L$2)</f>
        <v>0</v>
      </c>
      <c r="R298" s="291">
        <f t="shared" si="75"/>
        <v>0</v>
      </c>
      <c r="S298" s="275">
        <f t="shared" si="76"/>
        <v>99865.589999999967</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Internes</v>
      </c>
      <c r="B299" s="41" t="s">
        <v>176</v>
      </c>
      <c r="C299" s="1040" t="s">
        <v>181</v>
      </c>
      <c r="D299" s="290" cm="1">
        <f t="array" ref="D299">+SUMPRODUCT(('Budget original'!$A$8:$A$501=$A299)*('Budget original'!$C$3:$AO$3=D$2),'Budget original'!$C$8:$AO$501)</f>
        <v>0</v>
      </c>
      <c r="E299" s="351">
        <f t="shared" si="70"/>
        <v>0</v>
      </c>
      <c r="F299" s="275" cm="1">
        <f t="array" ref="F299">+SUMPRODUCT(('Budget original'!$A$8:$A$501=$A299)*('Budget original'!$C$3:$AO$3=F$2),'Budget original'!$C$8:$AO$501)</f>
        <v>0</v>
      </c>
      <c r="G299" s="290"/>
      <c r="H299" s="351"/>
      <c r="I299" s="275"/>
      <c r="J299" s="253">
        <f>-SUMIFS(BV_Data_An_Cour!$AN:$AN,BV_Data_An_Cour!$AS:$AS,"Oui",BV_Data_An_Cour!$AP:$AP,$B299,BV_Data_An_Cour!$AQ:$AQ,$C299)</f>
        <v>38622.71</v>
      </c>
      <c r="K299" s="351">
        <f t="shared" si="71"/>
        <v>0.30998031986880253</v>
      </c>
      <c r="L299" s="275">
        <f>-SUMIFS(BV_Data_An_Cour!$AN:$AN,BV_Data_An_Cour!$AP:$AP,$B299,BV_Data_An_Cour!$AQ:$AQ,$C299,BV_Data_An_Cour!$AR:$AR,$L$2)</f>
        <v>11972.279999999999</v>
      </c>
      <c r="M299" s="291" t="e">
        <f t="shared" si="72"/>
        <v>#DIV/0!</v>
      </c>
      <c r="N299" s="275">
        <f t="shared" si="73"/>
        <v>11972.279999999999</v>
      </c>
      <c r="O299" s="253">
        <f>-SUMIFS(BV_Data_An_Prec!$AN:$AN,BV_Data_An_Prec!$AS:$AS,"Oui",BV_Data_An_Prec!$AP:$AP,$B299,BV_Data_An_Prec!$AQ:$AQ,$C299)</f>
        <v>0</v>
      </c>
      <c r="P299" s="351">
        <f t="shared" si="74"/>
        <v>0</v>
      </c>
      <c r="Q299" s="255">
        <f>-SUMIFS(BV_Data_An_Prec!$AN:$AN,BV_Data_An_Prec!$AP:$AP,$B299,BV_Data_An_Prec!$AQ:$AQ,$C299,BV_Data_An_Prec!$AR:$AR,$L$2)</f>
        <v>0</v>
      </c>
      <c r="R299" s="291">
        <f t="shared" si="75"/>
        <v>0</v>
      </c>
      <c r="S299" s="275">
        <f t="shared" si="76"/>
        <v>11972.279999999999</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Détails</v>
      </c>
      <c r="B300" s="41" t="s">
        <v>176</v>
      </c>
      <c r="C300" s="1040" t="s">
        <v>182</v>
      </c>
      <c r="D300" s="290" cm="1">
        <f t="array" ref="D300">+SUMPRODUCT(('Budget original'!$A$8:$A$501=$A300)*('Budget original'!$C$3:$AO$3=D$2),'Budget original'!$C$8:$AO$501)</f>
        <v>0</v>
      </c>
      <c r="E300" s="351">
        <f t="shared" si="70"/>
        <v>0</v>
      </c>
      <c r="F300" s="275" cm="1">
        <f t="array" ref="F300">+SUMPRODUCT(('Budget original'!$A$8:$A$501=$A300)*('Budget original'!$C$3:$AO$3=F$2),'Budget original'!$C$8:$AO$501)</f>
        <v>0</v>
      </c>
      <c r="G300" s="290"/>
      <c r="H300" s="351"/>
      <c r="I300" s="275"/>
      <c r="J300" s="253">
        <f>-SUMIFS(BV_Data_An_Cour!$AN:$AN,BV_Data_An_Cour!$AS:$AS,"Oui",BV_Data_An_Cour!$AP:$AP,$B300,BV_Data_An_Cour!$AQ:$AQ,$C300)</f>
        <v>122573.37</v>
      </c>
      <c r="K300" s="351">
        <f t="shared" si="71"/>
        <v>0.27217396405108224</v>
      </c>
      <c r="L300" s="275">
        <f>-SUMIFS(BV_Data_An_Cour!$AN:$AN,BV_Data_An_Cour!$AP:$AP,$B300,BV_Data_An_Cour!$AQ:$AQ,$C300,BV_Data_An_Cour!$AR:$AR,$L$2)</f>
        <v>33361.279999999999</v>
      </c>
      <c r="M300" s="291" t="e">
        <f t="shared" si="72"/>
        <v>#DIV/0!</v>
      </c>
      <c r="N300" s="275">
        <f t="shared" si="73"/>
        <v>33361.279999999999</v>
      </c>
      <c r="O300" s="253">
        <f>-SUMIFS(BV_Data_An_Prec!$AN:$AN,BV_Data_An_Prec!$AS:$AS,"Oui",BV_Data_An_Prec!$AP:$AP,$B300,BV_Data_An_Prec!$AQ:$AQ,$C300)</f>
        <v>0</v>
      </c>
      <c r="P300" s="351">
        <f t="shared" si="74"/>
        <v>0</v>
      </c>
      <c r="Q300" s="255">
        <f>-SUMIFS(BV_Data_An_Prec!$AN:$AN,BV_Data_An_Prec!$AP:$AP,$B300,BV_Data_An_Prec!$AQ:$AQ,$C300,BV_Data_An_Prec!$AR:$AR,$L$2)</f>
        <v>0</v>
      </c>
      <c r="R300" s="291">
        <f t="shared" si="75"/>
        <v>0</v>
      </c>
      <c r="S300" s="275">
        <f t="shared" si="76"/>
        <v>33361.279999999999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customHeight="1">
      <c r="A301" s="5" t="str">
        <f t="shared" si="69"/>
        <v>PiècesVentes de Gros</v>
      </c>
      <c r="B301" s="41" t="s">
        <v>176</v>
      </c>
      <c r="C301" s="1040" t="s">
        <v>183</v>
      </c>
      <c r="D301" s="290" cm="1">
        <f t="array" ref="D301">+SUMPRODUCT(('Budget original'!$A$8:$A$501=$A301)*('Budget original'!$C$3:$AO$3=D$2),'Budget original'!$C$8:$AO$501)</f>
        <v>0</v>
      </c>
      <c r="E301" s="351">
        <f t="shared" si="70"/>
        <v>0</v>
      </c>
      <c r="F301" s="275" cm="1">
        <f t="array" ref="F301">+SUMPRODUCT(('Budget original'!$A$8:$A$501=$A301)*('Budget original'!$C$3:$AO$3=F$2),'Budget original'!$C$8:$AO$501)</f>
        <v>0</v>
      </c>
      <c r="G301" s="290"/>
      <c r="H301" s="351"/>
      <c r="I301" s="275"/>
      <c r="J301" s="253">
        <f>-SUMIFS(BV_Data_An_Cour!$AN:$AN,BV_Data_An_Cour!$AS:$AS,"Oui",BV_Data_An_Cour!$AP:$AP,$B301,BV_Data_An_Cour!$AQ:$AQ,$C301)</f>
        <v>1837819.15</v>
      </c>
      <c r="K301" s="351">
        <f t="shared" si="71"/>
        <v>0.17256158202508665</v>
      </c>
      <c r="L301" s="275">
        <f>-SUMIFS(BV_Data_An_Cour!$AN:$AN,BV_Data_An_Cour!$AP:$AP,$B301,BV_Data_An_Cour!$AQ:$AQ,$C301,BV_Data_An_Cour!$AR:$AR,$L$2)</f>
        <v>317136.98</v>
      </c>
      <c r="M301" s="291" t="e">
        <f t="shared" si="72"/>
        <v>#DIV/0!</v>
      </c>
      <c r="N301" s="275">
        <f t="shared" si="73"/>
        <v>317136.98</v>
      </c>
      <c r="O301" s="253">
        <f>-SUMIFS(BV_Data_An_Prec!$AN:$AN,BV_Data_An_Prec!$AS:$AS,"Oui",BV_Data_An_Prec!$AP:$AP,$B301,BV_Data_An_Prec!$AQ:$AQ,$C301)</f>
        <v>0</v>
      </c>
      <c r="P301" s="351">
        <f t="shared" si="74"/>
        <v>0</v>
      </c>
      <c r="Q301" s="255">
        <f>-SUMIFS(BV_Data_An_Prec!$AN:$AN,BV_Data_An_Prec!$AP:$AP,$B301,BV_Data_An_Prec!$AQ:$AQ,$C301,BV_Data_An_Prec!$AR:$AR,$L$2)</f>
        <v>0</v>
      </c>
      <c r="R301" s="291">
        <f t="shared" si="75"/>
        <v>0</v>
      </c>
      <c r="S301" s="275">
        <f t="shared" si="76"/>
        <v>317136.98</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hidden="1" customHeight="1">
      <c r="A302" s="5" t="str">
        <f t="shared" si="69"/>
        <v>Pièces[...]</v>
      </c>
      <c r="B302" s="41" t="s">
        <v>176</v>
      </c>
      <c r="C302" s="1040" t="s">
        <v>55</v>
      </c>
      <c r="D302" s="290" cm="1">
        <f t="array" ref="D302">+SUMPRODUCT(('Budget original'!$A$8:$A$501=$A302)*('Budget original'!$C$3:$AO$3=D$2),'Budget original'!$C$8:$AO$501)</f>
        <v>0</v>
      </c>
      <c r="E302" s="351">
        <f t="shared" si="70"/>
        <v>0</v>
      </c>
      <c r="F302" s="275" cm="1">
        <f t="array" ref="F302">+SUMPRODUCT(('Budget original'!$A$8:$A$501=$A302)*('Budget original'!$C$3:$AO$3=F$2),'Budget original'!$C$8:$AO$501)</f>
        <v>0</v>
      </c>
      <c r="G302" s="290"/>
      <c r="H302" s="351"/>
      <c r="I302" s="275"/>
      <c r="J302" s="253">
        <f>-SUMIFS(BV_Data_An_Cour!$AN:$AN,BV_Data_An_Cour!$AS:$AS,"Oui",BV_Data_An_Cour!$AP:$AP,$B302,BV_Data_An_Cour!$AQ:$AQ,$C302)</f>
        <v>0</v>
      </c>
      <c r="K302" s="351">
        <f t="shared" si="71"/>
        <v>0</v>
      </c>
      <c r="L302" s="275">
        <f>-SUMIFS(BV_Data_An_Cour!$AN:$AN,BV_Data_An_Cour!$AP:$AP,$B302,BV_Data_An_Cour!$AQ:$AQ,$C302,BV_Data_An_Cour!$AR:$AR,$L$2)</f>
        <v>0</v>
      </c>
      <c r="M302" s="291" t="e">
        <f t="shared" si="72"/>
        <v>#DIV/0!</v>
      </c>
      <c r="N302" s="275">
        <f t="shared" si="73"/>
        <v>0</v>
      </c>
      <c r="O302" s="253">
        <f>-SUMIFS(BV_Data_An_Prec!$AN:$AN,BV_Data_An_Prec!$AS:$AS,"Oui",BV_Data_An_Prec!$AP:$AP,$B302,BV_Data_An_Prec!$AQ:$AQ,$C302)</f>
        <v>0</v>
      </c>
      <c r="P302" s="351">
        <f t="shared" si="74"/>
        <v>0</v>
      </c>
      <c r="Q302" s="255">
        <f>-SUMIFS(BV_Data_An_Prec!$AN:$AN,BV_Data_An_Prec!$AP:$AP,$B302,BV_Data_An_Prec!$AQ:$AQ,$C302,BV_Data_An_Prec!$AR:$AR,$L$2)</f>
        <v>0</v>
      </c>
      <c r="R302" s="291">
        <f t="shared" si="75"/>
        <v>0</v>
      </c>
      <c r="S302" s="275">
        <f t="shared" si="76"/>
        <v>0</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PiècesEscomptes</v>
      </c>
      <c r="B303" s="41" t="s">
        <v>176</v>
      </c>
      <c r="C303" s="1040" t="s">
        <v>184</v>
      </c>
      <c r="D303" s="290" cm="1">
        <f t="array" ref="D303">+SUMPRODUCT(('Budget original'!$A$8:$A$501=$A303)*('Budget original'!$C$3:$AO$3=D$2),'Budget original'!$C$8:$AO$501)</f>
        <v>0</v>
      </c>
      <c r="E303" s="351">
        <f t="shared" si="70"/>
        <v>0</v>
      </c>
      <c r="F303" s="275" cm="1">
        <f t="array" ref="F303">+SUMPRODUCT(('Budget original'!$A$8:$A$501=$A303)*('Budget original'!$C$3:$AO$3=F$2),'Budget original'!$C$8:$AO$501)</f>
        <v>0</v>
      </c>
      <c r="G303" s="290"/>
      <c r="H303" s="351"/>
      <c r="I303" s="275"/>
      <c r="J303" s="253">
        <f>-SUMIFS(BV_Data_An_Cour!$AN:$AN,BV_Data_An_Cour!$AS:$AS,"Oui",BV_Data_An_Cour!$AP:$AP,$B303,BV_Data_An_Cour!$AQ:$AQ,$C303)</f>
        <v>0</v>
      </c>
      <c r="K303" s="351">
        <f t="shared" si="71"/>
        <v>0</v>
      </c>
      <c r="L303" s="275">
        <f>-SUMIFS(BV_Data_An_Cour!$AN:$AN,BV_Data_An_Cour!$AP:$AP,$B303,BV_Data_An_Cour!$AQ:$AQ,$C303,BV_Data_An_Cour!$AR:$AR,$L$2)</f>
        <v>80765.62</v>
      </c>
      <c r="M303" s="291"/>
      <c r="N303" s="275">
        <f t="shared" si="73"/>
        <v>80765.62</v>
      </c>
      <c r="O303" s="253">
        <f>-SUMIFS(BV_Data_An_Prec!$AN:$AN,BV_Data_An_Prec!$AS:$AS,"Oui",BV_Data_An_Prec!$AP:$AP,$B303,BV_Data_An_Prec!$AQ:$AQ,$C303)</f>
        <v>0</v>
      </c>
      <c r="P303" s="351">
        <f t="shared" si="74"/>
        <v>0</v>
      </c>
      <c r="Q303" s="255">
        <f>-SUMIFS(BV_Data_An_Prec!$AN:$AN,BV_Data_An_Prec!$AP:$AP,$B303,BV_Data_An_Prec!$AQ:$AQ,$C303,BV_Data_An_Prec!$AR:$AR,$L$2)</f>
        <v>0</v>
      </c>
      <c r="R303" s="291">
        <f t="shared" si="75"/>
        <v>0</v>
      </c>
      <c r="S303" s="275">
        <f t="shared" si="76"/>
        <v>80765.62</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PiècesRectif. Inventaire</v>
      </c>
      <c r="B304" s="41" t="s">
        <v>176</v>
      </c>
      <c r="C304" s="1041" t="s">
        <v>185</v>
      </c>
      <c r="D304" s="290" cm="1">
        <f t="array" ref="D304">+SUMPRODUCT(('Budget original'!$A$8:$A$501=$A304)*('Budget original'!$C$3:$AO$3=D$2),'Budget original'!$C$8:$AO$501)</f>
        <v>0</v>
      </c>
      <c r="E304" s="351">
        <f t="shared" si="70"/>
        <v>0</v>
      </c>
      <c r="F304" s="275" cm="1">
        <f t="array" ref="F304">+SUMPRODUCT(('Budget original'!$A$8:$A$501=$A304)*('Budget original'!$C$3:$AO$3=F$2),'Budget original'!$C$8:$AO$501)</f>
        <v>0</v>
      </c>
      <c r="G304" s="290"/>
      <c r="H304" s="351"/>
      <c r="I304" s="275"/>
      <c r="J304" s="253">
        <f>-SUMIFS(BV_Data_An_Cour!$AN:$AN,BV_Data_An_Cour!$AS:$AS,"Oui",BV_Data_An_Cour!$AP:$AP,$B304,BV_Data_An_Cour!$AQ:$AQ,$C304)</f>
        <v>0</v>
      </c>
      <c r="K304" s="351">
        <f t="shared" si="71"/>
        <v>0</v>
      </c>
      <c r="L304" s="275">
        <f>-SUMIFS(BV_Data_An_Cour!$AN:$AN,BV_Data_An_Cour!$AP:$AP,$B304,BV_Data_An_Cour!$AQ:$AQ,$C304,BV_Data_An_Cour!$AR:$AR,$L$2)</f>
        <v>0</v>
      </c>
      <c r="M304" s="291"/>
      <c r="N304" s="275">
        <f t="shared" si="73"/>
        <v>0</v>
      </c>
      <c r="O304" s="253">
        <f>-SUMIFS(BV_Data_An_Prec!$AN:$AN,BV_Data_An_Prec!$AS:$AS,"Oui",BV_Data_An_Prec!$AP:$AP,$B304,BV_Data_An_Prec!$AQ:$AQ,$C304)</f>
        <v>0</v>
      </c>
      <c r="P304" s="351">
        <f t="shared" si="74"/>
        <v>0</v>
      </c>
      <c r="Q304" s="255">
        <f>-SUMIFS(BV_Data_An_Prec!$AN:$AN,BV_Data_An_Prec!$AP:$AP,$B304,BV_Data_An_Prec!$AQ:$AQ,$C304,BV_Data_An_Prec!$AR:$AR,$L$2)</f>
        <v>0</v>
      </c>
      <c r="R304" s="291">
        <f t="shared" si="75"/>
        <v>0</v>
      </c>
      <c r="S304" s="275">
        <f t="shared" si="76"/>
        <v>0</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PiècesSous-total Pièces</v>
      </c>
      <c r="B305" s="41" t="s">
        <v>176</v>
      </c>
      <c r="C305" s="1042" t="s">
        <v>186</v>
      </c>
      <c r="D305" s="388">
        <f>SUM(D296:D304)</f>
        <v>0</v>
      </c>
      <c r="E305" s="405">
        <f>IF(D305&lt;=0,0,F305/D305)</f>
        <v>0</v>
      </c>
      <c r="F305" s="390">
        <f t="shared" ref="F305" si="77">SUM(F296:F304)</f>
        <v>0</v>
      </c>
      <c r="G305" s="388"/>
      <c r="H305" s="405"/>
      <c r="I305" s="390"/>
      <c r="J305" s="388">
        <f t="shared" ref="J305" si="78">SUM(J296:J304)</f>
        <v>2849146.36</v>
      </c>
      <c r="K305" s="405">
        <f t="shared" si="71"/>
        <v>0.23471409871692234</v>
      </c>
      <c r="L305" s="390">
        <f>SUM(L296:L304)</f>
        <v>668734.81999999995</v>
      </c>
      <c r="M305" s="406" t="e">
        <f>(+J305-D305)/D305</f>
        <v>#DIV/0!</v>
      </c>
      <c r="N305" s="390">
        <f t="shared" si="73"/>
        <v>668734.81999999995</v>
      </c>
      <c r="O305" s="388">
        <f t="shared" ref="O305" si="79">SUM(O296:O304)</f>
        <v>0</v>
      </c>
      <c r="P305" s="405">
        <f t="shared" si="74"/>
        <v>0</v>
      </c>
      <c r="Q305" s="390">
        <f>SUM(Q296:Q304)</f>
        <v>0</v>
      </c>
      <c r="R305" s="406">
        <f t="shared" si="75"/>
        <v>0</v>
      </c>
      <c r="S305" s="390">
        <f t="shared" si="76"/>
        <v>668734.81999999995</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176</v>
      </c>
      <c r="C306" s="1040"/>
      <c r="D306" s="41"/>
      <c r="E306" s="41"/>
      <c r="F306" s="262"/>
      <c r="G306" s="252"/>
      <c r="H306" s="41"/>
      <c r="I306" s="262"/>
      <c r="J306" s="252"/>
      <c r="K306" s="41"/>
      <c r="L306" s="262"/>
      <c r="M306" s="252"/>
      <c r="N306" s="264" t="e">
        <f>N305/F305</f>
        <v>#DIV/0!</v>
      </c>
      <c r="O306" s="252"/>
      <c r="P306" s="41"/>
      <c r="Q306" s="262"/>
      <c r="R306" s="252"/>
      <c r="S306" s="264">
        <f>IF(Q305=0,0,S305/Q305)</f>
        <v>0</v>
      </c>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
      </c>
      <c r="B307" s="41" t="s">
        <v>176</v>
      </c>
      <c r="C307" s="1041"/>
      <c r="D307" s="316"/>
      <c r="E307" s="316"/>
      <c r="F307" s="407"/>
      <c r="G307" s="245"/>
      <c r="H307" s="316"/>
      <c r="I307" s="407"/>
      <c r="J307" s="245"/>
      <c r="K307" s="316"/>
      <c r="L307" s="407"/>
      <c r="M307" s="245"/>
      <c r="N307" s="368"/>
      <c r="O307" s="266"/>
      <c r="P307" s="316"/>
      <c r="Q307" s="407"/>
      <c r="R307" s="245"/>
      <c r="S307" s="368"/>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PiècesVentes Pneus</v>
      </c>
      <c r="B308" s="41" t="s">
        <v>176</v>
      </c>
      <c r="C308" s="1040" t="s">
        <v>187</v>
      </c>
      <c r="D308" s="290" cm="1">
        <f t="array" ref="D308">+SUMPRODUCT(('Budget original'!$A$8:$A$501=$A308)*('Budget original'!$C$3:$AO$3=D$2),'Budget original'!$C$8:$AO$501)</f>
        <v>0</v>
      </c>
      <c r="E308" s="351">
        <f t="shared" ref="E308:E309" si="80">IF(D308=0,0,F308/D308)</f>
        <v>0</v>
      </c>
      <c r="F308" s="315" cm="1">
        <f t="array" ref="F308">+SUMPRODUCT(('Budget original'!$A$8:$A$501=$A308)*('Budget original'!$C$3:$AO$3=F$2),'Budget original'!$C$8:$AO$501)</f>
        <v>0</v>
      </c>
      <c r="G308" s="290"/>
      <c r="H308" s="351"/>
      <c r="I308" s="315"/>
      <c r="J308" s="253">
        <f>-SUMIFS(BV_Data_An_Cour!$AN:$AN,BV_Data_An_Cour!$AS:$AS,"Oui",BV_Data_An_Cour!$AP:$AP,$B308,BV_Data_An_Cour!$AQ:$AQ,$C308)</f>
        <v>245782.01</v>
      </c>
      <c r="K308" s="351">
        <f t="shared" ref="K308:K310" si="81">IF(J308&lt;=0,0,L308/J308)</f>
        <v>0.21753927392814476</v>
      </c>
      <c r="L308" s="315">
        <f>-SUMIFS(BV_Data_An_Cour!$AN:$AN,BV_Data_An_Cour!$AP:$AP,$B308,BV_Data_An_Cour!$AQ:$AQ,$C308,BV_Data_An_Cour!$AR:$AR,$L$2)</f>
        <v>53467.24000000002</v>
      </c>
      <c r="M308" s="291" t="e">
        <f>(+J308-D308)/D308</f>
        <v>#DIV/0!</v>
      </c>
      <c r="N308" s="275">
        <f>L308-F308</f>
        <v>53467.24000000002</v>
      </c>
      <c r="O308" s="253">
        <f>-SUMIFS(BV_Data_An_Prec!$AN:$AN,BV_Data_An_Prec!$AS:$AS,"Oui",BV_Data_An_Prec!$AP:$AP,$B308,BV_Data_An_Prec!$AQ:$AQ,$C308)</f>
        <v>0</v>
      </c>
      <c r="P308" s="351">
        <f t="shared" ref="P308:P310" si="82">IF(O308&lt;=0,0,Q308/O308)</f>
        <v>0</v>
      </c>
      <c r="Q308" s="255">
        <f>-SUMIFS(BV_Data_An_Prec!$AN:$AN,BV_Data_An_Prec!$AP:$AP,$B308,BV_Data_An_Prec!$AQ:$AQ,$C308,BV_Data_An_Prec!$AR:$AR,$L$2)</f>
        <v>0</v>
      </c>
      <c r="R308" s="291">
        <f t="shared" ref="R308:R310" si="83">IF(O308=0,0,(J308-O308)/O308)</f>
        <v>0</v>
      </c>
      <c r="S308" s="275">
        <f t="shared" ref="S308:S310" si="84">L308-Q308</f>
        <v>53467.24000000002</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PiècesHuiles et Graisse</v>
      </c>
      <c r="B309" s="41" t="s">
        <v>176</v>
      </c>
      <c r="C309" s="1041" t="s">
        <v>188</v>
      </c>
      <c r="D309" s="290" cm="1">
        <f t="array" ref="D309">+SUMPRODUCT(('Budget original'!$A$8:$A$501=$A309)*('Budget original'!$C$3:$AO$3=D$2),'Budget original'!$C$8:$AO$501)</f>
        <v>0</v>
      </c>
      <c r="E309" s="351">
        <f t="shared" si="80"/>
        <v>0</v>
      </c>
      <c r="F309" s="295" cm="1">
        <f t="array" ref="F309">+SUMPRODUCT(('Budget original'!$A$8:$A$501=$A309)*('Budget original'!$C$3:$AO$3=F$2),'Budget original'!$C$8:$AO$501)</f>
        <v>0</v>
      </c>
      <c r="G309" s="290"/>
      <c r="H309" s="351"/>
      <c r="I309" s="295"/>
      <c r="J309" s="253">
        <f>-SUMIFS(BV_Data_An_Cour!$AN:$AN,BV_Data_An_Cour!$AS:$AS,"Oui",BV_Data_An_Cour!$AP:$AP,$B309,BV_Data_An_Cour!$AQ:$AQ,$C309)</f>
        <v>106355.35</v>
      </c>
      <c r="K309" s="351">
        <f t="shared" si="81"/>
        <v>0.2568617375618622</v>
      </c>
      <c r="L309" s="295">
        <f>-SUMIFS(BV_Data_An_Cour!$AN:$AN,BV_Data_An_Cour!$AP:$AP,$B309,BV_Data_An_Cour!$AQ:$AQ,$C309,BV_Data_An_Cour!$AR:$AR,$L$2)</f>
        <v>27318.620000000003</v>
      </c>
      <c r="M309" s="291" t="e">
        <f>(+J309-D309)/D309</f>
        <v>#DIV/0!</v>
      </c>
      <c r="N309" s="275">
        <f>L309-F309</f>
        <v>27318.620000000003</v>
      </c>
      <c r="O309" s="253">
        <f>-SUMIFS(BV_Data_An_Prec!$AN:$AN,BV_Data_An_Prec!$AS:$AS,"Oui",BV_Data_An_Prec!$AP:$AP,$B309,BV_Data_An_Prec!$AQ:$AQ,$C309)</f>
        <v>0</v>
      </c>
      <c r="P309" s="351">
        <f t="shared" si="82"/>
        <v>0</v>
      </c>
      <c r="Q309" s="255">
        <f>-SUMIFS(BV_Data_An_Prec!$AN:$AN,BV_Data_An_Prec!$AP:$AP,$B309,BV_Data_An_Prec!$AQ:$AQ,$C309,BV_Data_An_Prec!$AR:$AR,$L$2)</f>
        <v>0</v>
      </c>
      <c r="R309" s="291">
        <f t="shared" si="83"/>
        <v>0</v>
      </c>
      <c r="S309" s="275">
        <f t="shared" si="84"/>
        <v>27318.620000000003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PiècesSous-total Pièces et Acc.</v>
      </c>
      <c r="B310" s="41" t="s">
        <v>176</v>
      </c>
      <c r="C310" s="269" t="s">
        <v>189</v>
      </c>
      <c r="D310" s="388">
        <f>D305+D308+D309</f>
        <v>0</v>
      </c>
      <c r="E310" s="405">
        <f>IF(D310&lt;=0,0,F310/D310)</f>
        <v>0</v>
      </c>
      <c r="F310" s="390">
        <f t="shared" ref="F310" si="85">F305+F308+F309</f>
        <v>0</v>
      </c>
      <c r="G310" s="391"/>
      <c r="H310" s="405"/>
      <c r="I310" s="390"/>
      <c r="J310" s="391">
        <f t="shared" ref="J310" si="86">J305+J308+J309</f>
        <v>3201283.72</v>
      </c>
      <c r="K310" s="405">
        <f t="shared" si="81"/>
        <v>0.23413128780725498</v>
      </c>
      <c r="L310" s="390">
        <f>L305+L308+L309</f>
        <v>749520.67999999993</v>
      </c>
      <c r="M310" s="406" t="e">
        <f>(+J310-D310)/D310</f>
        <v>#DIV/0!</v>
      </c>
      <c r="N310" s="390">
        <f>L310-F310</f>
        <v>749520.67999999993</v>
      </c>
      <c r="O310" s="391">
        <f t="shared" ref="O310" si="87">O305+O308+O309</f>
        <v>0</v>
      </c>
      <c r="P310" s="405">
        <f t="shared" si="82"/>
        <v>0</v>
      </c>
      <c r="Q310" s="390">
        <f>Q305+Q308+Q309</f>
        <v>0</v>
      </c>
      <c r="R310" s="406">
        <f t="shared" si="83"/>
        <v>0</v>
      </c>
      <c r="S310" s="390">
        <f t="shared" si="84"/>
        <v>749520.67999999993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176</v>
      </c>
      <c r="C311" s="252"/>
      <c r="D311" s="41"/>
      <c r="E311" s="41"/>
      <c r="F311" s="262"/>
      <c r="G311" s="252"/>
      <c r="H311" s="41"/>
      <c r="I311" s="262"/>
      <c r="J311" s="252"/>
      <c r="K311" s="41"/>
      <c r="L311" s="262"/>
      <c r="M311" s="252"/>
      <c r="N311" s="264" t="e">
        <f>N310/F310</f>
        <v>#DIV/0!</v>
      </c>
      <c r="O311" s="252"/>
      <c r="P311" s="41"/>
      <c r="Q311" s="262"/>
      <c r="R311" s="252"/>
      <c r="S311" s="264">
        <f>IF(Q310=0,0,S310/Q310)</f>
        <v>0</v>
      </c>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v>
      </c>
      <c r="B312" s="41" t="s">
        <v>176</v>
      </c>
      <c r="C312" s="252"/>
      <c r="D312" s="41"/>
      <c r="E312" s="41"/>
      <c r="F312" s="262"/>
      <c r="G312" s="252"/>
      <c r="H312" s="41"/>
      <c r="I312" s="262"/>
      <c r="J312" s="252"/>
      <c r="K312" s="41"/>
      <c r="L312" s="262"/>
      <c r="M312" s="252"/>
      <c r="N312" s="264"/>
      <c r="O312" s="252"/>
      <c r="P312" s="41"/>
      <c r="Q312" s="262"/>
      <c r="R312" s="252"/>
      <c r="S312" s="264"/>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PiècesAutostock</v>
      </c>
      <c r="B313" s="41" t="s">
        <v>176</v>
      </c>
      <c r="C313" s="245" t="s">
        <v>190</v>
      </c>
      <c r="D313" s="293" cm="1">
        <f t="array" ref="D313">+SUMPRODUCT(('Budget original'!$A$8:$A$501=$A313)*('Budget original'!$C$3:$AO$3=D$2),'Budget original'!$C$8:$AO$501)</f>
        <v>0</v>
      </c>
      <c r="E313" s="352">
        <f>IF(D313=0,0,F313/D313)</f>
        <v>0</v>
      </c>
      <c r="F313" s="295" cm="1">
        <f t="array" ref="F313">+SUMPRODUCT(('Budget original'!$A$8:$A$501=$A313)*('Budget original'!$C$3:$AO$3=F$2),'Budget original'!$C$8:$AO$501)</f>
        <v>0</v>
      </c>
      <c r="G313" s="363"/>
      <c r="H313" s="352"/>
      <c r="I313" s="295"/>
      <c r="J313" s="266">
        <f>-SUMIFS(BV_Data_An_Cour!$AN:$AN,BV_Data_An_Cour!$AS:$AS,"Oui",BV_Data_An_Cour!$AP:$AP,$B313,BV_Data_An_Cour!$AQ:$AQ,$C313)</f>
        <v>0</v>
      </c>
      <c r="K313" s="352">
        <f>IF(J313&lt;=0,0,L313/J313)</f>
        <v>0</v>
      </c>
      <c r="L313" s="247">
        <f>-SUMIFS(BV_Data_An_Cour!$AN:$AN,BV_Data_An_Cour!$AP:$AP,$B313,BV_Data_An_Cour!$AQ:$AQ,$C313,BV_Data_An_Cour!$AR:$AR,$L$2)</f>
        <v>0</v>
      </c>
      <c r="M313" s="352">
        <f>IF(F313=0,0,(+L313-F313)/F313)</f>
        <v>0</v>
      </c>
      <c r="N313" s="295">
        <f>L313-F313</f>
        <v>0</v>
      </c>
      <c r="O313" s="266">
        <f>-SUMIFS(BV_Data_An_Prec!$AN:$AN,BV_Data_An_Prec!$AS:$AS,"Oui",BV_Data_An_Prec!$AP:$AP,$B313,BV_Data_An_Prec!$AQ:$AQ,$C313)</f>
        <v>0</v>
      </c>
      <c r="P313" s="352">
        <f>IF(O313&lt;=0,0,Q313/O313)</f>
        <v>0</v>
      </c>
      <c r="Q313" s="247">
        <f>-SUMIFS(BV_Data_An_Prec!$AN:$AN,BV_Data_An_Prec!$AP:$AP,$B313,BV_Data_An_Prec!$AQ:$AQ,$C313,BV_Data_An_Prec!$AR:$AR,$L$2)</f>
        <v>0</v>
      </c>
      <c r="R313" s="352">
        <f>IF(S313=0,0,(+O313-K313)/K313)</f>
        <v>0</v>
      </c>
      <c r="S313" s="295">
        <f>L313-Q313</f>
        <v>0</v>
      </c>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thickBot="1">
      <c r="A314" s="5" t="str">
        <f t="shared" si="69"/>
        <v>Pièces</v>
      </c>
      <c r="B314" s="41" t="s">
        <v>176</v>
      </c>
      <c r="C314" s="252"/>
      <c r="D314" s="290"/>
      <c r="E314" s="351"/>
      <c r="F314" s="275"/>
      <c r="G314" s="276"/>
      <c r="H314" s="351"/>
      <c r="I314" s="275"/>
      <c r="J314" s="276"/>
      <c r="K314" s="351"/>
      <c r="L314" s="275"/>
      <c r="M314" s="291"/>
      <c r="N314" s="275"/>
      <c r="O314" s="276"/>
      <c r="P314" s="351"/>
      <c r="Q314" s="275"/>
      <c r="R314" s="291"/>
      <c r="S314" s="275"/>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thickTop="1">
      <c r="A315" s="5" t="str">
        <f t="shared" si="69"/>
        <v>PiècesTotal Dépt. Pièces</v>
      </c>
      <c r="B315" s="41" t="s">
        <v>176</v>
      </c>
      <c r="C315" s="277" t="s">
        <v>191</v>
      </c>
      <c r="D315" s="278">
        <f>D310+D313</f>
        <v>0</v>
      </c>
      <c r="E315" s="408">
        <f>IF(D315&lt;=0,0,F315/D315)</f>
        <v>0</v>
      </c>
      <c r="F315" s="280">
        <f t="shared" ref="F315" si="88">F310+F313</f>
        <v>0</v>
      </c>
      <c r="G315" s="281"/>
      <c r="H315" s="408"/>
      <c r="I315" s="280"/>
      <c r="J315" s="281">
        <f t="shared" ref="J315" si="89">J310+J313</f>
        <v>3201283.72</v>
      </c>
      <c r="K315" s="408">
        <f>IF(J315&lt;=0,0,L315/J315)</f>
        <v>0.23413128780725498</v>
      </c>
      <c r="L315" s="280">
        <f>L310+L313</f>
        <v>749520.67999999993</v>
      </c>
      <c r="M315" s="409" t="e">
        <f>(+J315-D315)/D315</f>
        <v>#DIV/0!</v>
      </c>
      <c r="N315" s="410">
        <f>L315-F315</f>
        <v>749520.67999999993</v>
      </c>
      <c r="O315" s="281">
        <f t="shared" ref="O315" si="90">O310+O313</f>
        <v>0</v>
      </c>
      <c r="P315" s="408">
        <f>IF(O315&lt;=0,0,Q315/O315)</f>
        <v>0</v>
      </c>
      <c r="Q315" s="280">
        <f>Q310+Q313</f>
        <v>0</v>
      </c>
      <c r="R315" s="409">
        <f>IF(O315=0,0,(J315-O315)/O315)</f>
        <v>0</v>
      </c>
      <c r="S315" s="410">
        <f>L315-Q315</f>
        <v>749520.67999999993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thickBot="1">
      <c r="A316" s="5" t="str">
        <f t="shared" si="69"/>
        <v>Pièces</v>
      </c>
      <c r="B316" s="41" t="s">
        <v>176</v>
      </c>
      <c r="C316" s="330"/>
      <c r="D316" s="411"/>
      <c r="E316" s="412"/>
      <c r="F316" s="333"/>
      <c r="G316" s="413"/>
      <c r="H316" s="412"/>
      <c r="I316" s="333"/>
      <c r="J316" s="413"/>
      <c r="K316" s="412"/>
      <c r="L316" s="770"/>
      <c r="M316" s="414"/>
      <c r="N316" s="286" t="e">
        <f>N315/F315</f>
        <v>#DIV/0!</v>
      </c>
      <c r="O316" s="413"/>
      <c r="P316" s="412"/>
      <c r="Q316" s="333"/>
      <c r="R316" s="414"/>
      <c r="S316" s="286">
        <f>IF(Q315=0,0,S315/Q315)</f>
        <v>0</v>
      </c>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thickTop="1">
      <c r="A317" s="5" t="str">
        <f t="shared" si="69"/>
        <v>Pièces</v>
      </c>
      <c r="B317" s="41" t="s">
        <v>176</v>
      </c>
      <c r="C317" s="269"/>
      <c r="D317" s="317"/>
      <c r="E317" s="370"/>
      <c r="F317" s="372"/>
      <c r="G317" s="371"/>
      <c r="H317" s="370"/>
      <c r="I317" s="372"/>
      <c r="J317" s="371"/>
      <c r="K317" s="370"/>
      <c r="L317" s="372"/>
      <c r="M317" s="252"/>
      <c r="N317" s="264"/>
      <c r="O317" s="371"/>
      <c r="P317" s="370"/>
      <c r="Q317" s="372"/>
      <c r="R317" s="252"/>
      <c r="S317" s="264"/>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PiècesDEPENSES</v>
      </c>
      <c r="B318" s="41" t="s">
        <v>176</v>
      </c>
      <c r="C318" s="288" t="s">
        <v>106</v>
      </c>
      <c r="D318" s="41"/>
      <c r="E318" s="41"/>
      <c r="F318" s="275"/>
      <c r="G318" s="252"/>
      <c r="H318" s="41"/>
      <c r="I318" s="275"/>
      <c r="J318" s="252"/>
      <c r="K318" s="41"/>
      <c r="L318" s="262"/>
      <c r="M318" s="252"/>
      <c r="N318" s="262"/>
      <c r="O318" s="252"/>
      <c r="P318" s="41"/>
      <c r="Q318" s="262"/>
      <c r="R318" s="252"/>
      <c r="S318" s="262"/>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cadres</v>
      </c>
      <c r="B319" s="41" t="s">
        <v>176</v>
      </c>
      <c r="C319" s="310" t="s">
        <v>116</v>
      </c>
      <c r="D319" s="41"/>
      <c r="E319" s="41"/>
      <c r="F319" s="253" cm="1">
        <f t="array" ref="F319">+SUMPRODUCT(('Budget original'!$A$8:$A$501=$A319)*('Budget original'!$C$3:$AO$3=F$2),'Budget original'!$C$8:$AO$501)</f>
        <v>0</v>
      </c>
      <c r="G319" s="252"/>
      <c r="H319" s="41"/>
      <c r="I319" s="253"/>
      <c r="J319" s="252"/>
      <c r="K319" s="41"/>
      <c r="L319" s="255">
        <f>SUMIFS(BV_Data_An_Cour!$AN:$AN,BV_Data_An_Cour!$AP:$AP,$B319,BV_Data_An_Cour!$AQ:$AQ,$C319,BV_Data_An_Cour!$AR:$AR,$L$2)</f>
        <v>30934.19</v>
      </c>
      <c r="M319" s="252"/>
      <c r="N319" s="275">
        <f t="shared" ref="N319:N349" si="91">L319-F319</f>
        <v>30934.19</v>
      </c>
      <c r="O319" s="252"/>
      <c r="P319" s="41"/>
      <c r="Q319" s="255">
        <f>SUMIFS(BV_Data_An_Prec!$AN:$AN,BV_Data_An_Prec!$AP:$AP,$B319,BV_Data_An_Prec!$AQ:$AQ,$C319,BV_Data_An_Prec!$AR:$AR,$L$2)</f>
        <v>0</v>
      </c>
      <c r="R319" s="252"/>
      <c r="S319" s="255">
        <f t="shared" ref="S319:S349" si="92">L319-Q319</f>
        <v>30934.19</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commis</v>
      </c>
      <c r="B320" s="41" t="s">
        <v>176</v>
      </c>
      <c r="C320" s="311" t="s">
        <v>117</v>
      </c>
      <c r="D320" s="296"/>
      <c r="E320" s="41"/>
      <c r="F320" s="247" cm="1">
        <f t="array" ref="F320">+SUMPRODUCT(('Budget original'!$A$8:$A$501=$A320)*('Budget original'!$C$3:$AO$3=F$2),'Budget original'!$C$8:$AO$501)</f>
        <v>0</v>
      </c>
      <c r="G320" s="297"/>
      <c r="H320" s="41"/>
      <c r="I320" s="247"/>
      <c r="J320" s="252"/>
      <c r="K320" s="41"/>
      <c r="L320" s="255">
        <f>SUMIFS(BV_Data_An_Cour!$AN:$AN,BV_Data_An_Cour!$AP:$AP,$B320,BV_Data_An_Cour!$AQ:$AQ,$C320,BV_Data_An_Cour!$AR:$AR,$L$2)</f>
        <v>0</v>
      </c>
      <c r="M320" s="252"/>
      <c r="N320" s="275">
        <f t="shared" si="91"/>
        <v>0</v>
      </c>
      <c r="O320" s="252"/>
      <c r="P320" s="41"/>
      <c r="Q320" s="255">
        <f>SUMIFS(BV_Data_An_Prec!$AN:$AN,BV_Data_An_Prec!$AP:$AP,$B320,BV_Data_An_Prec!$AQ:$AQ,$C320,BV_Data_An_Prec!$AR:$AR,$L$2)</f>
        <v>0</v>
      </c>
      <c r="R320" s="252"/>
      <c r="S320" s="275">
        <f t="shared" si="92"/>
        <v>0</v>
      </c>
      <c r="T320" s="41"/>
      <c r="U320" s="41"/>
      <c r="V320" s="41"/>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autres</v>
      </c>
      <c r="B321" s="41" t="s">
        <v>176</v>
      </c>
      <c r="C321" s="310" t="s">
        <v>118</v>
      </c>
      <c r="D321" s="312"/>
      <c r="E321" s="313"/>
      <c r="F321" s="253" cm="1">
        <f t="array" ref="F321">+SUMPRODUCT(('Budget original'!$A$8:$A$501=$A321)*('Budget original'!$C$3:$AO$3=F$2),'Budget original'!$C$8:$AO$501)</f>
        <v>0</v>
      </c>
      <c r="G321" s="314"/>
      <c r="H321" s="313"/>
      <c r="I321" s="253"/>
      <c r="J321" s="240"/>
      <c r="K321" s="313"/>
      <c r="L321" s="271">
        <f>SUMIFS(BV_Data_An_Cour!$AN:$AN,BV_Data_An_Cour!$AP:$AP,$B321,BV_Data_An_Cour!$AQ:$AQ,$C321,BV_Data_An_Cour!$AR:$AR,$L$2)</f>
        <v>96498.13</v>
      </c>
      <c r="M321" s="240"/>
      <c r="N321" s="315">
        <f t="shared" si="91"/>
        <v>96498.13</v>
      </c>
      <c r="O321" s="240"/>
      <c r="P321" s="313"/>
      <c r="Q321" s="271">
        <f>SUMIFS(BV_Data_An_Prec!$AN:$AN,BV_Data_An_Prec!$AP:$AP,$B321,BV_Data_An_Prec!$AQ:$AQ,$C321,BV_Data_An_Prec!$AR:$AR,$L$2)</f>
        <v>0</v>
      </c>
      <c r="R321" s="240"/>
      <c r="S321" s="315">
        <f t="shared" si="92"/>
        <v>96498.13</v>
      </c>
      <c r="T321" s="41"/>
      <c r="U321" s="415"/>
      <c r="V321" s="415"/>
      <c r="W321" s="41"/>
      <c r="X321" s="41"/>
      <c r="Y321" s="41"/>
      <c r="Z321" s="41"/>
      <c r="AA321" s="41"/>
      <c r="AB321" s="41"/>
      <c r="AC321" s="41"/>
      <c r="AD321" s="41"/>
      <c r="AE321" s="41"/>
      <c r="AF321" s="41"/>
      <c r="AG321" s="41"/>
      <c r="AH321" s="41"/>
      <c r="AI321" s="41"/>
      <c r="AJ321" s="41"/>
      <c r="AK321" s="41"/>
      <c r="AL321" s="41"/>
      <c r="AM321" s="41"/>
      <c r="AN321" s="41"/>
    </row>
    <row r="322" spans="1:40" ht="15.75" customHeight="1">
      <c r="A322" s="5" t="str">
        <f t="shared" si="69"/>
        <v>PiècesSalaires spécialistes</v>
      </c>
      <c r="B322" s="41" t="s">
        <v>176</v>
      </c>
      <c r="C322" s="310" t="s">
        <v>119</v>
      </c>
      <c r="D322" s="296"/>
      <c r="E322" s="41"/>
      <c r="F322" s="253" cm="1">
        <f t="array" ref="F322">+SUMPRODUCT(('Budget original'!$A$8:$A$501=$A322)*('Budget original'!$C$3:$AO$3=F$2),'Budget original'!$C$8:$AO$501)</f>
        <v>0</v>
      </c>
      <c r="G322" s="297"/>
      <c r="H322" s="41"/>
      <c r="I322" s="253"/>
      <c r="J322" s="252"/>
      <c r="K322" s="41"/>
      <c r="L322" s="255">
        <f>SUMIFS(BV_Data_An_Cour!$AN:$AN,BV_Data_An_Cour!$AP:$AP,$B322,BV_Data_An_Cour!$AQ:$AQ,$C322,BV_Data_An_Cour!$AR:$AR,$L$2)</f>
        <v>0</v>
      </c>
      <c r="M322" s="252"/>
      <c r="N322" s="275">
        <f t="shared" si="91"/>
        <v>0</v>
      </c>
      <c r="O322" s="252"/>
      <c r="P322" s="41"/>
      <c r="Q322" s="255">
        <f>SUMIFS(BV_Data_An_Prec!$AN:$AN,BV_Data_An_Prec!$AP:$AP,$B322,BV_Data_An_Prec!$AQ:$AQ,$C322,BV_Data_An_Prec!$AR:$AR,$L$2)</f>
        <v>0</v>
      </c>
      <c r="R322" s="252"/>
      <c r="S322" s="275">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176</v>
      </c>
      <c r="C323" s="252" t="s">
        <v>55</v>
      </c>
      <c r="D323" s="296"/>
      <c r="E323" s="41"/>
      <c r="F323" s="253" cm="1">
        <f t="array" ref="F323">+SUMPRODUCT(('Budget original'!$A$8:$A$501=$A323)*('Budget original'!$C$3:$AO$3=F$2),'Budget original'!$C$8:$AO$501)</f>
        <v>0</v>
      </c>
      <c r="G323" s="297"/>
      <c r="H323" s="41"/>
      <c r="I323" s="253"/>
      <c r="J323" s="252"/>
      <c r="K323" s="41"/>
      <c r="L323" s="255">
        <f>SUMIFS(BV_Data_An_Cour!$AN:$AN,BV_Data_An_Cour!$AP:$AP,$B323,BV_Data_An_Cour!$AQ:$AQ,$C323,BV_Data_An_Cour!$AR:$AR,$L$2)</f>
        <v>0</v>
      </c>
      <c r="M323" s="252"/>
      <c r="N323" s="275">
        <f t="shared" si="91"/>
        <v>0</v>
      </c>
      <c r="O323" s="252"/>
      <c r="P323" s="41"/>
      <c r="Q323" s="255">
        <f>SUMIFS(BV_Data_An_Prec!$AN:$AN,BV_Data_An_Prec!$AP:$AP,$B323,BV_Data_An_Prec!$AQ:$AQ,$C323,BV_Data_An_Prec!$AR:$AR,$L$2)</f>
        <v>0</v>
      </c>
      <c r="R323" s="252"/>
      <c r="S323" s="275">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176</v>
      </c>
      <c r="C324" s="252" t="s">
        <v>55</v>
      </c>
      <c r="D324" s="296"/>
      <c r="E324" s="41"/>
      <c r="F324" s="253" cm="1">
        <f t="array" ref="F324">+SUMPRODUCT(('Budget original'!$A$8:$A$501=$A324)*('Budget original'!$C$3:$AO$3=F$2),'Budget original'!$C$8:$AO$501)</f>
        <v>0</v>
      </c>
      <c r="G324" s="297"/>
      <c r="H324" s="41"/>
      <c r="I324" s="253"/>
      <c r="J324" s="252"/>
      <c r="K324" s="41"/>
      <c r="L324" s="255">
        <f>SUMIFS(BV_Data_An_Cour!$AN:$AN,BV_Data_An_Cour!$AP:$AP,$B324,BV_Data_An_Cour!$AQ:$AQ,$C324,BV_Data_An_Cour!$AR:$AR,$L$2)</f>
        <v>0</v>
      </c>
      <c r="M324" s="252"/>
      <c r="N324" s="275">
        <f t="shared" si="91"/>
        <v>0</v>
      </c>
      <c r="O324" s="252"/>
      <c r="P324" s="41"/>
      <c r="Q324" s="255">
        <f>SUMIFS(BV_Data_An_Prec!$AN:$AN,BV_Data_An_Prec!$AP:$AP,$B324,BV_Data_An_Prec!$AQ:$AQ,$C324,BV_Data_An_Prec!$AR:$AR,$L$2)</f>
        <v>0</v>
      </c>
      <c r="R324" s="252"/>
      <c r="S324" s="275">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hidden="1" customHeight="1">
      <c r="A325" s="5" t="str">
        <f t="shared" si="69"/>
        <v>Pièces[...]</v>
      </c>
      <c r="B325" s="41" t="s">
        <v>176</v>
      </c>
      <c r="C325" s="252" t="s">
        <v>55</v>
      </c>
      <c r="D325" s="296"/>
      <c r="E325" s="41"/>
      <c r="F325" s="253" cm="1">
        <f t="array" ref="F325">+SUMPRODUCT(('Budget original'!$A$8:$A$501=$A325)*('Budget original'!$C$3:$AO$3=F$2),'Budget original'!$C$8:$AO$501)</f>
        <v>0</v>
      </c>
      <c r="G325" s="297"/>
      <c r="H325" s="41"/>
      <c r="I325" s="253"/>
      <c r="J325" s="252"/>
      <c r="K325" s="41"/>
      <c r="L325" s="255">
        <f>SUMIFS(BV_Data_An_Cour!$AN:$AN,BV_Data_An_Cour!$AP:$AP,$B325,BV_Data_An_Cour!$AQ:$AQ,$C325,BV_Data_An_Cour!$AR:$AR,$L$2)</f>
        <v>0</v>
      </c>
      <c r="M325" s="252"/>
      <c r="N325" s="275">
        <f t="shared" si="91"/>
        <v>0</v>
      </c>
      <c r="O325" s="252"/>
      <c r="P325" s="41"/>
      <c r="Q325" s="255">
        <f>SUMIFS(BV_Data_An_Prec!$AN:$AN,BV_Data_An_Prec!$AP:$AP,$B325,BV_Data_An_Prec!$AQ:$AQ,$C325,BV_Data_An_Prec!$AR:$AR,$L$2)</f>
        <v>0</v>
      </c>
      <c r="R325" s="252"/>
      <c r="S325" s="275">
        <f t="shared" si="92"/>
        <v>0</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PiècesSalaires en absences</v>
      </c>
      <c r="B326" s="41" t="s">
        <v>176</v>
      </c>
      <c r="C326" s="311" t="s">
        <v>120</v>
      </c>
      <c r="D326" s="296"/>
      <c r="E326" s="41"/>
      <c r="F326" s="247" cm="1">
        <f t="array" ref="F326">+SUMPRODUCT(('Budget original'!$A$8:$A$501=$A326)*('Budget original'!$C$3:$AO$3=F$2),'Budget original'!$C$8:$AO$501)</f>
        <v>0</v>
      </c>
      <c r="G326" s="297"/>
      <c r="H326" s="41"/>
      <c r="I326" s="247"/>
      <c r="J326" s="252"/>
      <c r="K326" s="41"/>
      <c r="L326" s="255">
        <f>SUMIFS(BV_Data_An_Cour!$AN:$AN,BV_Data_An_Cour!$AP:$AP,$B326,BV_Data_An_Cour!$AQ:$AQ,$C326,BV_Data_An_Cour!$AR:$AR,$L$2)</f>
        <v>12830.31</v>
      </c>
      <c r="M326" s="252"/>
      <c r="N326" s="275">
        <f t="shared" si="91"/>
        <v>12830.31</v>
      </c>
      <c r="O326" s="252"/>
      <c r="P326" s="41"/>
      <c r="Q326" s="255">
        <f>SUMIFS(BV_Data_An_Prec!$AN:$AN,BV_Data_An_Prec!$AP:$AP,$B326,BV_Data_An_Prec!$AQ:$AQ,$C326,BV_Data_An_Prec!$AR:$AR,$L$2)</f>
        <v>0</v>
      </c>
      <c r="R326" s="252"/>
      <c r="S326" s="275">
        <f t="shared" si="92"/>
        <v>12830.31</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PiècesDéduction à la source</v>
      </c>
      <c r="B327" s="41" t="s">
        <v>176</v>
      </c>
      <c r="C327" s="310" t="s">
        <v>121</v>
      </c>
      <c r="D327" s="312"/>
      <c r="E327" s="313"/>
      <c r="F327" s="253" cm="1">
        <f t="array" ref="F327">+SUMPRODUCT(('Budget original'!$A$8:$A$501=$A327)*('Budget original'!$C$3:$AO$3=F$2),'Budget original'!$C$8:$AO$501)</f>
        <v>0</v>
      </c>
      <c r="G327" s="314"/>
      <c r="H327" s="313"/>
      <c r="I327" s="253"/>
      <c r="J327" s="240"/>
      <c r="K327" s="313"/>
      <c r="L327" s="271">
        <f>SUMIFS(BV_Data_An_Cour!$AN:$AN,BV_Data_An_Cour!$AP:$AP,$B327,BV_Data_An_Cour!$AQ:$AQ,$C327,BV_Data_An_Cour!$AR:$AR,$L$2)</f>
        <v>19766.349999999999</v>
      </c>
      <c r="M327" s="240"/>
      <c r="N327" s="315">
        <f t="shared" si="91"/>
        <v>19766.349999999999</v>
      </c>
      <c r="O327" s="240"/>
      <c r="P327" s="313"/>
      <c r="Q327" s="271">
        <f>SUMIFS(BV_Data_An_Prec!$AN:$AN,BV_Data_An_Prec!$AP:$AP,$B327,BV_Data_An_Prec!$AQ:$AQ,$C327,BV_Data_An_Prec!$AR:$AR,$L$2)</f>
        <v>0</v>
      </c>
      <c r="R327" s="240"/>
      <c r="S327" s="315">
        <f t="shared" si="92"/>
        <v>19766.349999999999</v>
      </c>
      <c r="T327" s="41"/>
      <c r="U327" s="253"/>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PiècesBénéfices marginaux</v>
      </c>
      <c r="B328" s="41" t="s">
        <v>176</v>
      </c>
      <c r="C328" s="310" t="s">
        <v>122</v>
      </c>
      <c r="D328" s="296"/>
      <c r="E328" s="41"/>
      <c r="F328" s="253" cm="1">
        <f t="array" ref="F328">+SUMPRODUCT(('Budget original'!$A$8:$A$501=$A328)*('Budget original'!$C$3:$AO$3=F$2),'Budget original'!$C$8:$AO$501)</f>
        <v>0</v>
      </c>
      <c r="G328" s="297"/>
      <c r="H328" s="41"/>
      <c r="I328" s="253"/>
      <c r="J328" s="252"/>
      <c r="K328" s="41"/>
      <c r="L328" s="255">
        <f>SUMIFS(BV_Data_An_Cour!$AN:$AN,BV_Data_An_Cour!$AP:$AP,$B328,BV_Data_An_Cour!$AQ:$AQ,$C328,BV_Data_An_Cour!$AR:$AR,$L$2)</f>
        <v>1236.9100000000001</v>
      </c>
      <c r="M328" s="252"/>
      <c r="N328" s="275">
        <f t="shared" si="91"/>
        <v>1236.9100000000001</v>
      </c>
      <c r="O328" s="252"/>
      <c r="P328" s="41"/>
      <c r="Q328" s="255">
        <f>SUMIFS(BV_Data_An_Prec!$AN:$AN,BV_Data_An_Prec!$AP:$AP,$B328,BV_Data_An_Prec!$AQ:$AQ,$C328,BV_Data_An_Prec!$AR:$AR,$L$2)</f>
        <v>0</v>
      </c>
      <c r="R328" s="252"/>
      <c r="S328" s="275">
        <f t="shared" si="92"/>
        <v>1236.9100000000001</v>
      </c>
      <c r="T328" s="41"/>
      <c r="U328" s="253"/>
      <c r="V328" s="41"/>
      <c r="W328" s="41"/>
      <c r="X328" s="41"/>
      <c r="Y328" s="41"/>
      <c r="Z328" s="41"/>
      <c r="AA328" s="41"/>
      <c r="AB328" s="41"/>
      <c r="AC328" s="41"/>
      <c r="AD328" s="41"/>
      <c r="AE328" s="41"/>
      <c r="AF328" s="41"/>
      <c r="AG328" s="41"/>
      <c r="AH328" s="41"/>
      <c r="AI328" s="41"/>
      <c r="AJ328" s="41"/>
      <c r="AK328" s="41"/>
      <c r="AL328" s="41"/>
      <c r="AM328" s="41"/>
      <c r="AN328" s="41"/>
    </row>
    <row r="329" spans="1:40" ht="15.75" customHeight="1">
      <c r="A329" s="5" t="str">
        <f t="shared" si="69"/>
        <v>PiècesCsst</v>
      </c>
      <c r="B329" s="41" t="s">
        <v>176</v>
      </c>
      <c r="C329" s="310" t="s">
        <v>123</v>
      </c>
      <c r="D329" s="296"/>
      <c r="E329" s="41"/>
      <c r="F329" s="253" cm="1">
        <f t="array" ref="F329">+SUMPRODUCT(('Budget original'!$A$8:$A$501=$A329)*('Budget original'!$C$3:$AO$3=F$2),'Budget original'!$C$8:$AO$501)</f>
        <v>0</v>
      </c>
      <c r="G329" s="297"/>
      <c r="H329" s="41"/>
      <c r="I329" s="253"/>
      <c r="J329" s="252"/>
      <c r="K329" s="41"/>
      <c r="L329" s="255">
        <f>SUMIFS(BV_Data_An_Cour!$AN:$AN,BV_Data_An_Cour!$AP:$AP,$B329,BV_Data_An_Cour!$AQ:$AQ,$C329,BV_Data_An_Cour!$AR:$AR,$L$2)</f>
        <v>0</v>
      </c>
      <c r="M329" s="252"/>
      <c r="N329" s="275">
        <f t="shared" si="91"/>
        <v>0</v>
      </c>
      <c r="O329" s="252"/>
      <c r="P329" s="41"/>
      <c r="Q329" s="255">
        <f>SUMIFS(BV_Data_An_Prec!$AN:$AN,BV_Data_An_Prec!$AP:$AP,$B329,BV_Data_An_Prec!$AQ:$AQ,$C329,BV_Data_An_Prec!$AR:$AR,$L$2)</f>
        <v>0</v>
      </c>
      <c r="R329" s="252"/>
      <c r="S329" s="275">
        <f t="shared" si="92"/>
        <v>0</v>
      </c>
      <c r="T329" s="41"/>
      <c r="U329" s="253"/>
      <c r="V329" s="41"/>
      <c r="W329" s="41"/>
      <c r="X329" s="41"/>
      <c r="Y329" s="41"/>
      <c r="Z329" s="41"/>
      <c r="AA329" s="41"/>
      <c r="AB329" s="41"/>
      <c r="AC329" s="41"/>
      <c r="AD329" s="41"/>
      <c r="AE329" s="41"/>
      <c r="AF329" s="41"/>
      <c r="AG329" s="41"/>
      <c r="AH329" s="41"/>
      <c r="AI329" s="41"/>
      <c r="AJ329" s="41"/>
      <c r="AK329" s="41"/>
      <c r="AL329" s="41"/>
      <c r="AM329" s="41"/>
      <c r="AN329" s="41"/>
    </row>
    <row r="330" spans="1:40" ht="15.75" hidden="1" customHeight="1">
      <c r="A330" s="5" t="str">
        <f t="shared" si="69"/>
        <v>Pièces[...]</v>
      </c>
      <c r="B330" s="41" t="s">
        <v>176</v>
      </c>
      <c r="C330" s="252" t="s">
        <v>55</v>
      </c>
      <c r="D330" s="298"/>
      <c r="E330" s="316"/>
      <c r="F330" s="253" cm="1">
        <f t="array" ref="F330">+SUMPRODUCT(('Budget original'!$A$8:$A$501=$A330)*('Budget original'!$C$3:$AO$3=F$2),'Budget original'!$C$8:$AO$501)</f>
        <v>0</v>
      </c>
      <c r="G330" s="299"/>
      <c r="H330" s="316"/>
      <c r="I330" s="253"/>
      <c r="J330" s="245"/>
      <c r="K330" s="316"/>
      <c r="L330" s="255">
        <f>SUMIFS(BV_Data_An_Cour!$AN:$AN,BV_Data_An_Cour!$AP:$AP,$B330,BV_Data_An_Cour!$AQ:$AQ,$C330,BV_Data_An_Cour!$AR:$AR,$L$2)</f>
        <v>0</v>
      </c>
      <c r="M330" s="245"/>
      <c r="N330" s="295">
        <f t="shared" si="91"/>
        <v>0</v>
      </c>
      <c r="O330" s="245"/>
      <c r="P330" s="316"/>
      <c r="Q330" s="255">
        <f>SUMIFS(BV_Data_An_Prec!$AN:$AN,BV_Data_An_Prec!$AP:$AP,$B330,BV_Data_An_Prec!$AQ:$AQ,$C330,BV_Data_An_Prec!$AR:$AR,$L$2)</f>
        <v>0</v>
      </c>
      <c r="R330" s="245"/>
      <c r="S330" s="295">
        <f t="shared" si="92"/>
        <v>0</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PiècesTOTAL PERSONNEL</v>
      </c>
      <c r="B331" s="41" t="s">
        <v>176</v>
      </c>
      <c r="C331" s="303" t="s">
        <v>124</v>
      </c>
      <c r="D331" s="304" t="s">
        <v>115</v>
      </c>
      <c r="E331" s="305" t="e">
        <f>F331/F$315</f>
        <v>#DIV/0!</v>
      </c>
      <c r="F331" s="306">
        <f>+SUM(F319:F330)</f>
        <v>0</v>
      </c>
      <c r="G331" s="307"/>
      <c r="H331" s="305"/>
      <c r="I331" s="306"/>
      <c r="J331" s="307" t="s">
        <v>115</v>
      </c>
      <c r="K331" s="305">
        <f>L331/L$315</f>
        <v>0.21515869315306954</v>
      </c>
      <c r="L331" s="306">
        <f>+SUM(L319:L330)</f>
        <v>161265.89000000001</v>
      </c>
      <c r="M331" s="353"/>
      <c r="N331" s="318">
        <f t="shared" si="91"/>
        <v>161265.89000000001</v>
      </c>
      <c r="O331" s="307" t="s">
        <v>115</v>
      </c>
      <c r="P331" s="305" t="e">
        <f>Q331/Q$315</f>
        <v>#DIV/0!</v>
      </c>
      <c r="Q331" s="306">
        <f>+SUM(Q319:Q330)</f>
        <v>0</v>
      </c>
      <c r="R331" s="353"/>
      <c r="S331" s="318">
        <f t="shared" si="92"/>
        <v>161265.89000000001</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PiècesPublicité 2</v>
      </c>
      <c r="B332" s="41" t="s">
        <v>176</v>
      </c>
      <c r="C332" s="404" t="s">
        <v>125</v>
      </c>
      <c r="D332" s="296"/>
      <c r="E332" s="41"/>
      <c r="F332" s="253" cm="1">
        <f t="array" ref="F332">+SUMPRODUCT(('Budget original'!$A$8:$A$501=$A332)*('Budget original'!$C$3:$AO$3=F$2),'Budget original'!$C$8:$AO$501)</f>
        <v>0</v>
      </c>
      <c r="G332" s="297"/>
      <c r="H332" s="41"/>
      <c r="I332" s="253"/>
      <c r="J332" s="252"/>
      <c r="K332" s="41"/>
      <c r="L332" s="255">
        <f>SUMIFS(BV_Data_An_Cour!$AN:$AN,BV_Data_An_Cour!$AP:$AP,$B332,BV_Data_An_Cour!$AQ:$AQ,$C332,BV_Data_An_Cour!$AR:$AR,$L$2)</f>
        <v>65532.45</v>
      </c>
      <c r="M332" s="252"/>
      <c r="N332" s="275">
        <f t="shared" si="91"/>
        <v>65532.45</v>
      </c>
      <c r="O332" s="252"/>
      <c r="P332" s="41"/>
      <c r="Q332" s="255">
        <f>SUMIFS(BV_Data_An_Prec!$AN:$AN,BV_Data_An_Prec!$AP:$AP,$B332,BV_Data_An_Prec!$AQ:$AQ,$C332,BV_Data_An_Prec!$AR:$AR,$L$2)</f>
        <v>0</v>
      </c>
      <c r="R332" s="252"/>
      <c r="S332" s="275">
        <f t="shared" si="92"/>
        <v>65532.45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PiècesService gratuit 2</v>
      </c>
      <c r="B333" s="41" t="s">
        <v>176</v>
      </c>
      <c r="C333" s="310" t="s">
        <v>126</v>
      </c>
      <c r="D333" s="296"/>
      <c r="E333" s="41"/>
      <c r="F333" s="253" cm="1">
        <f t="array" ref="F333">+SUMPRODUCT(('Budget original'!$A$8:$A$501=$A333)*('Budget original'!$C$3:$AO$3=F$2),'Budget original'!$C$8:$AO$501)</f>
        <v>0</v>
      </c>
      <c r="G333" s="297"/>
      <c r="H333" s="41"/>
      <c r="I333" s="253"/>
      <c r="J333" s="252"/>
      <c r="K333" s="41"/>
      <c r="L333" s="255">
        <f>SUMIFS(BV_Data_An_Cour!$AN:$AN,BV_Data_An_Cour!$AP:$AP,$B333,BV_Data_An_Cour!$AQ:$AQ,$C333,BV_Data_An_Cour!$AR:$AR,$L$2)</f>
        <v>0</v>
      </c>
      <c r="M333" s="252"/>
      <c r="N333" s="275">
        <f t="shared" si="91"/>
        <v>0</v>
      </c>
      <c r="O333" s="252"/>
      <c r="P333" s="41"/>
      <c r="Q333" s="255">
        <f>SUMIFS(BV_Data_An_Prec!$AN:$AN,BV_Data_An_Prec!$AP:$AP,$B333,BV_Data_An_Prec!$AQ:$AQ,$C333,BV_Data_An_Prec!$AR:$AR,$L$2)</f>
        <v>0</v>
      </c>
      <c r="R333" s="252"/>
      <c r="S333" s="275">
        <f t="shared" si="92"/>
        <v>0</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PiècesFrais véhicules de cie</v>
      </c>
      <c r="B334" s="41" t="s">
        <v>176</v>
      </c>
      <c r="C334" s="311" t="s">
        <v>127</v>
      </c>
      <c r="D334" s="298"/>
      <c r="E334" s="316"/>
      <c r="F334" s="247" cm="1">
        <f t="array" ref="F334">+SUMPRODUCT(('Budget original'!$A$8:$A$501=$A334)*('Budget original'!$C$3:$AO$3=F$2),'Budget original'!$C$8:$AO$501)</f>
        <v>0</v>
      </c>
      <c r="G334" s="299"/>
      <c r="H334" s="316"/>
      <c r="I334" s="247"/>
      <c r="J334" s="245"/>
      <c r="K334" s="316"/>
      <c r="L334" s="255">
        <f>SUMIFS(BV_Data_An_Cour!$AN:$AN,BV_Data_An_Cour!$AP:$AP,$B334,BV_Data_An_Cour!$AQ:$AQ,$C334,BV_Data_An_Cour!$AR:$AR,$L$2)</f>
        <v>1295.02</v>
      </c>
      <c r="M334" s="245"/>
      <c r="N334" s="295">
        <f t="shared" si="91"/>
        <v>1295.02</v>
      </c>
      <c r="O334" s="245"/>
      <c r="P334" s="316"/>
      <c r="Q334" s="255">
        <f>SUMIFS(BV_Data_An_Prec!$AN:$AN,BV_Data_An_Prec!$AP:$AP,$B334,BV_Data_An_Prec!$AQ:$AQ,$C334,BV_Data_An_Prec!$AR:$AR,$L$2)</f>
        <v>0</v>
      </c>
      <c r="R334" s="245"/>
      <c r="S334" s="295">
        <f t="shared" si="92"/>
        <v>1295.02</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PiècesInformatique</v>
      </c>
      <c r="B335" s="41" t="s">
        <v>176</v>
      </c>
      <c r="C335" s="310" t="s">
        <v>128</v>
      </c>
      <c r="D335" s="296"/>
      <c r="E335" s="41"/>
      <c r="F335" s="253" cm="1">
        <f t="array" ref="F335">+SUMPRODUCT(('Budget original'!$A$8:$A$501=$A335)*('Budget original'!$C$3:$AO$3=F$2),'Budget original'!$C$8:$AO$501)</f>
        <v>0</v>
      </c>
      <c r="G335" s="297"/>
      <c r="H335" s="41"/>
      <c r="I335" s="253"/>
      <c r="J335" s="252"/>
      <c r="K335" s="41"/>
      <c r="L335" s="271">
        <f>SUMIFS(BV_Data_An_Cour!$AN:$AN,BV_Data_An_Cour!$AP:$AP,$B335,BV_Data_An_Cour!$AQ:$AQ,$C335,BV_Data_An_Cour!$AR:$AR,$L$2)</f>
        <v>10251.56</v>
      </c>
      <c r="M335" s="252"/>
      <c r="N335" s="275">
        <f t="shared" si="91"/>
        <v>10251.56</v>
      </c>
      <c r="O335" s="252"/>
      <c r="P335" s="41"/>
      <c r="Q335" s="271">
        <f>SUMIFS(BV_Data_An_Prec!$AN:$AN,BV_Data_An_Prec!$AP:$AP,$B335,BV_Data_An_Prec!$AQ:$AQ,$C335,BV_Data_An_Prec!$AR:$AR,$L$2)</f>
        <v>0</v>
      </c>
      <c r="R335" s="252"/>
      <c r="S335" s="275">
        <f t="shared" si="92"/>
        <v>10251.56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PiècesFrais de déplacement</v>
      </c>
      <c r="B336" s="41" t="s">
        <v>176</v>
      </c>
      <c r="C336" s="310" t="s">
        <v>129</v>
      </c>
      <c r="D336" s="296"/>
      <c r="E336" s="41"/>
      <c r="F336" s="253" cm="1">
        <f t="array" ref="F336">+SUMPRODUCT(('Budget original'!$A$8:$A$501=$A336)*('Budget original'!$C$3:$AO$3=F$2),'Budget original'!$C$8:$AO$501)</f>
        <v>0</v>
      </c>
      <c r="G336" s="297"/>
      <c r="H336" s="41"/>
      <c r="I336" s="253"/>
      <c r="J336" s="252"/>
      <c r="K336" s="41"/>
      <c r="L336" s="255">
        <f>SUMIFS(BV_Data_An_Cour!$AN:$AN,BV_Data_An_Cour!$AP:$AP,$B336,BV_Data_An_Cour!$AQ:$AQ,$C336,BV_Data_An_Cour!$AR:$AR,$L$2)</f>
        <v>4602.28</v>
      </c>
      <c r="M336" s="252"/>
      <c r="N336" s="275">
        <f t="shared" si="91"/>
        <v>4602.28</v>
      </c>
      <c r="O336" s="252"/>
      <c r="P336" s="41"/>
      <c r="Q336" s="255">
        <f>SUMIFS(BV_Data_An_Prec!$AN:$AN,BV_Data_An_Prec!$AP:$AP,$B336,BV_Data_An_Prec!$AQ:$AQ,$C336,BV_Data_An_Prec!$AR:$AR,$L$2)</f>
        <v>0</v>
      </c>
      <c r="R336" s="252"/>
      <c r="S336" s="275">
        <f t="shared" si="92"/>
        <v>4602.28</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PiècesServices extérieurs</v>
      </c>
      <c r="B337" s="41" t="s">
        <v>176</v>
      </c>
      <c r="C337" s="311" t="s">
        <v>130</v>
      </c>
      <c r="D337" s="298"/>
      <c r="E337" s="316"/>
      <c r="F337" s="247" cm="1">
        <f t="array" ref="F337">+SUMPRODUCT(('Budget original'!$A$8:$A$501=$A337)*('Budget original'!$C$3:$AO$3=F$2),'Budget original'!$C$8:$AO$501)</f>
        <v>0</v>
      </c>
      <c r="G337" s="299"/>
      <c r="H337" s="316"/>
      <c r="I337" s="247"/>
      <c r="J337" s="245"/>
      <c r="K337" s="316"/>
      <c r="L337" s="247">
        <f>SUMIFS(BV_Data_An_Cour!$AN:$AN,BV_Data_An_Cour!$AP:$AP,$B337,BV_Data_An_Cour!$AQ:$AQ,$C337,BV_Data_An_Cour!$AR:$AR,$L$2)</f>
        <v>91516.97</v>
      </c>
      <c r="M337" s="245"/>
      <c r="N337" s="295">
        <f t="shared" si="91"/>
        <v>91516.97</v>
      </c>
      <c r="O337" s="245"/>
      <c r="P337" s="316"/>
      <c r="Q337" s="247">
        <f>SUMIFS(BV_Data_An_Prec!$AN:$AN,BV_Data_An_Prec!$AP:$AP,$B337,BV_Data_An_Prec!$AQ:$AQ,$C337,BV_Data_An_Prec!$AR:$AR,$L$2)</f>
        <v>0</v>
      </c>
      <c r="R337" s="245"/>
      <c r="S337" s="295">
        <f t="shared" si="92"/>
        <v>91516.97</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d'atelier</v>
      </c>
      <c r="B338" s="41" t="s">
        <v>176</v>
      </c>
      <c r="C338" s="310" t="s">
        <v>483</v>
      </c>
      <c r="D338" s="296"/>
      <c r="E338" s="41"/>
      <c r="F338" s="253"/>
      <c r="G338" s="297"/>
      <c r="H338" s="41"/>
      <c r="I338" s="253"/>
      <c r="J338" s="252"/>
      <c r="K338" s="41"/>
      <c r="L338" s="255">
        <f>SUMIFS(BV_Data_An_Cour!$AN:$AN,BV_Data_An_Cour!$AP:$AP,$B338,BV_Data_An_Cour!$AQ:$AQ,$C338,BV_Data_An_Cour!$AR:$AR,$L$2)</f>
        <v>0</v>
      </c>
      <c r="M338" s="252"/>
      <c r="N338" s="275">
        <f t="shared" si="91"/>
        <v>0</v>
      </c>
      <c r="O338" s="252"/>
      <c r="P338" s="41"/>
      <c r="Q338" s="255">
        <f>SUMIFS(BV_Data_An_Prec!$AN:$AN,BV_Data_An_Prec!$AP:$AP,$B338,BV_Data_An_Prec!$AQ:$AQ,$C338,BV_Data_An_Prec!$AR:$AR,$L$2)</f>
        <v>0</v>
      </c>
      <c r="R338" s="252"/>
      <c r="S338" s="275">
        <f t="shared" si="92"/>
        <v>0</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PiècesFournitures autres</v>
      </c>
      <c r="B339" s="41" t="s">
        <v>176</v>
      </c>
      <c r="C339" s="310" t="s">
        <v>131</v>
      </c>
      <c r="D339" s="296"/>
      <c r="E339" s="41"/>
      <c r="F339" s="253" cm="1">
        <f t="array" ref="F339">+SUMPRODUCT(('Budget original'!$A$8:$A$501=$A339)*('Budget original'!$C$3:$AO$3=F$2),'Budget original'!$C$8:$AO$501)</f>
        <v>0</v>
      </c>
      <c r="G339" s="297"/>
      <c r="H339" s="41"/>
      <c r="I339" s="253"/>
      <c r="J339" s="252"/>
      <c r="K339" s="41"/>
      <c r="L339" s="255">
        <f>SUMIFS(BV_Data_An_Cour!$AN:$AN,BV_Data_An_Cour!$AP:$AP,$B339,BV_Data_An_Cour!$AQ:$AQ,$C339,BV_Data_An_Cour!$AR:$AR,$L$2)</f>
        <v>0</v>
      </c>
      <c r="M339" s="252"/>
      <c r="N339" s="275">
        <f t="shared" si="91"/>
        <v>0</v>
      </c>
      <c r="O339" s="252"/>
      <c r="P339" s="41"/>
      <c r="Q339" s="255">
        <f>SUMIFS(BV_Data_An_Prec!$AN:$AN,BV_Data_An_Prec!$AP:$AP,$B339,BV_Data_An_Prec!$AQ:$AQ,$C339,BV_Data_An_Prec!$AR:$AR,$L$2)</f>
        <v>0</v>
      </c>
      <c r="R339" s="252"/>
      <c r="S339" s="275">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PiècesUniformes</v>
      </c>
      <c r="B340" s="41" t="s">
        <v>176</v>
      </c>
      <c r="C340" s="310" t="s">
        <v>132</v>
      </c>
      <c r="D340" s="296"/>
      <c r="E340" s="41"/>
      <c r="F340" s="253" cm="1">
        <f t="array" ref="F340">+SUMPRODUCT(('Budget original'!$A$8:$A$501=$A340)*('Budget original'!$C$3:$AO$3=F$2),'Budget original'!$C$8:$AO$501)</f>
        <v>0</v>
      </c>
      <c r="G340" s="297"/>
      <c r="H340" s="41"/>
      <c r="I340" s="253"/>
      <c r="J340" s="252"/>
      <c r="K340" s="41"/>
      <c r="L340" s="255">
        <f>SUMIFS(BV_Data_An_Cour!$AN:$AN,BV_Data_An_Cour!$AP:$AP,$B340,BV_Data_An_Cour!$AQ:$AQ,$C340,BV_Data_An_Cour!$AR:$AR,$L$2)</f>
        <v>0</v>
      </c>
      <c r="M340" s="252"/>
      <c r="N340" s="275">
        <f t="shared" si="91"/>
        <v>0</v>
      </c>
      <c r="O340" s="252"/>
      <c r="P340" s="41"/>
      <c r="Q340" s="255">
        <f>SUMIFS(BV_Data_An_Prec!$AN:$AN,BV_Data_An_Prec!$AP:$AP,$B340,BV_Data_An_Prec!$AQ:$AQ,$C340,BV_Data_An_Prec!$AR:$AR,$L$2)</f>
        <v>0</v>
      </c>
      <c r="R340" s="252"/>
      <c r="S340" s="275">
        <f t="shared" si="92"/>
        <v>0</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PiècesPapeterie</v>
      </c>
      <c r="B341" s="41" t="s">
        <v>176</v>
      </c>
      <c r="C341" s="310" t="s">
        <v>133</v>
      </c>
      <c r="D341" s="296"/>
      <c r="E341" s="41"/>
      <c r="F341" s="253" cm="1">
        <f t="array" ref="F341">+SUMPRODUCT(('Budget original'!$A$8:$A$501=$A341)*('Budget original'!$C$3:$AO$3=F$2),'Budget original'!$C$8:$AO$501)</f>
        <v>0</v>
      </c>
      <c r="G341" s="297"/>
      <c r="H341" s="41"/>
      <c r="I341" s="253"/>
      <c r="J341" s="252"/>
      <c r="K341" s="41"/>
      <c r="L341" s="255">
        <f>SUMIFS(BV_Data_An_Cour!$AN:$AN,BV_Data_An_Cour!$AP:$AP,$B341,BV_Data_An_Cour!$AQ:$AQ,$C341,BV_Data_An_Cour!$AR:$AR,$L$2)</f>
        <v>3540.65</v>
      </c>
      <c r="M341" s="252"/>
      <c r="N341" s="275">
        <f t="shared" si="91"/>
        <v>3540.65</v>
      </c>
      <c r="O341" s="252"/>
      <c r="P341" s="41"/>
      <c r="Q341" s="255">
        <f>SUMIFS(BV_Data_An_Prec!$AN:$AN,BV_Data_An_Prec!$AP:$AP,$B341,BV_Data_An_Prec!$AQ:$AQ,$C341,BV_Data_An_Prec!$AR:$AR,$L$2)</f>
        <v>0</v>
      </c>
      <c r="R341" s="252"/>
      <c r="S341" s="275">
        <f t="shared" si="92"/>
        <v>3540.65</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PiècesTéléphone</v>
      </c>
      <c r="B342" s="41" t="s">
        <v>176</v>
      </c>
      <c r="C342" s="310" t="s">
        <v>134</v>
      </c>
      <c r="D342" s="296"/>
      <c r="E342" s="41"/>
      <c r="F342" s="253" cm="1">
        <f t="array" ref="F342">+SUMPRODUCT(('Budget original'!$A$8:$A$501=$A342)*('Budget original'!$C$3:$AO$3=F$2),'Budget original'!$C$8:$AO$501)</f>
        <v>0</v>
      </c>
      <c r="G342" s="297"/>
      <c r="H342" s="41"/>
      <c r="I342" s="253"/>
      <c r="J342" s="252"/>
      <c r="K342" s="41"/>
      <c r="L342" s="255">
        <f>SUMIFS(BV_Data_An_Cour!$AN:$AN,BV_Data_An_Cour!$AP:$AP,$B342,BV_Data_An_Cour!$AQ:$AQ,$C342,BV_Data_An_Cour!$AR:$AR,$L$2)</f>
        <v>449.12</v>
      </c>
      <c r="M342" s="252"/>
      <c r="N342" s="275">
        <f t="shared" si="91"/>
        <v>449.12</v>
      </c>
      <c r="O342" s="252"/>
      <c r="P342" s="41"/>
      <c r="Q342" s="255">
        <f>SUMIFS(BV_Data_An_Prec!$AN:$AN,BV_Data_An_Prec!$AP:$AP,$B342,BV_Data_An_Prec!$AQ:$AQ,$C342,BV_Data_An_Prec!$AR:$AR,$L$2)</f>
        <v>0</v>
      </c>
      <c r="R342" s="252"/>
      <c r="S342" s="275">
        <f t="shared" si="92"/>
        <v>449.12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PiècesFrais postaux</v>
      </c>
      <c r="B343" s="41" t="s">
        <v>176</v>
      </c>
      <c r="C343" s="310" t="s">
        <v>135</v>
      </c>
      <c r="D343" s="296"/>
      <c r="E343" s="41"/>
      <c r="F343" s="253" cm="1">
        <f t="array" ref="F343">+SUMPRODUCT(('Budget original'!$A$8:$A$501=$A343)*('Budget original'!$C$3:$AO$3=F$2),'Budget original'!$C$8:$AO$501)</f>
        <v>0</v>
      </c>
      <c r="G343" s="297"/>
      <c r="H343" s="41"/>
      <c r="I343" s="253"/>
      <c r="J343" s="252"/>
      <c r="K343" s="41"/>
      <c r="L343" s="255">
        <f>SUMIFS(BV_Data_An_Cour!$AN:$AN,BV_Data_An_Cour!$AP:$AP,$B343,BV_Data_An_Cour!$AQ:$AQ,$C343,BV_Data_An_Cour!$AR:$AR,$L$2)</f>
        <v>0</v>
      </c>
      <c r="M343" s="252"/>
      <c r="N343" s="275">
        <f t="shared" si="91"/>
        <v>0</v>
      </c>
      <c r="O343" s="252"/>
      <c r="P343" s="41"/>
      <c r="Q343" s="255">
        <f>SUMIFS(BV_Data_An_Prec!$AN:$AN,BV_Data_An_Prec!$AP:$AP,$B343,BV_Data_An_Prec!$AQ:$AQ,$C343,BV_Data_An_Prec!$AR:$AR,$L$2)</f>
        <v>0</v>
      </c>
      <c r="R343" s="252"/>
      <c r="S343" s="275">
        <f t="shared" si="92"/>
        <v>0</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PiècesDivers</v>
      </c>
      <c r="B344" s="41" t="s">
        <v>176</v>
      </c>
      <c r="C344" s="310" t="s">
        <v>136</v>
      </c>
      <c r="D344" s="296"/>
      <c r="E344" s="41"/>
      <c r="F344" s="253" cm="1">
        <f t="array" ref="F344">+SUMPRODUCT(('Budget original'!$A$8:$A$501=$A344)*('Budget original'!$C$3:$AO$3=F$2),'Budget original'!$C$8:$AO$501)</f>
        <v>0</v>
      </c>
      <c r="G344" s="297"/>
      <c r="H344" s="41"/>
      <c r="I344" s="253"/>
      <c r="J344" s="252"/>
      <c r="K344" s="41"/>
      <c r="L344" s="255">
        <f>SUMIFS(BV_Data_An_Cour!$AN:$AN,BV_Data_An_Cour!$AP:$AP,$B344,BV_Data_An_Cour!$AQ:$AQ,$C344,BV_Data_An_Cour!$AR:$AR,$L$2)</f>
        <v>139.76</v>
      </c>
      <c r="M344" s="252"/>
      <c r="N344" s="275">
        <f t="shared" si="91"/>
        <v>139.76</v>
      </c>
      <c r="O344" s="252"/>
      <c r="P344" s="41"/>
      <c r="Q344" s="255">
        <f>SUMIFS(BV_Data_An_Prec!$AN:$AN,BV_Data_An_Prec!$AP:$AP,$B344,BV_Data_An_Prec!$AQ:$AQ,$C344,BV_Data_An_Prec!$AR:$AR,$L$2)</f>
        <v>0</v>
      </c>
      <c r="R344" s="252"/>
      <c r="S344" s="275">
        <f t="shared" si="92"/>
        <v>139.76</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PiècesFormation</v>
      </c>
      <c r="B345" s="41" t="s">
        <v>176</v>
      </c>
      <c r="C345" s="310" t="s">
        <v>137</v>
      </c>
      <c r="D345" s="296"/>
      <c r="E345" s="41"/>
      <c r="F345" s="253" cm="1">
        <f t="array" ref="F345">+SUMPRODUCT(('Budget original'!$A$8:$A$501=$A345)*('Budget original'!$C$3:$AO$3=F$2),'Budget original'!$C$8:$AO$501)</f>
        <v>0</v>
      </c>
      <c r="G345" s="297"/>
      <c r="H345" s="41"/>
      <c r="I345" s="253"/>
      <c r="J345" s="252"/>
      <c r="K345" s="41"/>
      <c r="L345" s="255">
        <f>SUMIFS(BV_Data_An_Cour!$AN:$AN,BV_Data_An_Cour!$AP:$AP,$B345,BV_Data_An_Cour!$AQ:$AQ,$C345,BV_Data_An_Cour!$AR:$AR,$L$2)</f>
        <v>0</v>
      </c>
      <c r="M345" s="252"/>
      <c r="N345" s="275">
        <f t="shared" si="91"/>
        <v>0</v>
      </c>
      <c r="O345" s="252"/>
      <c r="P345" s="41"/>
      <c r="Q345" s="255">
        <f>SUMIFS(BV_Data_An_Prec!$AN:$AN,BV_Data_An_Prec!$AP:$AP,$B345,BV_Data_An_Prec!$AQ:$AQ,$C345,BV_Data_An_Prec!$AR:$AR,$L$2)</f>
        <v>0</v>
      </c>
      <c r="R345" s="252"/>
      <c r="S345" s="275">
        <f t="shared" si="92"/>
        <v>0</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customHeight="1">
      <c r="A346" s="5" t="str">
        <f t="shared" si="69"/>
        <v>PiècesFrais bancaires</v>
      </c>
      <c r="B346" s="41" t="s">
        <v>176</v>
      </c>
      <c r="C346" s="310" t="s">
        <v>138</v>
      </c>
      <c r="D346" s="296"/>
      <c r="E346" s="41"/>
      <c r="F346" s="253" cm="1">
        <f t="array" ref="F346">+SUMPRODUCT(('Budget original'!$A$8:$A$501=$A346)*('Budget original'!$C$3:$AO$3=F$2),'Budget original'!$C$8:$AO$501)</f>
        <v>0</v>
      </c>
      <c r="G346" s="297"/>
      <c r="H346" s="41"/>
      <c r="I346" s="253"/>
      <c r="J346" s="252"/>
      <c r="K346" s="41"/>
      <c r="L346" s="255">
        <f>SUMIFS(BV_Data_An_Cour!$AN:$AN,BV_Data_An_Cour!$AP:$AP,$B346,BV_Data_An_Cour!$AQ:$AQ,$C346,BV_Data_An_Cour!$AR:$AR,L$2)</f>
        <v>0</v>
      </c>
      <c r="M346" s="252"/>
      <c r="N346" s="275">
        <f t="shared" si="91"/>
        <v>0</v>
      </c>
      <c r="O346" s="252"/>
      <c r="P346" s="41"/>
      <c r="Q346" s="255">
        <f>SUMIFS(BV_Data_An_Prec!$AN:$AN,BV_Data_An_Prec!$AP:$AP,$B346,BV_Data_An_Prec!$AQ:$AQ,$C346,BV_Data_An_Prec!$AR:$AR,Q$2)</f>
        <v>0</v>
      </c>
      <c r="R346" s="252"/>
      <c r="S346" s="275">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176</v>
      </c>
      <c r="C347" s="310" t="s">
        <v>55</v>
      </c>
      <c r="D347" s="296"/>
      <c r="E347" s="41"/>
      <c r="F347" s="253" cm="1">
        <f t="array" ref="F347">+SUMPRODUCT(('Budget original'!$A$8:$A$501=$A347)*('Budget original'!$C$3:$AO$3=F$2),'Budget original'!$C$8:$AO$501)</f>
        <v>0</v>
      </c>
      <c r="G347" s="297"/>
      <c r="H347" s="41"/>
      <c r="I347" s="253"/>
      <c r="J347" s="252"/>
      <c r="K347" s="41"/>
      <c r="L347" s="255">
        <f>SUMIFS(BV_Data_An_Cour!$AN:$AN,BV_Data_An_Cour!$AP:$AP,$B347,BV_Data_An_Cour!$AQ:$AQ,$C347,BV_Data_An_Cour!$AR:$AR,$L$2)</f>
        <v>0</v>
      </c>
      <c r="M347" s="252"/>
      <c r="N347" s="275">
        <f t="shared" si="91"/>
        <v>0</v>
      </c>
      <c r="O347" s="252"/>
      <c r="P347" s="41"/>
      <c r="Q347" s="255">
        <f>SUMIFS(BV_Data_An_Prec!$AN:$AN,BV_Data_An_Prec!$AP:$AP,$B347,BV_Data_An_Prec!$AQ:$AQ,$C347,BV_Data_An_Prec!$AR:$AR,$L$2)</f>
        <v>0</v>
      </c>
      <c r="R347" s="252"/>
      <c r="S347" s="275">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176</v>
      </c>
      <c r="C348" s="310" t="s">
        <v>55</v>
      </c>
      <c r="D348" s="296"/>
      <c r="E348" s="41"/>
      <c r="F348" s="253" cm="1">
        <f t="array" ref="F348">+SUMPRODUCT(('Budget original'!$A$8:$A$501=$A348)*('Budget original'!$C$3:$AO$3=F$2),'Budget original'!$C$8:$AO$501)</f>
        <v>0</v>
      </c>
      <c r="G348" s="297"/>
      <c r="H348" s="41"/>
      <c r="I348" s="253"/>
      <c r="J348" s="252"/>
      <c r="K348" s="41"/>
      <c r="L348" s="255">
        <f>SUMIFS(BV_Data_An_Cour!$AN:$AN,BV_Data_An_Cour!$AP:$AP,$B348,BV_Data_An_Cour!$AQ:$AQ,$C348,BV_Data_An_Cour!$AR:$AR,$L$2)</f>
        <v>0</v>
      </c>
      <c r="M348" s="252"/>
      <c r="N348" s="275">
        <f t="shared" si="91"/>
        <v>0</v>
      </c>
      <c r="O348" s="252"/>
      <c r="P348" s="41"/>
      <c r="Q348" s="255">
        <f>SUMIFS(BV_Data_An_Prec!$AN:$AN,BV_Data_An_Prec!$AP:$AP,$B348,BV_Data_An_Prec!$AQ:$AQ,$C348,BV_Data_An_Prec!$AR:$AR,$L$2)</f>
        <v>0</v>
      </c>
      <c r="R348" s="252"/>
      <c r="S348" s="275">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hidden="1" customHeight="1">
      <c r="A349" s="5" t="str">
        <f t="shared" si="69"/>
        <v>Pièces[...]</v>
      </c>
      <c r="B349" s="41" t="s">
        <v>176</v>
      </c>
      <c r="C349" s="310" t="s">
        <v>55</v>
      </c>
      <c r="D349" s="296"/>
      <c r="E349" s="41"/>
      <c r="F349" s="253" cm="1">
        <f t="array" ref="F349">+SUMPRODUCT(('Budget original'!$A$8:$A$501=$A349)*('Budget original'!$C$3:$AO$3=F$2),'Budget original'!$C$8:$AO$501)</f>
        <v>0</v>
      </c>
      <c r="G349" s="297"/>
      <c r="H349" s="41"/>
      <c r="I349" s="253"/>
      <c r="J349" s="252"/>
      <c r="K349" s="41"/>
      <c r="L349" s="255">
        <f>SUMIFS(BV_Data_An_Cour!$AN:$AN,BV_Data_An_Cour!$AP:$AP,$B349,BV_Data_An_Cour!$AQ:$AQ,$C349,BV_Data_An_Cour!$AR:$AR,$L$2)</f>
        <v>0</v>
      </c>
      <c r="M349" s="252"/>
      <c r="N349" s="275">
        <f t="shared" si="91"/>
        <v>0</v>
      </c>
      <c r="O349" s="252"/>
      <c r="P349" s="41"/>
      <c r="Q349" s="255">
        <f>SUMIFS(BV_Data_An_Prec!$AN:$AN,BV_Data_An_Prec!$AP:$AP,$B349,BV_Data_An_Prec!$AQ:$AQ,$C349,BV_Data_An_Prec!$AR:$AR,$L$2)</f>
        <v>0</v>
      </c>
      <c r="R349" s="252"/>
      <c r="S349" s="275">
        <f t="shared" si="92"/>
        <v>0</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303" t="s">
        <v>139</v>
      </c>
      <c r="D350" s="304" t="s">
        <v>115</v>
      </c>
      <c r="E350" s="305" t="e">
        <f>F350/F$315</f>
        <v>#DIV/0!</v>
      </c>
      <c r="F350" s="306">
        <f>+SUM(F332:F349)</f>
        <v>0</v>
      </c>
      <c r="G350" s="307"/>
      <c r="H350" s="305"/>
      <c r="I350" s="306"/>
      <c r="J350" s="307" t="s">
        <v>115</v>
      </c>
      <c r="K350" s="305">
        <f>L350/L$315</f>
        <v>0.23658828199376702</v>
      </c>
      <c r="L350" s="306">
        <f>+SUM(L332:L349)</f>
        <v>177327.81</v>
      </c>
      <c r="M350" s="309"/>
      <c r="N350" s="306">
        <f>+SUM(N332:N349)</f>
        <v>177327.81</v>
      </c>
      <c r="O350" s="307" t="s">
        <v>115</v>
      </c>
      <c r="P350" s="305" t="e">
        <f>Q350/Q$315</f>
        <v>#DIV/0!</v>
      </c>
      <c r="Q350" s="306">
        <f>+SUM(Q332:Q349)</f>
        <v>0</v>
      </c>
      <c r="R350" s="309"/>
      <c r="S350" s="306">
        <f>+SUM(S332:S349)</f>
        <v>177327.81</v>
      </c>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245"/>
      <c r="D351" s="298"/>
      <c r="E351" s="316"/>
      <c r="F351" s="275"/>
      <c r="G351" s="299"/>
      <c r="H351" s="316"/>
      <c r="I351" s="275"/>
      <c r="J351" s="245"/>
      <c r="K351" s="316"/>
      <c r="L351" s="295"/>
      <c r="M351" s="245"/>
      <c r="N351" s="295"/>
      <c r="O351" s="245"/>
      <c r="P351" s="316"/>
      <c r="Q351" s="295"/>
      <c r="R351" s="245"/>
      <c r="S351" s="295"/>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303" t="s">
        <v>140</v>
      </c>
      <c r="D352" s="304" t="s">
        <v>115</v>
      </c>
      <c r="E352" s="305" t="e">
        <f>F352/F$315</f>
        <v>#DIV/0!</v>
      </c>
      <c r="F352" s="306">
        <f>F331+F350</f>
        <v>0</v>
      </c>
      <c r="G352" s="307"/>
      <c r="H352" s="305"/>
      <c r="I352" s="306"/>
      <c r="J352" s="307" t="s">
        <v>115</v>
      </c>
      <c r="K352" s="305">
        <f>L352/L$315</f>
        <v>0.45174697514683654</v>
      </c>
      <c r="L352" s="306">
        <f>L331+L350</f>
        <v>338593.7</v>
      </c>
      <c r="M352" s="309"/>
      <c r="N352" s="318">
        <f>L352-F352</f>
        <v>338593.7</v>
      </c>
      <c r="O352" s="307" t="s">
        <v>115</v>
      </c>
      <c r="P352" s="305" t="e">
        <f>Q352/Q$315</f>
        <v>#DIV/0!</v>
      </c>
      <c r="Q352" s="306">
        <f>Q331+Q350</f>
        <v>0</v>
      </c>
      <c r="R352" s="309"/>
      <c r="S352" s="318">
        <f>L352-Q352</f>
        <v>338593.7</v>
      </c>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252"/>
      <c r="D353" s="296"/>
      <c r="E353" s="41"/>
      <c r="F353" s="275"/>
      <c r="G353" s="297"/>
      <c r="H353" s="41"/>
      <c r="I353" s="275"/>
      <c r="J353" s="252"/>
      <c r="K353" s="41"/>
      <c r="L353" s="275"/>
      <c r="M353" s="252"/>
      <c r="N353" s="275">
        <f>L353-F353</f>
        <v>0</v>
      </c>
      <c r="O353" s="252"/>
      <c r="P353" s="41"/>
      <c r="Q353" s="275"/>
      <c r="R353" s="252"/>
      <c r="S353" s="275"/>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Bot="1">
      <c r="B354" s="3"/>
      <c r="C354" s="330" t="s">
        <v>147</v>
      </c>
      <c r="D354" s="358"/>
      <c r="E354" s="331"/>
      <c r="F354" s="333">
        <f>F315-F352</f>
        <v>0</v>
      </c>
      <c r="G354" s="359"/>
      <c r="H354" s="331"/>
      <c r="I354" s="333"/>
      <c r="J354" s="330"/>
      <c r="K354" s="332"/>
      <c r="L354" s="333">
        <f>L315-L352</f>
        <v>410926.97999999992</v>
      </c>
      <c r="M354" s="330"/>
      <c r="N354" s="333">
        <f>L354-F354</f>
        <v>410926.97999999992</v>
      </c>
      <c r="O354" s="330"/>
      <c r="P354" s="332"/>
      <c r="Q354" s="333">
        <f>Q315-Q352</f>
        <v>0</v>
      </c>
      <c r="R354" s="330"/>
      <c r="S354" s="333">
        <f>L354-Q354</f>
        <v>410926.97999999992</v>
      </c>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thickTop="1">
      <c r="B355" s="3"/>
      <c r="C355" s="11"/>
      <c r="D355" s="296"/>
      <c r="E355" s="41"/>
      <c r="F355" s="317"/>
      <c r="G355" s="296"/>
      <c r="H355" s="41"/>
      <c r="I355" s="317"/>
      <c r="J355" s="11"/>
      <c r="K355" s="11"/>
      <c r="L355" s="317"/>
      <c r="M355" s="11"/>
      <c r="N355" s="317"/>
      <c r="O355" s="11"/>
      <c r="P355" s="11"/>
      <c r="Q355" s="317"/>
      <c r="R355" s="11"/>
      <c r="S355" s="560"/>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15.75" customHeight="1">
      <c r="B356" s="3"/>
      <c r="C356" s="11"/>
      <c r="D356" s="296"/>
      <c r="E356" s="41"/>
      <c r="F356" s="317"/>
      <c r="G356" s="296"/>
      <c r="H356" s="41"/>
      <c r="I356" s="317"/>
      <c r="J356" s="11"/>
      <c r="K356" s="11"/>
      <c r="L356" s="317"/>
      <c r="M356" s="11"/>
      <c r="N356" s="317"/>
      <c r="O356" s="11"/>
      <c r="P356" s="11"/>
      <c r="Q356" s="317"/>
      <c r="R356" s="11"/>
      <c r="S356" s="317"/>
      <c r="T356" s="41"/>
      <c r="U356" s="41"/>
      <c r="V356" s="41"/>
      <c r="W356" s="41"/>
      <c r="X356" s="41"/>
      <c r="Y356" s="41"/>
      <c r="Z356" s="41"/>
      <c r="AA356" s="41"/>
      <c r="AB356" s="41"/>
      <c r="AC356" s="41"/>
      <c r="AD356" s="41"/>
      <c r="AE356" s="41"/>
      <c r="AF356" s="41"/>
      <c r="AG356" s="41"/>
      <c r="AH356" s="41"/>
      <c r="AI356" s="41"/>
      <c r="AJ356" s="41"/>
      <c r="AK356" s="41"/>
      <c r="AL356" s="41"/>
      <c r="AM356" s="41"/>
      <c r="AN356" s="41"/>
    </row>
    <row r="357" spans="1:40" ht="34.5" hidden="1" customHeight="1">
      <c r="B357" s="3"/>
      <c r="C357" s="36" t="str">
        <f>+C292</f>
        <v>Hyundai</v>
      </c>
      <c r="D357" s="231"/>
      <c r="E357" s="231"/>
      <c r="F357" s="231"/>
      <c r="G357" s="231"/>
      <c r="H357" s="36"/>
      <c r="I357" s="36"/>
      <c r="J357" s="36"/>
      <c r="K357" s="9" t="s">
        <v>192</v>
      </c>
      <c r="L357" s="231"/>
      <c r="M357" s="231"/>
      <c r="N357" s="36"/>
      <c r="O357" s="36"/>
      <c r="P357" s="231"/>
      <c r="Q357" s="36"/>
      <c r="R357" s="231"/>
      <c r="S357" s="10" t="str">
        <f>$S$1</f>
        <v>Réalisé AAJ, Mai 2025</v>
      </c>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Bot="1">
      <c r="B358" s="3"/>
      <c r="C358" s="37"/>
      <c r="D358" s="38"/>
      <c r="E358" s="38"/>
      <c r="F358" s="38"/>
      <c r="G358" s="38"/>
      <c r="H358" s="38"/>
      <c r="I358" s="38"/>
      <c r="J358" s="38"/>
      <c r="K358" s="38"/>
      <c r="L358" s="38"/>
      <c r="M358" s="38"/>
      <c r="N358" s="38"/>
      <c r="O358" s="38"/>
      <c r="P358" s="38"/>
      <c r="Q358" s="38"/>
      <c r="R358" s="38"/>
      <c r="S358" s="38"/>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Top="1">
      <c r="B359" s="3"/>
      <c r="C359" s="237"/>
      <c r="D359" s="1058" t="s">
        <v>339</v>
      </c>
      <c r="E359" s="1059"/>
      <c r="F359" s="1060"/>
      <c r="G359" s="1061"/>
      <c r="H359" s="1059"/>
      <c r="I359" s="1060"/>
      <c r="J359" s="1061" t="s">
        <v>340</v>
      </c>
      <c r="K359" s="1059"/>
      <c r="L359" s="1060"/>
      <c r="M359" s="1061"/>
      <c r="N359" s="1060"/>
      <c r="O359" s="1061" t="s">
        <v>341</v>
      </c>
      <c r="P359" s="1059"/>
      <c r="Q359" s="1060"/>
      <c r="R359" s="1061" t="s">
        <v>342</v>
      </c>
      <c r="S359" s="1060"/>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Bot="1">
      <c r="A360" s="5" t="str">
        <f t="shared" ref="A360:A395" si="93">+B360&amp;C360</f>
        <v>Boutique</v>
      </c>
      <c r="B360" s="41" t="s">
        <v>192</v>
      </c>
      <c r="C360" s="252"/>
      <c r="D360" s="416" t="s">
        <v>159</v>
      </c>
      <c r="E360" s="416" t="s">
        <v>177</v>
      </c>
      <c r="F360" s="417" t="s">
        <v>91</v>
      </c>
      <c r="G360" s="418"/>
      <c r="H360" s="416"/>
      <c r="I360" s="417"/>
      <c r="J360" s="339" t="s">
        <v>159</v>
      </c>
      <c r="K360" s="39" t="s">
        <v>177</v>
      </c>
      <c r="L360" s="338" t="s">
        <v>91</v>
      </c>
      <c r="M360" s="339"/>
      <c r="N360" s="338"/>
      <c r="O360" s="339" t="s">
        <v>159</v>
      </c>
      <c r="P360" s="39" t="s">
        <v>177</v>
      </c>
      <c r="Q360" s="338" t="s">
        <v>91</v>
      </c>
      <c r="R360" s="339" t="s">
        <v>453</v>
      </c>
      <c r="S360" s="338" t="s">
        <v>91</v>
      </c>
      <c r="T360" s="38"/>
      <c r="U360" s="38"/>
      <c r="V360" s="41"/>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Top="1">
      <c r="A361" s="5" t="str">
        <f t="shared" si="93"/>
        <v>BoutiqueBoutique</v>
      </c>
      <c r="B361" s="41" t="s">
        <v>192</v>
      </c>
      <c r="C361" s="277" t="s">
        <v>192</v>
      </c>
      <c r="D361" s="419" cm="1">
        <f t="array" ref="D361">+SUMPRODUCT(('Budget original'!$A$8:$A$501=$A361)*('Budget original'!$C$3:$AO$3=D$2),'Budget original'!$C$8:$AO$501)</f>
        <v>0</v>
      </c>
      <c r="E361" s="420">
        <f>IFERROR(F361/D361,0)</f>
        <v>0</v>
      </c>
      <c r="F361" s="421" cm="1">
        <f t="array" ref="F361">+SUMPRODUCT(('Budget original'!$A$8:$A$501=$A361)*('Budget original'!$C$3:$AO$3=F$2),'Budget original'!$C$8:$AO$501)</f>
        <v>0</v>
      </c>
      <c r="G361" s="419"/>
      <c r="H361" s="420"/>
      <c r="I361" s="419"/>
      <c r="J361" s="422">
        <f>-SUMIFS(BV_Data_An_Cour!$AN:$AN,BV_Data_An_Cour!$AS:$AS,"Oui",BV_Data_An_Cour!$AP:$AP,$B361,BV_Data_An_Cour!$AQ:$AQ,$C361)</f>
        <v>0</v>
      </c>
      <c r="K361" s="408">
        <f>IF(J361&lt;=0,0,L361/J361)</f>
        <v>0</v>
      </c>
      <c r="L361" s="423">
        <f>-SUMIFS(BV_Data_An_Cour!$AN:$AN,BV_Data_An_Cour!$AP:$AP,$B361,BV_Data_An_Cour!$AQ:$AQ,$C361,BV_Data_An_Cour!$AR:$AR,$L$2)</f>
        <v>0</v>
      </c>
      <c r="M361" s="409"/>
      <c r="N361" s="410"/>
      <c r="O361" s="422" cm="1">
        <f t="array" ref="O361">+SUMPRODUCT(('Réel 2024'!$A$8:$A$501=$A361)*('Réel 2024'!$C$3:$AO$3=O$2),'Réel 2024'!$C$8:$AO$501)</f>
        <v>0</v>
      </c>
      <c r="P361" s="408">
        <f>IFERROR(Q361/O361,0)</f>
        <v>0</v>
      </c>
      <c r="Q361" s="423" cm="1">
        <f t="array" ref="Q361">+SUMPRODUCT(('Réel 2024'!$A$8:$A$501=$A361)*('Réel 2024'!$C$3:$AO$3=Q$2),'Réel 2024'!$C$8:$AO$501)</f>
        <v>0</v>
      </c>
      <c r="R361" s="409">
        <f>IF(O361=0,0,(J361-O361)/O361)</f>
        <v>0</v>
      </c>
      <c r="S361" s="410">
        <f>L361-Q361</f>
        <v>0</v>
      </c>
      <c r="T361" s="38"/>
      <c r="U361" s="38"/>
      <c r="V361" s="424"/>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Bot="1">
      <c r="A362" s="5" t="str">
        <f t="shared" si="93"/>
        <v>Boutique</v>
      </c>
      <c r="B362" s="41" t="s">
        <v>192</v>
      </c>
      <c r="C362" s="330"/>
      <c r="D362" s="411"/>
      <c r="E362" s="412"/>
      <c r="F362" s="333"/>
      <c r="G362" s="413"/>
      <c r="H362" s="412"/>
      <c r="I362" s="333"/>
      <c r="J362" s="413"/>
      <c r="K362" s="412"/>
      <c r="L362" s="333"/>
      <c r="M362" s="414"/>
      <c r="N362" s="286"/>
      <c r="O362" s="413"/>
      <c r="P362" s="412"/>
      <c r="Q362" s="333"/>
      <c r="R362" s="414"/>
      <c r="S362" s="286"/>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thickTop="1">
      <c r="A363" s="5" t="str">
        <f t="shared" si="93"/>
        <v>BoutiqueTotal Dépt. Boutique</v>
      </c>
      <c r="B363" s="41" t="s">
        <v>192</v>
      </c>
      <c r="C363" s="269" t="s">
        <v>193</v>
      </c>
      <c r="D363" s="317">
        <f>+D361</f>
        <v>0</v>
      </c>
      <c r="E363" s="370">
        <f>IF(D363&lt;=0,0,F363/D363)</f>
        <v>0</v>
      </c>
      <c r="F363" s="372">
        <f t="shared" ref="F363" si="94">+F361</f>
        <v>0</v>
      </c>
      <c r="G363" s="371"/>
      <c r="H363" s="370"/>
      <c r="I363" s="372"/>
      <c r="J363" s="371">
        <f t="shared" ref="J363" si="95">+J361</f>
        <v>0</v>
      </c>
      <c r="K363" s="370">
        <f>IF(J363&lt;=0,0,L363/J363)</f>
        <v>0</v>
      </c>
      <c r="L363" s="372">
        <f>+L361</f>
        <v>0</v>
      </c>
      <c r="M363" s="351"/>
      <c r="N363" s="425"/>
      <c r="O363" s="371">
        <f>+O361</f>
        <v>0</v>
      </c>
      <c r="P363" s="370">
        <f>IF(O363&lt;=0,0,Q363/O363)</f>
        <v>0</v>
      </c>
      <c r="Q363" s="372">
        <f t="shared" ref="Q363" si="96">+Q361</f>
        <v>0</v>
      </c>
      <c r="R363" s="252">
        <f>IF(O363=0,0,(J363-O363)/O363)</f>
        <v>0</v>
      </c>
      <c r="S363" s="264">
        <f>L363-Q363</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v>
      </c>
      <c r="B364" s="41" t="s">
        <v>192</v>
      </c>
      <c r="C364" s="288"/>
      <c r="D364" s="41"/>
      <c r="E364" s="41"/>
      <c r="F364" s="275"/>
      <c r="G364" s="252"/>
      <c r="H364" s="41"/>
      <c r="I364" s="275"/>
      <c r="J364" s="252"/>
      <c r="K364" s="41"/>
      <c r="L364" s="262"/>
      <c r="M364" s="252"/>
      <c r="N364" s="360"/>
      <c r="O364" s="252"/>
      <c r="P364" s="41"/>
      <c r="Q364" s="262"/>
      <c r="R364" s="252"/>
      <c r="S364" s="262">
        <f>IF(Q363=0,0,S363/Q363)</f>
        <v>0</v>
      </c>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BoutiqueDEPENSES</v>
      </c>
      <c r="B365" s="41" t="s">
        <v>192</v>
      </c>
      <c r="C365" s="288" t="s">
        <v>106</v>
      </c>
      <c r="D365" s="41"/>
      <c r="E365" s="41"/>
      <c r="F365" s="275"/>
      <c r="G365" s="252"/>
      <c r="H365" s="41"/>
      <c r="I365" s="275"/>
      <c r="J365" s="252"/>
      <c r="K365" s="41"/>
      <c r="L365" s="262"/>
      <c r="M365" s="252"/>
      <c r="N365" s="262"/>
      <c r="O365" s="252"/>
      <c r="P365" s="41"/>
      <c r="Q365" s="262"/>
      <c r="R365" s="252"/>
      <c r="S365" s="262"/>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cadres</v>
      </c>
      <c r="B366" s="41" t="s">
        <v>192</v>
      </c>
      <c r="C366" s="310" t="s">
        <v>116</v>
      </c>
      <c r="D366" s="41"/>
      <c r="E366" s="41"/>
      <c r="F366" s="253" cm="1">
        <f t="array" ref="F366">+SUMPRODUCT(('Budget original'!$A$8:$A$501=$A366)*('Budget original'!$C$3:$AO$3=F$2),'Budget original'!$C$8:$AO$501)</f>
        <v>0</v>
      </c>
      <c r="G366" s="252"/>
      <c r="H366" s="41"/>
      <c r="I366" s="253"/>
      <c r="J366" s="252"/>
      <c r="K366" s="41"/>
      <c r="L366" s="255">
        <f>SUMIFS(BV_Data_An_Cour!$AN:$AN,BV_Data_An_Cour!$AP:$AP,$B366,BV_Data_An_Cour!$AQ:$AQ,$C366,BV_Data_An_Cour!$AR:$AR,$L$2)</f>
        <v>0</v>
      </c>
      <c r="M366" s="252"/>
      <c r="N366" s="262"/>
      <c r="O366" s="252"/>
      <c r="P366" s="41"/>
      <c r="Q366" s="255" cm="1">
        <f t="array" ref="Q366">+SUMPRODUCT(('Réel 2024'!$A$8:$A$501=$A366)*('Réel 2024'!$C$3:$AO$3=Q$2),'Réel 2024'!$C$8:$AO$501)</f>
        <v>0</v>
      </c>
      <c r="R366" s="252"/>
      <c r="S366" s="255">
        <f t="shared" ref="S366:S395" si="97">L366-Q366</f>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commis</v>
      </c>
      <c r="B367" s="41" t="s">
        <v>192</v>
      </c>
      <c r="C367" s="311" t="s">
        <v>117</v>
      </c>
      <c r="D367" s="296"/>
      <c r="E367" s="41"/>
      <c r="F367" s="247" cm="1">
        <f t="array" ref="F367">+SUMPRODUCT(('Budget original'!$A$8:$A$501=$A367)*('Budget original'!$C$3:$AO$3=F$2),'Budget original'!$C$8:$AO$501)</f>
        <v>0</v>
      </c>
      <c r="G367" s="297"/>
      <c r="H367" s="41"/>
      <c r="I367" s="247"/>
      <c r="J367" s="252"/>
      <c r="K367" s="41"/>
      <c r="L367" s="247">
        <f>SUMIFS(BV_Data_An_Cour!$AN:$AN,BV_Data_An_Cour!$AP:$AP,$B367,BV_Data_An_Cour!$AQ:$AQ,$C367,BV_Data_An_Cour!$AR:$AR,$L$2)</f>
        <v>0</v>
      </c>
      <c r="M367" s="252"/>
      <c r="N367" s="275"/>
      <c r="O367" s="252"/>
      <c r="P367" s="41"/>
      <c r="Q367" s="247" cm="1">
        <f t="array" ref="Q367">+SUMPRODUCT(('Réel 2024'!$A$8:$A$501=$A367)*('Réel 2024'!$C$3:$AO$3=Q$2),'Réel 2024'!$C$8:$AO$501)</f>
        <v>0</v>
      </c>
      <c r="R367" s="252"/>
      <c r="S367" s="275">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autres</v>
      </c>
      <c r="B368" s="41" t="s">
        <v>192</v>
      </c>
      <c r="C368" s="310" t="s">
        <v>118</v>
      </c>
      <c r="D368" s="312"/>
      <c r="E368" s="313"/>
      <c r="F368" s="253" cm="1">
        <f t="array" ref="F368">+SUMPRODUCT(('Budget original'!$A$8:$A$501=$A368)*('Budget original'!$C$3:$AO$3=F$2),'Budget original'!$C$8:$AO$501)</f>
        <v>0</v>
      </c>
      <c r="G368" s="314"/>
      <c r="H368" s="313"/>
      <c r="I368" s="253"/>
      <c r="J368" s="240"/>
      <c r="K368" s="313"/>
      <c r="L368" s="253">
        <f>SUMIFS(BV_Data_An_Cour!$AN:$AN,BV_Data_An_Cour!$AP:$AP,$B368,BV_Data_An_Cour!$AQ:$AQ,$C368,BV_Data_An_Cour!$AR:$AR,$L$2)</f>
        <v>0</v>
      </c>
      <c r="M368" s="240"/>
      <c r="N368" s="315"/>
      <c r="O368" s="240"/>
      <c r="P368" s="313"/>
      <c r="Q368" s="255" cm="1">
        <f t="array" ref="Q368">+SUMPRODUCT(('Réel 2024'!$A$8:$A$501=$A368)*('Réel 2024'!$C$3:$AO$3=Q$2),'Réel 2024'!$C$8:$AO$501)</f>
        <v>0</v>
      </c>
      <c r="R368" s="240"/>
      <c r="S368" s="315">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BoutiqueSalaires spécialistes</v>
      </c>
      <c r="B369" s="41" t="s">
        <v>192</v>
      </c>
      <c r="C369" s="310" t="s">
        <v>119</v>
      </c>
      <c r="D369" s="296"/>
      <c r="E369" s="41"/>
      <c r="F369" s="253" cm="1">
        <f t="array" ref="F369">+SUMPRODUCT(('Budget original'!$A$8:$A$501=$A369)*('Budget original'!$C$3:$AO$3=F$2),'Budget original'!$C$8:$AO$501)</f>
        <v>0</v>
      </c>
      <c r="G369" s="297"/>
      <c r="H369" s="41"/>
      <c r="I369" s="253"/>
      <c r="J369" s="252"/>
      <c r="K369" s="41"/>
      <c r="L369" s="253">
        <f>SUMIFS(BV_Data_An_Cour!$AN:$AN,BV_Data_An_Cour!$AP:$AP,$B369,BV_Data_An_Cour!$AQ:$AQ,$C369,BV_Data_An_Cour!$AR:$AR,$L$2)</f>
        <v>0</v>
      </c>
      <c r="M369" s="252"/>
      <c r="N369" s="275"/>
      <c r="O369" s="252"/>
      <c r="P369" s="41"/>
      <c r="Q369" s="255" cm="1">
        <f t="array" ref="Q369">+SUMPRODUCT(('Réel 2024'!$A$8:$A$501=$A369)*('Réel 2024'!$C$3:$AO$3=Q$2),'Réel 2024'!$C$8:$AO$501)</f>
        <v>0</v>
      </c>
      <c r="R369" s="252"/>
      <c r="S369" s="275">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192</v>
      </c>
      <c r="C370" s="252" t="s">
        <v>55</v>
      </c>
      <c r="D370" s="296"/>
      <c r="E370" s="41"/>
      <c r="F370" s="253" cm="1">
        <f t="array" ref="F370">+SUMPRODUCT(('Budget original'!$A$8:$A$501=$A370)*('Budget original'!$C$3:$AO$3=F$2),'Budget original'!$C$8:$AO$501)</f>
        <v>0</v>
      </c>
      <c r="G370" s="297"/>
      <c r="H370" s="41"/>
      <c r="I370" s="253"/>
      <c r="J370" s="252"/>
      <c r="K370" s="41"/>
      <c r="L370" s="253">
        <f>SUMIFS(BV_Data_An_Cour!$AN:$AN,BV_Data_An_Cour!$AP:$AP,$B370,BV_Data_An_Cour!$AQ:$AQ,$C370,BV_Data_An_Cour!$AR:$AR,$L$2)</f>
        <v>0</v>
      </c>
      <c r="M370" s="252"/>
      <c r="N370" s="275"/>
      <c r="O370" s="252"/>
      <c r="P370" s="41"/>
      <c r="Q370" s="255" cm="1">
        <f t="array" ref="Q370">+SUMPRODUCT(('Réel 2024'!$A$8:$A$501=$A370)*('Réel 2024'!$C$3:$AO$3=Q$2),'Réel 2024'!$C$8:$AO$501)</f>
        <v>0</v>
      </c>
      <c r="R370" s="252"/>
      <c r="S370" s="275">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192</v>
      </c>
      <c r="C371" s="252" t="s">
        <v>55</v>
      </c>
      <c r="D371" s="296"/>
      <c r="E371" s="41"/>
      <c r="F371" s="253" cm="1">
        <f t="array" ref="F371">+SUMPRODUCT(('Budget original'!$A$8:$A$501=$A371)*('Budget original'!$C$3:$AO$3=F$2),'Budget original'!$C$8:$AO$501)</f>
        <v>0</v>
      </c>
      <c r="G371" s="297"/>
      <c r="H371" s="41"/>
      <c r="I371" s="253"/>
      <c r="J371" s="252"/>
      <c r="K371" s="41"/>
      <c r="L371" s="253">
        <f>SUMIFS(BV_Data_An_Cour!$AN:$AN,BV_Data_An_Cour!$AP:$AP,$B371,BV_Data_An_Cour!$AQ:$AQ,$C371,BV_Data_An_Cour!$AR:$AR,$L$2)</f>
        <v>0</v>
      </c>
      <c r="M371" s="252"/>
      <c r="N371" s="275"/>
      <c r="O371" s="252"/>
      <c r="P371" s="41"/>
      <c r="Q371" s="255" cm="1">
        <f t="array" ref="Q371">+SUMPRODUCT(('Réel 2024'!$A$8:$A$501=$A371)*('Réel 2024'!$C$3:$AO$3=Q$2),'Réel 2024'!$C$8:$AO$501)</f>
        <v>0</v>
      </c>
      <c r="R371" s="252"/>
      <c r="S371" s="275">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v>
      </c>
      <c r="B372" s="41" t="s">
        <v>192</v>
      </c>
      <c r="C372" s="252" t="s">
        <v>55</v>
      </c>
      <c r="D372" s="296"/>
      <c r="E372" s="41"/>
      <c r="F372" s="253" cm="1">
        <f t="array" ref="F372">+SUMPRODUCT(('Budget original'!$A$8:$A$501=$A372)*('Budget original'!$C$3:$AO$3=F$2),'Budget original'!$C$8:$AO$501)</f>
        <v>0</v>
      </c>
      <c r="G372" s="297"/>
      <c r="H372" s="41"/>
      <c r="I372" s="253"/>
      <c r="J372" s="252"/>
      <c r="K372" s="41"/>
      <c r="L372" s="253">
        <f>SUMIFS(BV_Data_An_Cour!$AN:$AN,BV_Data_An_Cour!$AP:$AP,$B372,BV_Data_An_Cour!$AQ:$AQ,$C372,BV_Data_An_Cour!$AR:$AR,$L$2)</f>
        <v>0</v>
      </c>
      <c r="M372" s="252"/>
      <c r="N372" s="275"/>
      <c r="O372" s="252"/>
      <c r="P372" s="41"/>
      <c r="Q372" s="255" cm="1">
        <f t="array" ref="Q372">+SUMPRODUCT(('Réel 2024'!$A$8:$A$501=$A372)*('Réel 2024'!$C$3:$AO$3=Q$2),'Réel 2024'!$C$8:$AO$501)</f>
        <v>0</v>
      </c>
      <c r="R372" s="252"/>
      <c r="S372" s="275">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BoutiqueSalaires en absences</v>
      </c>
      <c r="B373" s="41" t="s">
        <v>192</v>
      </c>
      <c r="C373" s="311" t="s">
        <v>120</v>
      </c>
      <c r="D373" s="296"/>
      <c r="E373" s="41"/>
      <c r="F373" s="247" cm="1">
        <f t="array" ref="F373">+SUMPRODUCT(('Budget original'!$A$8:$A$501=$A373)*('Budget original'!$C$3:$AO$3=F$2),'Budget original'!$C$8:$AO$501)</f>
        <v>0</v>
      </c>
      <c r="G373" s="297"/>
      <c r="H373" s="41"/>
      <c r="I373" s="247"/>
      <c r="J373" s="252"/>
      <c r="K373" s="41"/>
      <c r="L373" s="247">
        <f>SUMIFS(BV_Data_An_Cour!$AN:$AN,BV_Data_An_Cour!$AP:$AP,$B373,BV_Data_An_Cour!$AQ:$AQ,$C373,BV_Data_An_Cour!$AR:$AR,$L$2)</f>
        <v>0</v>
      </c>
      <c r="M373" s="252"/>
      <c r="N373" s="275"/>
      <c r="O373" s="252"/>
      <c r="P373" s="41"/>
      <c r="Q373" s="247" cm="1">
        <f t="array" ref="Q373">+SUMPRODUCT(('Réel 2024'!$A$8:$A$501=$A373)*('Réel 2024'!$C$3:$AO$3=Q$2),'Réel 2024'!$C$8:$AO$501)</f>
        <v>0</v>
      </c>
      <c r="R373" s="252"/>
      <c r="S373" s="275">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BoutiqueDéduction à la source</v>
      </c>
      <c r="B374" s="41" t="s">
        <v>192</v>
      </c>
      <c r="C374" s="310" t="s">
        <v>121</v>
      </c>
      <c r="D374" s="312"/>
      <c r="E374" s="313"/>
      <c r="F374" s="253" cm="1">
        <f t="array" ref="F374">+SUMPRODUCT(('Budget original'!$A$8:$A$501=$A374)*('Budget original'!$C$3:$AO$3=F$2),'Budget original'!$C$8:$AO$501)</f>
        <v>0</v>
      </c>
      <c r="G374" s="314"/>
      <c r="H374" s="313"/>
      <c r="I374" s="253"/>
      <c r="J374" s="240"/>
      <c r="K374" s="313"/>
      <c r="L374" s="253">
        <f>SUMIFS(BV_Data_An_Cour!$AN:$AN,BV_Data_An_Cour!$AP:$AP,$B374,BV_Data_An_Cour!$AQ:$AQ,$C374,BV_Data_An_Cour!$AR:$AR,$L$2)</f>
        <v>0</v>
      </c>
      <c r="M374" s="240"/>
      <c r="N374" s="315"/>
      <c r="O374" s="240"/>
      <c r="P374" s="313"/>
      <c r="Q374" s="255" cm="1">
        <f t="array" ref="Q374">+SUMPRODUCT(('Réel 2024'!$A$8:$A$501=$A374)*('Réel 2024'!$C$3:$AO$3=Q$2),'Réel 2024'!$C$8:$AO$501)</f>
        <v>0</v>
      </c>
      <c r="R374" s="240"/>
      <c r="S374" s="315">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BoutiqueBénéfices marginaux</v>
      </c>
      <c r="B375" s="41" t="s">
        <v>192</v>
      </c>
      <c r="C375" s="310" t="s">
        <v>122</v>
      </c>
      <c r="D375" s="296"/>
      <c r="E375" s="41"/>
      <c r="F375" s="253" cm="1">
        <f t="array" ref="F375">+SUMPRODUCT(('Budget original'!$A$8:$A$501=$A375)*('Budget original'!$C$3:$AO$3=F$2),'Budget original'!$C$8:$AO$501)</f>
        <v>0</v>
      </c>
      <c r="G375" s="297"/>
      <c r="H375" s="41"/>
      <c r="I375" s="253"/>
      <c r="J375" s="252"/>
      <c r="K375" s="41"/>
      <c r="L375" s="255">
        <f>SUMIFS(BV_Data_An_Cour!$AN:$AN,BV_Data_An_Cour!$AP:$AP,$B375,BV_Data_An_Cour!$AQ:$AQ,$C375,BV_Data_An_Cour!$AR:$AR,$L$2)</f>
        <v>0</v>
      </c>
      <c r="M375" s="252"/>
      <c r="N375" s="275"/>
      <c r="O375" s="252"/>
      <c r="P375" s="41"/>
      <c r="Q375" s="255" cm="1">
        <f t="array" ref="Q375">+SUMPRODUCT(('Réel 2024'!$A$8:$A$501=$A375)*('Réel 2024'!$C$3:$AO$3=Q$2),'Réel 2024'!$C$8:$AO$501)</f>
        <v>0</v>
      </c>
      <c r="R375" s="252"/>
      <c r="S375" s="275">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BoutiqueCsst</v>
      </c>
      <c r="B376" s="41" t="s">
        <v>192</v>
      </c>
      <c r="C376" s="310" t="s">
        <v>123</v>
      </c>
      <c r="D376" s="296"/>
      <c r="E376" s="41"/>
      <c r="F376" s="253" cm="1">
        <f t="array" ref="F376">+SUMPRODUCT(('Budget original'!$A$8:$A$501=$A376)*('Budget original'!$C$3:$AO$3=F$2),'Budget original'!$C$8:$AO$501)</f>
        <v>0</v>
      </c>
      <c r="G376" s="297"/>
      <c r="H376" s="41"/>
      <c r="I376" s="253"/>
      <c r="J376" s="252"/>
      <c r="K376" s="41"/>
      <c r="L376" s="255">
        <f>SUMIFS(BV_Data_An_Cour!$AN:$AN,BV_Data_An_Cour!$AP:$AP,$B376,BV_Data_An_Cour!$AQ:$AQ,$C376,BV_Data_An_Cour!$AR:$AR,$L$2)</f>
        <v>0</v>
      </c>
      <c r="M376" s="252"/>
      <c r="N376" s="275"/>
      <c r="O376" s="252"/>
      <c r="P376" s="41"/>
      <c r="Q376" s="255" cm="1">
        <f t="array" ref="Q376">+SUMPRODUCT(('Réel 2024'!$A$8:$A$501=$A376)*('Réel 2024'!$C$3:$AO$3=Q$2),'Réel 2024'!$C$8:$AO$501)</f>
        <v>0</v>
      </c>
      <c r="R376" s="252"/>
      <c r="S376" s="275">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v>
      </c>
      <c r="B377" s="41" t="s">
        <v>192</v>
      </c>
      <c r="C377" s="252" t="s">
        <v>55</v>
      </c>
      <c r="D377" s="298"/>
      <c r="E377" s="316"/>
      <c r="F377" s="253" cm="1">
        <f t="array" ref="F377">+SUMPRODUCT(('Budget original'!$A$8:$A$501=$A377)*('Budget original'!$C$3:$AO$3=F$2),'Budget original'!$C$8:$AO$501)</f>
        <v>0</v>
      </c>
      <c r="G377" s="299"/>
      <c r="H377" s="316"/>
      <c r="I377" s="253"/>
      <c r="J377" s="245"/>
      <c r="K377" s="316"/>
      <c r="L377" s="255">
        <f>SUMIFS(BV_Data_An_Cour!$AN:$AN,BV_Data_An_Cour!$AP:$AP,$B377,BV_Data_An_Cour!$AQ:$AQ,$C377,BV_Data_An_Cour!$AR:$AR,$L$2)</f>
        <v>0</v>
      </c>
      <c r="M377" s="245"/>
      <c r="N377" s="295"/>
      <c r="O377" s="245"/>
      <c r="P377" s="316"/>
      <c r="Q377" s="255" cm="1">
        <f t="array" ref="Q377">+SUMPRODUCT(('Réel 2024'!$A$8:$A$501=$A377)*('Réel 2024'!$C$3:$AO$3=Q$2),'Réel 2024'!$C$8:$AO$501)</f>
        <v>0</v>
      </c>
      <c r="R377" s="245"/>
      <c r="S377" s="295">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BoutiqueTOTAL PERSONNEL</v>
      </c>
      <c r="B378" s="41" t="s">
        <v>192</v>
      </c>
      <c r="C378" s="303" t="s">
        <v>124</v>
      </c>
      <c r="D378" s="304" t="s">
        <v>115</v>
      </c>
      <c r="E378" s="305">
        <f>IFERROR(F378/F$361,0)</f>
        <v>0</v>
      </c>
      <c r="F378" s="306">
        <f>+SUM(F366:F377)</f>
        <v>0</v>
      </c>
      <c r="G378" s="307"/>
      <c r="H378" s="305"/>
      <c r="I378" s="306"/>
      <c r="J378" s="307" t="s">
        <v>115</v>
      </c>
      <c r="K378" s="305">
        <f>IFERROR(L378/L$361,0)</f>
        <v>0</v>
      </c>
      <c r="L378" s="306">
        <f>+SUM(L366:L377)</f>
        <v>0</v>
      </c>
      <c r="M378" s="353"/>
      <c r="N378" s="318"/>
      <c r="O378" s="307" t="s">
        <v>115</v>
      </c>
      <c r="P378" s="305">
        <f>IFERROR(Q378/Q$361,0)</f>
        <v>0</v>
      </c>
      <c r="Q378" s="306">
        <f>+SUM(Q366:Q377)</f>
        <v>0</v>
      </c>
      <c r="R378" s="353"/>
      <c r="S378" s="318">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BoutiquePublicité 2</v>
      </c>
      <c r="B379" s="41" t="s">
        <v>192</v>
      </c>
      <c r="C379" s="404" t="s">
        <v>125</v>
      </c>
      <c r="D379" s="296"/>
      <c r="E379" s="41"/>
      <c r="F379" s="253" cm="1">
        <f t="array" ref="F379">+SUMPRODUCT(('Budget original'!$A$8:$A$501=$A379)*('Budget original'!$C$3:$AO$3=F$2),'Budget original'!$C$8:$AO$501)</f>
        <v>0</v>
      </c>
      <c r="G379" s="297"/>
      <c r="H379" s="41"/>
      <c r="I379" s="253"/>
      <c r="J379" s="252"/>
      <c r="K379" s="41"/>
      <c r="L379" s="255">
        <f>SUMIFS(BV_Data_An_Cour!$AN:$AN,BV_Data_An_Cour!$AP:$AP,$B379,BV_Data_An_Cour!$AQ:$AQ,$C379,BV_Data_An_Cour!$AR:$AR,$L$2)</f>
        <v>0</v>
      </c>
      <c r="M379" s="252"/>
      <c r="N379" s="275"/>
      <c r="O379" s="252"/>
      <c r="P379" s="41"/>
      <c r="Q379" s="255" cm="1">
        <f t="array" ref="Q379">+SUMPRODUCT(('Réel 2024'!$A$8:$A$501=$A379)*('Réel 2024'!$C$3:$AO$3=Q$2),'Réel 2024'!$C$8:$AO$501)</f>
        <v>0</v>
      </c>
      <c r="R379" s="252"/>
      <c r="S379" s="275">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BoutiqueService gratuit 2</v>
      </c>
      <c r="B380" s="41" t="s">
        <v>192</v>
      </c>
      <c r="C380" s="310" t="s">
        <v>126</v>
      </c>
      <c r="D380" s="296"/>
      <c r="E380" s="41"/>
      <c r="F380" s="253" cm="1">
        <f t="array" ref="F380">+SUMPRODUCT(('Budget original'!$A$8:$A$501=$A380)*('Budget original'!$C$3:$AO$3=F$2),'Budget original'!$C$8:$AO$501)</f>
        <v>0</v>
      </c>
      <c r="G380" s="297"/>
      <c r="H380" s="41"/>
      <c r="I380" s="253"/>
      <c r="J380" s="252"/>
      <c r="K380" s="41"/>
      <c r="L380" s="255">
        <f>SUMIFS(BV_Data_An_Cour!$AN:$AN,BV_Data_An_Cour!$AP:$AP,$B380,BV_Data_An_Cour!$AQ:$AQ,$C380,BV_Data_An_Cour!$AR:$AR,$L$2)</f>
        <v>0</v>
      </c>
      <c r="M380" s="252"/>
      <c r="N380" s="275"/>
      <c r="O380" s="252"/>
      <c r="P380" s="41"/>
      <c r="Q380" s="255" cm="1">
        <f t="array" ref="Q380">+SUMPRODUCT(('Réel 2024'!$A$8:$A$501=$A380)*('Réel 2024'!$C$3:$AO$3=Q$2),'Réel 2024'!$C$8:$AO$501)</f>
        <v>0</v>
      </c>
      <c r="R380" s="252"/>
      <c r="S380" s="275">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BoutiqueFrais véhicules de cie</v>
      </c>
      <c r="B381" s="41" t="s">
        <v>192</v>
      </c>
      <c r="C381" s="311" t="s">
        <v>127</v>
      </c>
      <c r="D381" s="298"/>
      <c r="E381" s="316"/>
      <c r="F381" s="247" cm="1">
        <f t="array" ref="F381">+SUMPRODUCT(('Budget original'!$A$8:$A$501=$A381)*('Budget original'!$C$3:$AO$3=F$2),'Budget original'!$C$8:$AO$501)</f>
        <v>0</v>
      </c>
      <c r="G381" s="299"/>
      <c r="H381" s="316"/>
      <c r="I381" s="247"/>
      <c r="J381" s="245"/>
      <c r="K381" s="316"/>
      <c r="L381" s="247">
        <f>SUMIFS(BV_Data_An_Cour!$AN:$AN,BV_Data_An_Cour!$AP:$AP,$B381,BV_Data_An_Cour!$AQ:$AQ,$C381,BV_Data_An_Cour!$AR:$AR,$L$2)</f>
        <v>0</v>
      </c>
      <c r="M381" s="245"/>
      <c r="N381" s="295"/>
      <c r="O381" s="245"/>
      <c r="P381" s="316"/>
      <c r="Q381" s="247" cm="1">
        <f t="array" ref="Q381">+SUMPRODUCT(('Réel 2024'!$A$8:$A$501=$A381)*('Réel 2024'!$C$3:$AO$3=Q$2),'Réel 2024'!$C$8:$AO$501)</f>
        <v>0</v>
      </c>
      <c r="R381" s="245"/>
      <c r="S381" s="295">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BoutiqueInformatique</v>
      </c>
      <c r="B382" s="41" t="s">
        <v>192</v>
      </c>
      <c r="C382" s="310" t="s">
        <v>128</v>
      </c>
      <c r="D382" s="296"/>
      <c r="E382" s="41"/>
      <c r="F382" s="253" cm="1">
        <f t="array" ref="F382">+SUMPRODUCT(('Budget original'!$A$8:$A$501=$A382)*('Budget original'!$C$3:$AO$3=F$2),'Budget original'!$C$8:$AO$501)</f>
        <v>0</v>
      </c>
      <c r="G382" s="297"/>
      <c r="H382" s="41"/>
      <c r="I382" s="253"/>
      <c r="J382" s="252"/>
      <c r="K382" s="41"/>
      <c r="L382" s="253">
        <f>SUMIFS(BV_Data_An_Cour!$AN:$AN,BV_Data_An_Cour!$AP:$AP,$B382,BV_Data_An_Cour!$AQ:$AQ,$C382,BV_Data_An_Cour!$AR:$AR,$L$2)</f>
        <v>0</v>
      </c>
      <c r="M382" s="252"/>
      <c r="N382" s="275"/>
      <c r="O382" s="252"/>
      <c r="P382" s="41"/>
      <c r="Q382" s="255" cm="1">
        <f t="array" ref="Q382">+SUMPRODUCT(('Réel 2024'!$A$8:$A$501=$A382)*('Réel 2024'!$C$3:$AO$3=Q$2),'Réel 2024'!$C$8:$AO$501)</f>
        <v>0</v>
      </c>
      <c r="R382" s="252"/>
      <c r="S382" s="275">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BoutiqueFrais de déplacement</v>
      </c>
      <c r="B383" s="41" t="s">
        <v>192</v>
      </c>
      <c r="C383" s="310" t="s">
        <v>129</v>
      </c>
      <c r="D383" s="296"/>
      <c r="E383" s="41"/>
      <c r="F383" s="253" cm="1">
        <f t="array" ref="F383">+SUMPRODUCT(('Budget original'!$A$8:$A$501=$A383)*('Budget original'!$C$3:$AO$3=F$2),'Budget original'!$C$8:$AO$501)</f>
        <v>0</v>
      </c>
      <c r="G383" s="297"/>
      <c r="H383" s="41"/>
      <c r="I383" s="253"/>
      <c r="J383" s="252"/>
      <c r="K383" s="41"/>
      <c r="L383" s="253">
        <f>SUMIFS(BV_Data_An_Cour!$AN:$AN,BV_Data_An_Cour!$AP:$AP,$B383,BV_Data_An_Cour!$AQ:$AQ,$C383,BV_Data_An_Cour!$AR:$AR,$L$2)</f>
        <v>0</v>
      </c>
      <c r="M383" s="252"/>
      <c r="N383" s="275"/>
      <c r="O383" s="252"/>
      <c r="P383" s="41"/>
      <c r="Q383" s="255" cm="1">
        <f t="array" ref="Q383">+SUMPRODUCT(('Réel 2024'!$A$8:$A$501=$A383)*('Réel 2024'!$C$3:$AO$3=Q$2),'Réel 2024'!$C$8:$AO$501)</f>
        <v>0</v>
      </c>
      <c r="R383" s="252"/>
      <c r="S383" s="275">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15.75" hidden="1" customHeight="1">
      <c r="A384" s="5" t="str">
        <f t="shared" si="93"/>
        <v>BoutiqueServices extérieurs</v>
      </c>
      <c r="B384" s="41" t="s">
        <v>192</v>
      </c>
      <c r="C384" s="310" t="s">
        <v>130</v>
      </c>
      <c r="D384" s="298"/>
      <c r="E384" s="316"/>
      <c r="F384" s="247" cm="1">
        <f t="array" ref="F384">+SUMPRODUCT(('Budget original'!$A$8:$A$501=$A384)*('Budget original'!$C$3:$AO$3=F$2),'Budget original'!$C$8:$AO$501)</f>
        <v>0</v>
      </c>
      <c r="G384" s="299"/>
      <c r="H384" s="316"/>
      <c r="I384" s="247"/>
      <c r="J384" s="245"/>
      <c r="K384" s="316"/>
      <c r="L384" s="247">
        <f>SUMIFS(BV_Data_An_Cour!$AN:$AN,BV_Data_An_Cour!$AP:$AP,$B384,BV_Data_An_Cour!$AQ:$AQ,$C384,BV_Data_An_Cour!$AR:$AR,$L$2)</f>
        <v>0</v>
      </c>
      <c r="M384" s="245"/>
      <c r="N384" s="295"/>
      <c r="O384" s="245"/>
      <c r="P384" s="316"/>
      <c r="Q384" s="247" cm="1">
        <f t="array" ref="Q384">+SUMPRODUCT(('Réel 2024'!$A$8:$A$501=$A384)*('Réel 2024'!$C$3:$AO$3=Q$2),'Réel 2024'!$C$8:$AO$501)</f>
        <v>0</v>
      </c>
      <c r="R384" s="245"/>
      <c r="S384" s="295">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BoutiqueFournitures autres</v>
      </c>
      <c r="B385" s="41" t="s">
        <v>192</v>
      </c>
      <c r="C385" s="404" t="s">
        <v>131</v>
      </c>
      <c r="D385" s="296"/>
      <c r="E385" s="41"/>
      <c r="F385" s="253" cm="1">
        <f t="array" ref="F385">+SUMPRODUCT(('Budget original'!$A$8:$A$501=$A385)*('Budget original'!$C$3:$AO$3=F$2),'Budget original'!$C$8:$AO$501)</f>
        <v>0</v>
      </c>
      <c r="G385" s="297"/>
      <c r="H385" s="41"/>
      <c r="I385" s="253"/>
      <c r="J385" s="252"/>
      <c r="K385" s="41"/>
      <c r="L385" s="255">
        <f>SUMIFS(BV_Data_An_Cour!$AN:$AN,BV_Data_An_Cour!$AP:$AP,$B385,BV_Data_An_Cour!$AQ:$AQ,$C385,BV_Data_An_Cour!$AR:$AR,$L$2)</f>
        <v>0</v>
      </c>
      <c r="M385" s="252"/>
      <c r="N385" s="275"/>
      <c r="O385" s="252"/>
      <c r="P385" s="41"/>
      <c r="Q385" s="255" cm="1">
        <f t="array" ref="Q385">+SUMPRODUCT(('Réel 2024'!$A$8:$A$501=$A385)*('Réel 2024'!$C$3:$AO$3=Q$2),'Réel 2024'!$C$8:$AO$501)</f>
        <v>0</v>
      </c>
      <c r="R385" s="252"/>
      <c r="S385" s="275">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BoutiqueUniformes</v>
      </c>
      <c r="B386" s="41" t="s">
        <v>192</v>
      </c>
      <c r="C386" s="310" t="s">
        <v>132</v>
      </c>
      <c r="D386" s="296"/>
      <c r="E386" s="41"/>
      <c r="F386" s="253" cm="1">
        <f t="array" ref="F386">+SUMPRODUCT(('Budget original'!$A$8:$A$501=$A386)*('Budget original'!$C$3:$AO$3=F$2),'Budget original'!$C$8:$AO$501)</f>
        <v>0</v>
      </c>
      <c r="G386" s="297"/>
      <c r="H386" s="41"/>
      <c r="I386" s="253"/>
      <c r="J386" s="252"/>
      <c r="K386" s="41"/>
      <c r="L386" s="255">
        <f>SUMIFS(BV_Data_An_Cour!$AN:$AN,BV_Data_An_Cour!$AP:$AP,$B386,BV_Data_An_Cour!$AQ:$AQ,$C386,BV_Data_An_Cour!$AR:$AR,$L$2)</f>
        <v>0</v>
      </c>
      <c r="M386" s="252"/>
      <c r="N386" s="275"/>
      <c r="O386" s="252"/>
      <c r="P386" s="41"/>
      <c r="Q386" s="255" cm="1">
        <f t="array" ref="Q386">+SUMPRODUCT(('Réel 2024'!$A$8:$A$501=$A386)*('Réel 2024'!$C$3:$AO$3=Q$2),'Réel 2024'!$C$8:$AO$501)</f>
        <v>0</v>
      </c>
      <c r="R386" s="252"/>
      <c r="S386" s="275">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BoutiquePapeterie</v>
      </c>
      <c r="B387" s="41" t="s">
        <v>192</v>
      </c>
      <c r="C387" s="310" t="s">
        <v>133</v>
      </c>
      <c r="D387" s="296"/>
      <c r="E387" s="41"/>
      <c r="F387" s="253" cm="1">
        <f t="array" ref="F387">+SUMPRODUCT(('Budget original'!$A$8:$A$501=$A387)*('Budget original'!$C$3:$AO$3=F$2),'Budget original'!$C$8:$AO$501)</f>
        <v>0</v>
      </c>
      <c r="G387" s="297"/>
      <c r="H387" s="41"/>
      <c r="I387" s="253"/>
      <c r="J387" s="252"/>
      <c r="K387" s="41"/>
      <c r="L387" s="255">
        <f>SUMIFS(BV_Data_An_Cour!$AN:$AN,BV_Data_An_Cour!$AP:$AP,$B387,BV_Data_An_Cour!$AQ:$AQ,$C387,BV_Data_An_Cour!$AR:$AR,$L$2)</f>
        <v>0</v>
      </c>
      <c r="M387" s="252"/>
      <c r="N387" s="275"/>
      <c r="O387" s="252"/>
      <c r="P387" s="41"/>
      <c r="Q387" s="255" cm="1">
        <f t="array" ref="Q387">+SUMPRODUCT(('Réel 2024'!$A$8:$A$501=$A387)*('Réel 2024'!$C$3:$AO$3=Q$2),'Réel 2024'!$C$8:$AO$501)</f>
        <v>0</v>
      </c>
      <c r="R387" s="252"/>
      <c r="S387" s="275">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BoutiqueTéléphone</v>
      </c>
      <c r="B388" s="41" t="s">
        <v>192</v>
      </c>
      <c r="C388" s="310" t="s">
        <v>134</v>
      </c>
      <c r="D388" s="296"/>
      <c r="E388" s="41"/>
      <c r="F388" s="253" cm="1">
        <f t="array" ref="F388">+SUMPRODUCT(('Budget original'!$A$8:$A$501=$A388)*('Budget original'!$C$3:$AO$3=F$2),'Budget original'!$C$8:$AO$501)</f>
        <v>0</v>
      </c>
      <c r="G388" s="297"/>
      <c r="H388" s="41"/>
      <c r="I388" s="253"/>
      <c r="J388" s="252"/>
      <c r="K388" s="41"/>
      <c r="L388" s="255">
        <f>SUMIFS(BV_Data_An_Cour!$AN:$AN,BV_Data_An_Cour!$AP:$AP,$B388,BV_Data_An_Cour!$AQ:$AQ,$C388,BV_Data_An_Cour!$AR:$AR,$L$2)</f>
        <v>0</v>
      </c>
      <c r="M388" s="252"/>
      <c r="N388" s="275"/>
      <c r="O388" s="252"/>
      <c r="P388" s="41"/>
      <c r="Q388" s="255" cm="1">
        <f t="array" ref="Q388">+SUMPRODUCT(('Réel 2024'!$A$8:$A$501=$A388)*('Réel 2024'!$C$3:$AO$3=Q$2),'Réel 2024'!$C$8:$AO$501)</f>
        <v>0</v>
      </c>
      <c r="R388" s="252"/>
      <c r="S388" s="275">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BoutiqueFrais postaux</v>
      </c>
      <c r="B389" s="41" t="s">
        <v>192</v>
      </c>
      <c r="C389" s="310" t="s">
        <v>135</v>
      </c>
      <c r="D389" s="296"/>
      <c r="E389" s="41"/>
      <c r="F389" s="253" cm="1">
        <f t="array" ref="F389">+SUMPRODUCT(('Budget original'!$A$8:$A$501=$A389)*('Budget original'!$C$3:$AO$3=F$2),'Budget original'!$C$8:$AO$501)</f>
        <v>0</v>
      </c>
      <c r="G389" s="297"/>
      <c r="H389" s="41"/>
      <c r="I389" s="253"/>
      <c r="J389" s="252"/>
      <c r="K389" s="41"/>
      <c r="L389" s="255">
        <f>SUMIFS(BV_Data_An_Cour!$AN:$AN,BV_Data_An_Cour!$AP:$AP,$B389,BV_Data_An_Cour!$AQ:$AQ,$C389,BV_Data_An_Cour!$AR:$AR,$L$2)</f>
        <v>0</v>
      </c>
      <c r="M389" s="252"/>
      <c r="N389" s="275"/>
      <c r="O389" s="252"/>
      <c r="P389" s="41"/>
      <c r="Q389" s="255" cm="1">
        <f t="array" ref="Q389">+SUMPRODUCT(('Réel 2024'!$A$8:$A$501=$A389)*('Réel 2024'!$C$3:$AO$3=Q$2),'Réel 2024'!$C$8:$AO$501)</f>
        <v>0</v>
      </c>
      <c r="R389" s="252"/>
      <c r="S389" s="275">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BoutiqueDivers</v>
      </c>
      <c r="B390" s="41" t="s">
        <v>192</v>
      </c>
      <c r="C390" s="310" t="s">
        <v>136</v>
      </c>
      <c r="D390" s="296"/>
      <c r="E390" s="41"/>
      <c r="F390" s="253" cm="1">
        <f t="array" ref="F390">+SUMPRODUCT(('Budget original'!$A$8:$A$501=$A390)*('Budget original'!$C$3:$AO$3=F$2),'Budget original'!$C$8:$AO$501)</f>
        <v>0</v>
      </c>
      <c r="G390" s="297"/>
      <c r="H390" s="41"/>
      <c r="I390" s="253"/>
      <c r="J390" s="252"/>
      <c r="K390" s="41"/>
      <c r="L390" s="255">
        <f>SUMIFS(BV_Data_An_Cour!$AN:$AN,BV_Data_An_Cour!$AP:$AP,$B390,BV_Data_An_Cour!$AQ:$AQ,$C390,BV_Data_An_Cour!$AR:$AR,$L$2)</f>
        <v>0</v>
      </c>
      <c r="M390" s="252"/>
      <c r="N390" s="275"/>
      <c r="O390" s="252"/>
      <c r="P390" s="41"/>
      <c r="Q390" s="255" cm="1">
        <f t="array" ref="Q390">+SUMPRODUCT(('Réel 2024'!$A$8:$A$501=$A390)*('Réel 2024'!$C$3:$AO$3=Q$2),'Réel 2024'!$C$8:$AO$501)</f>
        <v>0</v>
      </c>
      <c r="R390" s="252"/>
      <c r="S390" s="275">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BoutiqueFormation</v>
      </c>
      <c r="B391" s="41" t="s">
        <v>192</v>
      </c>
      <c r="C391" s="310" t="s">
        <v>137</v>
      </c>
      <c r="D391" s="296"/>
      <c r="E391" s="41"/>
      <c r="F391" s="253" cm="1">
        <f t="array" ref="F391">+SUMPRODUCT(('Budget original'!$A$8:$A$501=$A391)*('Budget original'!$C$3:$AO$3=F$2),'Budget original'!$C$8:$AO$501)</f>
        <v>0</v>
      </c>
      <c r="G391" s="297"/>
      <c r="H391" s="41"/>
      <c r="I391" s="253"/>
      <c r="J391" s="252"/>
      <c r="K391" s="41"/>
      <c r="L391" s="255">
        <f>SUMIFS(BV_Data_An_Cour!$AN:$AN,BV_Data_An_Cour!$AP:$AP,$B391,BV_Data_An_Cour!$AQ:$AQ,$C391,BV_Data_An_Cour!$AR:$AR,$L$2)</f>
        <v>0</v>
      </c>
      <c r="M391" s="252"/>
      <c r="N391" s="275"/>
      <c r="O391" s="252"/>
      <c r="P391" s="41"/>
      <c r="Q391" s="255" cm="1">
        <f t="array" ref="Q391">+SUMPRODUCT(('Réel 2024'!$A$8:$A$501=$A391)*('Réel 2024'!$C$3:$AO$3=Q$2),'Réel 2024'!$C$8:$AO$501)</f>
        <v>0</v>
      </c>
      <c r="R391" s="252"/>
      <c r="S391" s="275">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20.25" hidden="1" customHeight="1">
      <c r="A392" s="5" t="str">
        <f t="shared" si="93"/>
        <v>BoutiqueFrais bancaires</v>
      </c>
      <c r="B392" s="41" t="s">
        <v>192</v>
      </c>
      <c r="C392" s="310" t="s">
        <v>138</v>
      </c>
      <c r="D392" s="296"/>
      <c r="E392" s="41"/>
      <c r="F392" s="253" cm="1">
        <f t="array" ref="F392">+SUMPRODUCT(('Budget original'!$A$8:$A$501=$A392)*('Budget original'!$C$3:$AO$3=F$2),'Budget original'!$C$8:$AO$501)</f>
        <v>0</v>
      </c>
      <c r="G392" s="297"/>
      <c r="H392" s="41"/>
      <c r="I392" s="253"/>
      <c r="J392" s="252"/>
      <c r="K392" s="41"/>
      <c r="L392" s="255">
        <f>SUMIFS(BV_Data_An_Cour!$AN:$AN,BV_Data_An_Cour!$AP:$AP,$B392,BV_Data_An_Cour!$AQ:$AQ,$C392,BV_Data_An_Cour!$AR:$AR,$L$2)</f>
        <v>0</v>
      </c>
      <c r="M392" s="252"/>
      <c r="N392" s="275"/>
      <c r="O392" s="252"/>
      <c r="P392" s="41"/>
      <c r="Q392" s="255" cm="1">
        <f t="array" ref="Q392">+SUMPRODUCT(('Réel 2024'!$A$8:$A$501=$A392)*('Réel 2024'!$C$3:$AO$3=Q$2),'Réel 2024'!$C$8:$AO$501)</f>
        <v>0</v>
      </c>
      <c r="R392" s="252"/>
      <c r="S392" s="275">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192</v>
      </c>
      <c r="C393" s="310" t="s">
        <v>55</v>
      </c>
      <c r="D393" s="296"/>
      <c r="E393" s="41"/>
      <c r="F393" s="253" cm="1">
        <f t="array" ref="F393">+SUMPRODUCT(('Budget original'!$A$8:$A$501=$A393)*('Budget original'!$C$3:$AO$3=F$2),'Budget original'!$C$8:$AO$501)</f>
        <v>0</v>
      </c>
      <c r="G393" s="297"/>
      <c r="H393" s="41"/>
      <c r="I393" s="253"/>
      <c r="J393" s="252"/>
      <c r="K393" s="41"/>
      <c r="L393" s="255">
        <f>SUMIFS(BV_Data_An_Cour!$AN:$AN,BV_Data_An_Cour!$AP:$AP,$B393,BV_Data_An_Cour!$AQ:$AQ,$C393,BV_Data_An_Cour!$AR:$AR,$L$2)</f>
        <v>0</v>
      </c>
      <c r="M393" s="252"/>
      <c r="N393" s="275"/>
      <c r="O393" s="252"/>
      <c r="P393" s="41"/>
      <c r="Q393" s="255" cm="1">
        <f t="array" ref="Q393">+SUMPRODUCT(('Réel 2024'!$A$8:$A$501=$A393)*('Réel 2024'!$C$3:$AO$3=Q$2),'Réel 2024'!$C$8:$AO$501)</f>
        <v>0</v>
      </c>
      <c r="R393" s="252"/>
      <c r="S393" s="275">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192</v>
      </c>
      <c r="C394" s="310" t="s">
        <v>55</v>
      </c>
      <c r="D394" s="296"/>
      <c r="E394" s="41"/>
      <c r="F394" s="253" cm="1">
        <f t="array" ref="F394">+SUMPRODUCT(('Budget original'!$A$8:$A$501=$A394)*('Budget original'!$C$3:$AO$3=F$2),'Budget original'!$C$8:$AO$501)</f>
        <v>0</v>
      </c>
      <c r="G394" s="297"/>
      <c r="H394" s="41"/>
      <c r="I394" s="253"/>
      <c r="J394" s="252"/>
      <c r="K394" s="41"/>
      <c r="L394" s="255">
        <f>SUMIFS(BV_Data_An_Cour!$AN:$AN,BV_Data_An_Cour!$AP:$AP,$B394,BV_Data_An_Cour!$AQ:$AQ,$C394,BV_Data_An_Cour!$AR:$AR,$L$2)</f>
        <v>0</v>
      </c>
      <c r="M394" s="252"/>
      <c r="N394" s="275"/>
      <c r="O394" s="252"/>
      <c r="P394" s="41"/>
      <c r="Q394" s="255" cm="1">
        <f t="array" ref="Q394">+SUMPRODUCT(('Réel 2024'!$A$8:$A$501=$A394)*('Réel 2024'!$C$3:$AO$3=Q$2),'Réel 2024'!$C$8:$AO$501)</f>
        <v>0</v>
      </c>
      <c r="R394" s="252"/>
      <c r="S394" s="275">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A395" s="5" t="str">
        <f t="shared" si="93"/>
        <v>Boutique[...]</v>
      </c>
      <c r="B395" s="41" t="s">
        <v>192</v>
      </c>
      <c r="C395" s="310" t="s">
        <v>55</v>
      </c>
      <c r="D395" s="298"/>
      <c r="E395" s="316"/>
      <c r="F395" s="253" cm="1">
        <f t="array" ref="F395">+SUMPRODUCT(('Budget original'!$A$8:$A$501=$A395)*('Budget original'!$C$3:$AO$3=F$2),'Budget original'!$C$8:$AO$501)</f>
        <v>0</v>
      </c>
      <c r="G395" s="299"/>
      <c r="H395" s="316"/>
      <c r="I395" s="253"/>
      <c r="J395" s="245"/>
      <c r="K395" s="316"/>
      <c r="L395" s="255">
        <f>SUMIFS(BV_Data_An_Cour!$AN:$AN,BV_Data_An_Cour!$AP:$AP,$B395,BV_Data_An_Cour!$AQ:$AQ,$C395,BV_Data_An_Cour!$AR:$AR,$L$2)</f>
        <v>0</v>
      </c>
      <c r="M395" s="245"/>
      <c r="N395" s="295"/>
      <c r="O395" s="245"/>
      <c r="P395" s="316"/>
      <c r="Q395" s="255" cm="1">
        <f t="array" ref="Q395">+SUMPRODUCT(('Réel 2024'!$A$8:$A$501=$A395)*('Réel 2024'!$C$3:$AO$3=Q$2),'Réel 2024'!$C$8:$AO$501)</f>
        <v>0</v>
      </c>
      <c r="R395" s="245"/>
      <c r="S395" s="295">
        <f t="shared" si="97"/>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303" t="s">
        <v>139</v>
      </c>
      <c r="D396" s="304" t="s">
        <v>115</v>
      </c>
      <c r="E396" s="305">
        <f>IFERROR(F396/F$361,0)</f>
        <v>0</v>
      </c>
      <c r="F396" s="306">
        <f>+SUM(F379:F395)</f>
        <v>0</v>
      </c>
      <c r="G396" s="307"/>
      <c r="H396" s="305"/>
      <c r="I396" s="306"/>
      <c r="J396" s="307" t="s">
        <v>115</v>
      </c>
      <c r="K396" s="305">
        <f>IFERROR(L396/L$361,0)</f>
        <v>0</v>
      </c>
      <c r="L396" s="306">
        <f>+SUM(L379:L395)</f>
        <v>0</v>
      </c>
      <c r="M396" s="353"/>
      <c r="N396" s="306"/>
      <c r="O396" s="307" t="s">
        <v>115</v>
      </c>
      <c r="P396" s="305">
        <f>IFERROR(Q396/Q$361,0)</f>
        <v>0</v>
      </c>
      <c r="Q396" s="306">
        <f>+SUM(Q379:Q395)</f>
        <v>0</v>
      </c>
      <c r="R396" s="353"/>
      <c r="S396" s="318">
        <f>+SUM(S379:S395)</f>
        <v>0</v>
      </c>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252"/>
      <c r="D397" s="41"/>
      <c r="E397" s="41"/>
      <c r="F397" s="262"/>
      <c r="G397" s="252"/>
      <c r="H397" s="41"/>
      <c r="I397" s="262"/>
      <c r="J397" s="252"/>
      <c r="K397" s="41"/>
      <c r="L397" s="262"/>
      <c r="M397" s="269"/>
      <c r="N397" s="287"/>
      <c r="O397" s="252"/>
      <c r="P397" s="41"/>
      <c r="Q397" s="262"/>
      <c r="R397" s="252"/>
      <c r="S397" s="287"/>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303" t="s">
        <v>140</v>
      </c>
      <c r="D398" s="304" t="s">
        <v>115</v>
      </c>
      <c r="E398" s="305">
        <f>IFERROR(F398/F$361,0)</f>
        <v>0</v>
      </c>
      <c r="F398" s="306">
        <f>F378+F396</f>
        <v>0</v>
      </c>
      <c r="G398" s="307"/>
      <c r="H398" s="305"/>
      <c r="I398" s="306"/>
      <c r="J398" s="307" t="s">
        <v>115</v>
      </c>
      <c r="K398" s="305">
        <f>IFERROR(L398/L$361,0)</f>
        <v>0</v>
      </c>
      <c r="L398" s="306">
        <f>L378+L396</f>
        <v>0</v>
      </c>
      <c r="M398" s="303"/>
      <c r="N398" s="306"/>
      <c r="O398" s="307" t="s">
        <v>115</v>
      </c>
      <c r="P398" s="305">
        <f>IFERROR(Q398/Q$361,0)</f>
        <v>0</v>
      </c>
      <c r="Q398" s="306">
        <f>Q378+Q396</f>
        <v>0</v>
      </c>
      <c r="R398" s="309"/>
      <c r="S398" s="306">
        <f>L398-Q398</f>
        <v>0</v>
      </c>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Bot="1">
      <c r="B399" s="3"/>
      <c r="C399" s="252"/>
      <c r="D399" s="41"/>
      <c r="E399" s="41"/>
      <c r="F399" s="275"/>
      <c r="G399" s="252"/>
      <c r="H399" s="41"/>
      <c r="I399" s="275"/>
      <c r="J399" s="252"/>
      <c r="K399" s="41"/>
      <c r="L399" s="275"/>
      <c r="M399" s="269"/>
      <c r="N399" s="287"/>
      <c r="O399" s="252"/>
      <c r="P399" s="41"/>
      <c r="Q399" s="275"/>
      <c r="R399" s="252"/>
      <c r="S399" s="287"/>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hidden="1" customHeight="1" thickTop="1" thickBot="1">
      <c r="B400" s="3"/>
      <c r="C400" s="426" t="s">
        <v>147</v>
      </c>
      <c r="D400" s="427"/>
      <c r="E400" s="427"/>
      <c r="F400" s="428">
        <f>F363-F398</f>
        <v>0</v>
      </c>
      <c r="G400" s="426"/>
      <c r="H400" s="427"/>
      <c r="I400" s="428"/>
      <c r="J400" s="429"/>
      <c r="K400" s="430"/>
      <c r="L400" s="428">
        <f>L363-L398</f>
        <v>0</v>
      </c>
      <c r="M400" s="426"/>
      <c r="N400" s="428"/>
      <c r="O400" s="429"/>
      <c r="P400" s="430"/>
      <c r="Q400" s="428">
        <f>Q363-Q398</f>
        <v>0</v>
      </c>
      <c r="R400" s="429"/>
      <c r="S400" s="428">
        <f>L400-Q400</f>
        <v>0</v>
      </c>
      <c r="T400" s="38"/>
      <c r="U400" s="38"/>
      <c r="V400" s="41"/>
      <c r="W400" s="38"/>
      <c r="X400" s="38"/>
      <c r="Y400" s="38"/>
      <c r="Z400" s="38"/>
      <c r="AA400" s="38"/>
      <c r="AB400" s="38"/>
      <c r="AC400" s="38"/>
      <c r="AD400" s="561"/>
      <c r="AE400" s="38"/>
      <c r="AF400" s="38"/>
      <c r="AG400" s="38"/>
      <c r="AH400" s="38"/>
      <c r="AI400" s="38"/>
      <c r="AJ400" s="38"/>
      <c r="AK400" s="38"/>
      <c r="AL400" s="38"/>
      <c r="AM400" s="38"/>
      <c r="AN400" s="38"/>
    </row>
    <row r="401" spans="1:61" ht="15.75" customHeight="1">
      <c r="B401" s="3"/>
      <c r="C401" s="11"/>
      <c r="D401" s="296"/>
      <c r="E401" s="41"/>
      <c r="F401" s="317"/>
      <c r="G401" s="296"/>
      <c r="H401" s="41"/>
      <c r="I401" s="317"/>
      <c r="J401" s="11"/>
      <c r="K401" s="11"/>
      <c r="L401" s="317"/>
      <c r="M401" s="11"/>
      <c r="N401" s="317"/>
      <c r="O401" s="11"/>
      <c r="P401" s="11"/>
      <c r="Q401" s="317"/>
      <c r="R401" s="11"/>
      <c r="S401" s="317"/>
      <c r="T401" s="41"/>
      <c r="U401" s="41"/>
      <c r="V401" s="41"/>
      <c r="W401" s="41"/>
      <c r="X401" s="41"/>
      <c r="Y401" s="41"/>
      <c r="Z401" s="41"/>
      <c r="AA401" s="41"/>
      <c r="AB401" s="41"/>
      <c r="AC401" s="41"/>
      <c r="AD401" s="41"/>
      <c r="AE401" s="41"/>
      <c r="AF401" s="41"/>
      <c r="AG401" s="41"/>
      <c r="AH401" s="41"/>
      <c r="AI401" s="41"/>
      <c r="AJ401" s="41"/>
      <c r="AK401" s="41"/>
      <c r="AL401" s="41"/>
      <c r="AM401" s="41"/>
      <c r="AN401" s="41"/>
    </row>
    <row r="402" spans="1:61" ht="15.75" customHeight="1">
      <c r="B402" s="3"/>
      <c r="C402" s="41"/>
      <c r="D402" s="41"/>
      <c r="E402" s="41"/>
      <c r="F402" s="317"/>
      <c r="L402" s="317"/>
      <c r="M402" s="41"/>
      <c r="N402" s="41"/>
      <c r="O402" s="41"/>
      <c r="P402" s="41"/>
      <c r="Q402" s="41"/>
      <c r="R402" s="38"/>
      <c r="S402" s="138"/>
      <c r="T402" s="138"/>
      <c r="U402" s="38"/>
      <c r="V402" s="41"/>
      <c r="W402" s="38"/>
      <c r="X402" s="38"/>
      <c r="Y402" s="38"/>
      <c r="Z402" s="38"/>
      <c r="AA402" s="38"/>
      <c r="AB402" s="38"/>
      <c r="AC402" s="38"/>
      <c r="AD402" s="38"/>
      <c r="AE402" s="38"/>
      <c r="AF402" s="38"/>
      <c r="AG402" s="38"/>
      <c r="AH402" s="38"/>
      <c r="AI402" s="38"/>
      <c r="AJ402" s="38"/>
      <c r="AK402" s="38"/>
      <c r="AL402" s="38"/>
      <c r="AM402" s="38"/>
      <c r="AN402" s="38"/>
    </row>
    <row r="403" spans="1:61" ht="44.25" customHeight="1">
      <c r="B403" s="3"/>
      <c r="C403" s="38"/>
      <c r="D403" s="38"/>
      <c r="E403" s="38"/>
      <c r="F403" s="38"/>
      <c r="G403" s="38"/>
      <c r="H403" s="38"/>
      <c r="I403" s="38"/>
      <c r="J403" s="38"/>
      <c r="K403" s="38"/>
      <c r="L403" s="38"/>
      <c r="M403" s="562"/>
      <c r="N403" s="562"/>
      <c r="O403" s="562"/>
      <c r="P403" s="38"/>
      <c r="Q403" s="563"/>
      <c r="R403" s="38"/>
      <c r="U403" s="564"/>
      <c r="V403" s="764" t="str">
        <f>C1</f>
        <v>Hyundai</v>
      </c>
      <c r="W403" s="36"/>
      <c r="X403" s="36"/>
      <c r="Y403" s="36"/>
      <c r="Z403" s="36"/>
      <c r="AA403" s="36"/>
      <c r="AB403" s="36"/>
      <c r="AC403" s="36"/>
      <c r="AD403" s="36"/>
      <c r="AE403" s="9" t="s">
        <v>680</v>
      </c>
      <c r="AF403" s="36"/>
      <c r="AG403" s="36"/>
      <c r="AH403" s="36"/>
      <c r="AI403" s="36"/>
      <c r="AJ403" s="772"/>
      <c r="AK403" s="773"/>
      <c r="AL403" s="774"/>
      <c r="AM403" s="774"/>
      <c r="AN403" s="774"/>
      <c r="AO403" s="775" t="str">
        <f>$S$1</f>
        <v>Réalisé AAJ, Mai 2025</v>
      </c>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thickBot="1">
      <c r="B404" s="3"/>
      <c r="C404" s="38"/>
      <c r="D404" s="38"/>
      <c r="E404" s="38"/>
      <c r="F404" s="38"/>
      <c r="G404" s="38"/>
      <c r="H404" s="38"/>
      <c r="I404" s="38"/>
      <c r="J404" s="38"/>
      <c r="K404" s="38"/>
      <c r="L404" s="38"/>
      <c r="M404" s="562"/>
      <c r="N404" s="562"/>
      <c r="O404" s="562"/>
      <c r="P404" s="549"/>
      <c r="Q404" s="563"/>
      <c r="R404" s="38"/>
      <c r="S404" s="565"/>
      <c r="T404" s="565"/>
      <c r="U404" s="564"/>
      <c r="V404" s="432"/>
      <c r="W404" s="234"/>
      <c r="X404" s="234"/>
      <c r="Y404" s="234"/>
      <c r="Z404" s="234"/>
      <c r="AA404" s="234"/>
      <c r="AB404" s="234"/>
      <c r="AC404" s="234"/>
      <c r="AD404" s="234"/>
      <c r="AE404" s="234"/>
      <c r="AF404" s="234"/>
      <c r="AG404" s="234"/>
      <c r="AH404" s="234"/>
      <c r="AI404" s="234"/>
      <c r="AJ404" s="234"/>
      <c r="AK404" s="234"/>
      <c r="AL404" s="38"/>
      <c r="AM404" s="38"/>
      <c r="AN404" s="38"/>
      <c r="AO404" s="38"/>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thickTop="1" thickBot="1">
      <c r="A405" s="5" t="str">
        <f t="shared" ref="A405:A440" si="98">+U405&amp;V405</f>
        <v/>
      </c>
      <c r="B405" s="3"/>
      <c r="C405" s="38"/>
      <c r="D405" s="38"/>
      <c r="E405" s="38"/>
      <c r="F405" s="38"/>
      <c r="G405" s="38"/>
      <c r="H405" s="38"/>
      <c r="I405" s="38"/>
      <c r="J405" s="38"/>
      <c r="K405" s="38"/>
      <c r="L405" s="38"/>
      <c r="M405" s="562"/>
      <c r="N405" s="562"/>
      <c r="O405" s="562"/>
      <c r="P405" s="549"/>
      <c r="Q405" s="563"/>
      <c r="R405" s="38"/>
      <c r="S405" s="565"/>
      <c r="T405" s="565"/>
      <c r="U405" s="564"/>
      <c r="V405" s="433"/>
      <c r="W405" s="434"/>
      <c r="X405" s="1064" t="s">
        <v>593</v>
      </c>
      <c r="Y405" s="1056"/>
      <c r="Z405" s="1065"/>
      <c r="AA405" s="1055"/>
      <c r="AB405" s="1056"/>
      <c r="AC405" s="1065"/>
      <c r="AD405" s="1055" t="s">
        <v>340</v>
      </c>
      <c r="AE405" s="1056"/>
      <c r="AF405" s="1065"/>
      <c r="AG405" s="1055" t="s">
        <v>681</v>
      </c>
      <c r="AH405" s="1056"/>
      <c r="AI405" s="1065"/>
      <c r="AJ405" s="1055" t="s">
        <v>594</v>
      </c>
      <c r="AK405" s="1056"/>
      <c r="AL405" s="1056"/>
      <c r="AM405" s="1055" t="s">
        <v>595</v>
      </c>
      <c r="AN405" s="1056"/>
      <c r="AO405" s="1057"/>
      <c r="AP405" s="38"/>
      <c r="AQ405" s="566" t="s">
        <v>637</v>
      </c>
      <c r="AR405" s="567" t="s">
        <v>638</v>
      </c>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
      </c>
      <c r="B406" s="3"/>
      <c r="C406" s="38"/>
      <c r="D406" s="38"/>
      <c r="E406" s="38"/>
      <c r="F406" s="38"/>
      <c r="G406" s="38"/>
      <c r="H406" s="38"/>
      <c r="I406" s="38"/>
      <c r="J406" s="38"/>
      <c r="K406" s="38"/>
      <c r="M406" s="568"/>
      <c r="N406" s="38"/>
      <c r="O406" s="568"/>
      <c r="P406" s="549"/>
      <c r="Q406" s="563"/>
      <c r="R406" s="38"/>
      <c r="S406" s="565"/>
      <c r="T406" s="565"/>
      <c r="U406" s="38"/>
      <c r="V406" s="245"/>
      <c r="W406" s="399" t="s">
        <v>596</v>
      </c>
      <c r="X406" s="399" t="s">
        <v>195</v>
      </c>
      <c r="Y406" s="399" t="s">
        <v>196</v>
      </c>
      <c r="Z406" s="435" t="s">
        <v>197</v>
      </c>
      <c r="AA406" s="399"/>
      <c r="AB406" s="399"/>
      <c r="AC406" s="435"/>
      <c r="AD406" s="436" t="s">
        <v>195</v>
      </c>
      <c r="AE406" s="399" t="s">
        <v>196</v>
      </c>
      <c r="AF406" s="399" t="s">
        <v>197</v>
      </c>
      <c r="AG406" s="436" t="s">
        <v>597</v>
      </c>
      <c r="AH406" s="399" t="s">
        <v>598</v>
      </c>
      <c r="AI406" s="399" t="s">
        <v>599</v>
      </c>
      <c r="AJ406" s="436" t="s">
        <v>195</v>
      </c>
      <c r="AK406" s="399" t="s">
        <v>196</v>
      </c>
      <c r="AL406" s="399" t="s">
        <v>197</v>
      </c>
      <c r="AM406" s="437" t="s">
        <v>597</v>
      </c>
      <c r="AN406" s="399" t="s">
        <v>598</v>
      </c>
      <c r="AO406" s="341" t="s">
        <v>599</v>
      </c>
      <c r="AP406" s="38"/>
      <c r="AQ406" s="545"/>
      <c r="AR406" s="544"/>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Ventes nettes</v>
      </c>
      <c r="B407" s="3"/>
      <c r="C407" s="38"/>
      <c r="D407" s="38"/>
      <c r="E407" s="38"/>
      <c r="F407" s="38"/>
      <c r="G407" s="38"/>
      <c r="H407" s="38"/>
      <c r="I407" s="38"/>
      <c r="J407" s="562"/>
      <c r="K407" s="564"/>
      <c r="L407" s="38"/>
      <c r="M407" s="562"/>
      <c r="N407" s="561"/>
      <c r="O407" s="561"/>
      <c r="P407" s="549"/>
      <c r="Q407" s="563"/>
      <c r="R407" s="38"/>
      <c r="S407" s="565"/>
      <c r="T407" s="565"/>
      <c r="U407" s="38"/>
      <c r="V407" s="311" t="s">
        <v>92</v>
      </c>
      <c r="W407" s="438"/>
      <c r="X407" s="438"/>
      <c r="Y407" s="438"/>
      <c r="Z407" s="439">
        <f>F5+F93+E195+E251+D315+D363</f>
        <v>0</v>
      </c>
      <c r="AA407" s="438"/>
      <c r="AB407" s="438"/>
      <c r="AC407" s="439"/>
      <c r="AD407" s="440"/>
      <c r="AE407" s="441"/>
      <c r="AF407" s="441">
        <f>L5+L93+K195+K251+J315+J363</f>
        <v>27544590.07</v>
      </c>
      <c r="AG407" s="440"/>
      <c r="AH407" s="441"/>
      <c r="AI407" s="442"/>
      <c r="AJ407" s="440"/>
      <c r="AK407" s="441"/>
      <c r="AL407" s="441">
        <f>Q5+Q93+P195+P251+O315+O363</f>
        <v>0</v>
      </c>
      <c r="AM407" s="443"/>
      <c r="AN407" s="441"/>
      <c r="AO407" s="444"/>
      <c r="AP407" s="38"/>
      <c r="AQ407" s="443">
        <v>54204064.640000001</v>
      </c>
      <c r="AR407" s="569">
        <f t="shared" ref="AR407:AR408" si="99">AF407-AQ407</f>
        <v>-26659474.57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Profit brut</v>
      </c>
      <c r="B408" s="3"/>
      <c r="C408" s="38"/>
      <c r="D408" s="38"/>
      <c r="E408" s="38"/>
      <c r="F408" s="38"/>
      <c r="G408" s="38"/>
      <c r="H408" s="38"/>
      <c r="I408" s="38"/>
      <c r="J408" s="562"/>
      <c r="K408" s="564"/>
      <c r="L408" s="38"/>
      <c r="M408" s="562"/>
      <c r="N408" s="562"/>
      <c r="O408" s="562"/>
      <c r="P408" s="549"/>
      <c r="Q408" s="563"/>
      <c r="R408" s="38"/>
      <c r="U408" s="564"/>
      <c r="V408" s="445" t="s">
        <v>198</v>
      </c>
      <c r="W408" s="446"/>
      <c r="X408" s="473"/>
      <c r="Y408" s="446"/>
      <c r="Z408" s="447">
        <f>F27+F109+F195+F251+F315+F363</f>
        <v>0</v>
      </c>
      <c r="AA408" s="446"/>
      <c r="AB408" s="446"/>
      <c r="AC408" s="447"/>
      <c r="AD408" s="473">
        <f>AF408/AF$407</f>
        <v>0.13086181028070021</v>
      </c>
      <c r="AE408" s="449"/>
      <c r="AF408" s="449">
        <f>L27+L109+L195+L251+L315+L363</f>
        <v>3604534.919999999</v>
      </c>
      <c r="AG408" s="448"/>
      <c r="AH408" s="449">
        <f>AF408-Z408</f>
        <v>3604534.919999999</v>
      </c>
      <c r="AI408" s="450" t="e">
        <f>AH408/Z408</f>
        <v>#DIV/0!</v>
      </c>
      <c r="AJ408" s="473" t="e">
        <f>+AL408/AL407</f>
        <v>#DIV/0!</v>
      </c>
      <c r="AK408" s="449"/>
      <c r="AL408" s="449">
        <f>Q27+Q109+Q195+Q251+Q315+Q363</f>
        <v>0</v>
      </c>
      <c r="AM408" s="451"/>
      <c r="AN408" s="449">
        <f>AF408-AL408</f>
        <v>3604534.919999999</v>
      </c>
      <c r="AO408" s="452">
        <f>IF(AL408=0,0,AN408/AL408)</f>
        <v>0</v>
      </c>
      <c r="AP408" s="94"/>
      <c r="AQ408" s="451">
        <v>7795760.1900000032</v>
      </c>
      <c r="AR408" s="570">
        <f t="shared" si="99"/>
        <v>-4191225.2700000042</v>
      </c>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DÉPENSES</v>
      </c>
      <c r="B409" s="3"/>
      <c r="C409" s="38"/>
      <c r="D409" s="38"/>
      <c r="E409" s="38"/>
      <c r="F409" s="38"/>
      <c r="G409" s="38"/>
      <c r="H409" s="38"/>
      <c r="I409" s="38"/>
      <c r="J409" s="94"/>
      <c r="K409" s="564"/>
      <c r="L409" s="38"/>
      <c r="M409" s="562"/>
      <c r="N409" s="562"/>
      <c r="O409" s="562"/>
      <c r="P409" s="549"/>
      <c r="Q409" s="563"/>
      <c r="R409" s="38"/>
      <c r="S409" s="565"/>
      <c r="T409" s="565"/>
      <c r="U409" s="564"/>
      <c r="V409" s="453" t="s">
        <v>199</v>
      </c>
      <c r="W409" s="454"/>
      <c r="X409" s="454"/>
      <c r="Y409" s="454"/>
      <c r="Z409" s="455"/>
      <c r="AA409" s="454"/>
      <c r="AB409" s="454"/>
      <c r="AC409" s="455"/>
      <c r="AD409" s="456"/>
      <c r="AE409" s="454"/>
      <c r="AF409" s="457"/>
      <c r="AG409" s="456"/>
      <c r="AH409" s="457"/>
      <c r="AI409" s="458"/>
      <c r="AJ409" s="456"/>
      <c r="AK409" s="454"/>
      <c r="AL409" s="457"/>
      <c r="AM409" s="459"/>
      <c r="AN409" s="457"/>
      <c r="AO409" s="460"/>
      <c r="AP409" s="94"/>
      <c r="AQ409" s="459"/>
      <c r="AR409" s="510"/>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vendeurs</v>
      </c>
      <c r="B410" s="3"/>
      <c r="C410" s="38"/>
      <c r="D410" s="38"/>
      <c r="E410" s="38"/>
      <c r="F410" s="38"/>
      <c r="G410" s="38"/>
      <c r="H410" s="38"/>
      <c r="I410" s="38"/>
      <c r="J410" s="562"/>
      <c r="K410" s="564"/>
      <c r="L410" s="38"/>
      <c r="M410" s="562"/>
      <c r="N410" s="562"/>
      <c r="O410" s="562"/>
      <c r="P410" s="549"/>
      <c r="Q410" s="563"/>
      <c r="R410" s="38"/>
      <c r="S410" s="565"/>
      <c r="T410" s="565"/>
      <c r="U410" s="564"/>
      <c r="V410" s="310" t="s">
        <v>107</v>
      </c>
      <c r="W410" s="461" t="s">
        <v>600</v>
      </c>
      <c r="X410" s="454"/>
      <c r="Y410" s="462" t="e">
        <f t="shared" ref="Y410:Y419" si="100">Z410/(D$13+D$97)</f>
        <v>#DIV/0!</v>
      </c>
      <c r="Z410" s="455">
        <f t="shared" ref="Z410:Z419" si="101">+SUMIF($C:$C,$V410,F:F)</f>
        <v>0</v>
      </c>
      <c r="AA410" s="454"/>
      <c r="AB410" s="462"/>
      <c r="AC410" s="455"/>
      <c r="AD410" s="463"/>
      <c r="AE410" s="462">
        <f t="shared" ref="AE410:AE415" si="102">IF(AF410=0,0,AF410/(J$13+J$97))</f>
        <v>855.21728773584903</v>
      </c>
      <c r="AF410" s="455">
        <f t="shared" ref="AF410:AF419" si="103">+SUMIF($C:$C,$V410,L:L)</f>
        <v>362612.13</v>
      </c>
      <c r="AG410" s="456" t="e">
        <f t="shared" ref="AG410:AG419" si="104">AE410-Y410</f>
        <v>#DIV/0!</v>
      </c>
      <c r="AH410" s="457">
        <f t="shared" ref="AH410:AH419" si="105">AF410-Z410</f>
        <v>362612.13</v>
      </c>
      <c r="AI410" s="458">
        <f t="shared" ref="AI410:AI419" si="106">IF(Z410=0,0,AH410/Z410)</f>
        <v>0</v>
      </c>
      <c r="AJ410" s="463"/>
      <c r="AK410" s="462" t="e">
        <f t="shared" ref="AK410:AK419" si="107">AL410/(O$13+O$97)</f>
        <v>#DIV/0!</v>
      </c>
      <c r="AL410" s="455">
        <f>SUMIFS(BV_Data_An_Prec!$AN:$AN,BV_Data_An_Prec!$AQ:$AQ,$V410)</f>
        <v>0</v>
      </c>
      <c r="AM410" s="459" t="e">
        <f t="shared" ref="AM410:AM416" si="108">AE410-AK410</f>
        <v>#DIV/0!</v>
      </c>
      <c r="AN410" s="457">
        <f t="shared" ref="AN410:AN432" si="109">AF410-AL410</f>
        <v>362612.13</v>
      </c>
      <c r="AO410" s="464">
        <f t="shared" ref="AO410:AO432" si="110">IF(AL410=0,0,AN410/AL410)</f>
        <v>0</v>
      </c>
      <c r="AP410" s="94"/>
      <c r="AQ410" s="571">
        <v>778277.40999999992</v>
      </c>
      <c r="AR410" s="510">
        <f t="shared" ref="AR410:AR467" si="111">AF410-AQ410</f>
        <v>-415665.27999999991</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Comm. F&amp;I</v>
      </c>
      <c r="B411" s="3"/>
      <c r="C411" s="38"/>
      <c r="D411" s="38"/>
      <c r="E411" s="38"/>
      <c r="F411" s="38"/>
      <c r="G411" s="38"/>
      <c r="H411" s="38"/>
      <c r="I411" s="38"/>
      <c r="J411" s="562"/>
      <c r="K411" s="564"/>
      <c r="M411" s="568"/>
      <c r="N411" s="568"/>
      <c r="O411" s="568"/>
      <c r="Q411" s="563"/>
      <c r="R411" s="38"/>
      <c r="S411" s="565"/>
      <c r="T411" s="565"/>
      <c r="U411" s="38"/>
      <c r="V411" s="311" t="s">
        <v>108</v>
      </c>
      <c r="W411" s="465" t="s">
        <v>601</v>
      </c>
      <c r="X411" s="438"/>
      <c r="Y411" s="466" t="e">
        <f t="shared" si="100"/>
        <v>#DIV/0!</v>
      </c>
      <c r="Z411" s="439">
        <f t="shared" si="101"/>
        <v>0</v>
      </c>
      <c r="AA411" s="438"/>
      <c r="AB411" s="466"/>
      <c r="AC411" s="439"/>
      <c r="AD411" s="467"/>
      <c r="AE411" s="466">
        <f t="shared" si="102"/>
        <v>405.7812028301887</v>
      </c>
      <c r="AF411" s="439">
        <f t="shared" si="103"/>
        <v>172051.23</v>
      </c>
      <c r="AG411" s="440" t="e">
        <f t="shared" si="104"/>
        <v>#DIV/0!</v>
      </c>
      <c r="AH411" s="441">
        <f t="shared" si="105"/>
        <v>172051.23</v>
      </c>
      <c r="AI411" s="468">
        <f t="shared" si="106"/>
        <v>0</v>
      </c>
      <c r="AJ411" s="467"/>
      <c r="AK411" s="466" t="e">
        <f t="shared" si="107"/>
        <v>#DIV/0!</v>
      </c>
      <c r="AL411" s="439">
        <f>SUMIFS(BV_Data_An_Prec!$AN:$AN,BV_Data_An_Prec!$AQ:$AQ,$V411)</f>
        <v>0</v>
      </c>
      <c r="AM411" s="443" t="e">
        <f t="shared" si="108"/>
        <v>#DIV/0!</v>
      </c>
      <c r="AN411" s="441">
        <f t="shared" si="109"/>
        <v>172051.23</v>
      </c>
      <c r="AO411" s="444">
        <f t="shared" si="110"/>
        <v>0</v>
      </c>
      <c r="AP411" s="94"/>
      <c r="AQ411" s="572">
        <v>469053.9</v>
      </c>
      <c r="AR411" s="569">
        <f t="shared" si="111"/>
        <v>-297002.67000000004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Frais de livraison</v>
      </c>
      <c r="B412" s="3"/>
      <c r="C412" s="38"/>
      <c r="D412" s="38"/>
      <c r="E412" s="38"/>
      <c r="F412" s="38"/>
      <c r="G412" s="38"/>
      <c r="H412" s="38"/>
      <c r="I412" s="38"/>
      <c r="J412" s="562"/>
      <c r="K412" s="38"/>
      <c r="L412" s="38"/>
      <c r="M412" s="568"/>
      <c r="N412" s="561"/>
      <c r="O412" s="561"/>
      <c r="P412" s="549"/>
      <c r="Q412" s="563"/>
      <c r="R412" s="38"/>
      <c r="S412" s="565"/>
      <c r="T412" s="565"/>
      <c r="U412" s="38"/>
      <c r="V412" s="310" t="s">
        <v>109</v>
      </c>
      <c r="W412" s="461" t="s">
        <v>602</v>
      </c>
      <c r="X412" s="454"/>
      <c r="Y412" s="462" t="e">
        <f t="shared" si="100"/>
        <v>#DIV/0!</v>
      </c>
      <c r="Z412" s="455">
        <f t="shared" si="101"/>
        <v>0</v>
      </c>
      <c r="AA412" s="454"/>
      <c r="AB412" s="462"/>
      <c r="AC412" s="455"/>
      <c r="AD412" s="463"/>
      <c r="AE412" s="462">
        <f t="shared" si="102"/>
        <v>17.073985849056605</v>
      </c>
      <c r="AF412" s="455">
        <f t="shared" si="103"/>
        <v>7239.37</v>
      </c>
      <c r="AG412" s="456" t="e">
        <f t="shared" si="104"/>
        <v>#DIV/0!</v>
      </c>
      <c r="AH412" s="457">
        <f t="shared" si="105"/>
        <v>7239.37</v>
      </c>
      <c r="AI412" s="458">
        <f t="shared" si="106"/>
        <v>0</v>
      </c>
      <c r="AJ412" s="463"/>
      <c r="AK412" s="462" t="e">
        <f t="shared" si="107"/>
        <v>#DIV/0!</v>
      </c>
      <c r="AL412" s="455">
        <f>SUMIFS(BV_Data_An_Prec!$AN:$AN,BV_Data_An_Prec!$AQ:$AQ,$V412)</f>
        <v>0</v>
      </c>
      <c r="AM412" s="459" t="e">
        <f t="shared" si="108"/>
        <v>#DIV/0!</v>
      </c>
      <c r="AN412" s="457">
        <f t="shared" si="109"/>
        <v>7239.37</v>
      </c>
      <c r="AO412" s="464">
        <f t="shared" si="110"/>
        <v>0</v>
      </c>
      <c r="AP412" s="94"/>
      <c r="AQ412" s="571">
        <v>56454.65</v>
      </c>
      <c r="AR412" s="510">
        <f t="shared" si="111"/>
        <v>-49215.28</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Service gratuit 1</v>
      </c>
      <c r="B413" s="3"/>
      <c r="C413" s="38"/>
      <c r="D413" s="38"/>
      <c r="E413" s="38"/>
      <c r="F413" s="38"/>
      <c r="G413" s="38"/>
      <c r="H413" s="38"/>
      <c r="I413" s="38"/>
      <c r="J413" s="38"/>
      <c r="K413" s="38"/>
      <c r="L413" s="38"/>
      <c r="M413" s="562"/>
      <c r="N413" s="562"/>
      <c r="O413" s="562"/>
      <c r="P413" s="549"/>
      <c r="Q413" s="563"/>
      <c r="R413" s="38"/>
      <c r="U413" s="564"/>
      <c r="V413" s="310" t="s">
        <v>110</v>
      </c>
      <c r="W413" s="461" t="s">
        <v>603</v>
      </c>
      <c r="X413" s="454"/>
      <c r="Y413" s="462" t="e">
        <f t="shared" si="100"/>
        <v>#DIV/0!</v>
      </c>
      <c r="Z413" s="455">
        <f t="shared" si="101"/>
        <v>0</v>
      </c>
      <c r="AA413" s="454"/>
      <c r="AB413" s="462"/>
      <c r="AC413" s="455"/>
      <c r="AD413" s="463"/>
      <c r="AE413" s="462">
        <f t="shared" si="102"/>
        <v>0</v>
      </c>
      <c r="AF413" s="455">
        <f t="shared" si="103"/>
        <v>0</v>
      </c>
      <c r="AG413" s="456" t="e">
        <f t="shared" si="104"/>
        <v>#DIV/0!</v>
      </c>
      <c r="AH413" s="457">
        <f t="shared" si="105"/>
        <v>0</v>
      </c>
      <c r="AI413" s="458">
        <f t="shared" si="106"/>
        <v>0</v>
      </c>
      <c r="AJ413" s="463"/>
      <c r="AK413" s="462" t="e">
        <f t="shared" si="107"/>
        <v>#DIV/0!</v>
      </c>
      <c r="AL413" s="455">
        <f>SUMIFS(BV_Data_An_Prec!$AN:$AN,BV_Data_An_Prec!$AQ:$AQ,$V413)</f>
        <v>0</v>
      </c>
      <c r="AM413" s="459" t="e">
        <f t="shared" si="108"/>
        <v>#DIV/0!</v>
      </c>
      <c r="AN413" s="457">
        <f t="shared" si="109"/>
        <v>0</v>
      </c>
      <c r="AO413" s="464">
        <f t="shared" si="110"/>
        <v>0</v>
      </c>
      <c r="AP413" s="94"/>
      <c r="AQ413" s="571">
        <v>3117.25</v>
      </c>
      <c r="AR413" s="510">
        <f t="shared" si="111"/>
        <v>-3117.25</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Entretien stock</v>
      </c>
      <c r="B414" s="3"/>
      <c r="C414" s="38"/>
      <c r="D414" s="38"/>
      <c r="E414" s="38"/>
      <c r="F414" s="38"/>
      <c r="G414" s="38"/>
      <c r="H414" s="38"/>
      <c r="I414" s="38"/>
      <c r="J414" s="38"/>
      <c r="K414" s="38"/>
      <c r="L414" s="38"/>
      <c r="M414" s="562"/>
      <c r="N414" s="562"/>
      <c r="O414" s="562"/>
      <c r="P414" s="549"/>
      <c r="Q414" s="563"/>
      <c r="R414" s="38"/>
      <c r="S414" s="565"/>
      <c r="T414" s="565"/>
      <c r="U414" s="564"/>
      <c r="V414" s="311" t="s">
        <v>111</v>
      </c>
      <c r="W414" s="465"/>
      <c r="X414" s="438"/>
      <c r="Y414" s="466" t="e">
        <f t="shared" si="100"/>
        <v>#DIV/0!</v>
      </c>
      <c r="Z414" s="439">
        <f t="shared" si="101"/>
        <v>0</v>
      </c>
      <c r="AA414" s="438"/>
      <c r="AB414" s="466"/>
      <c r="AC414" s="439"/>
      <c r="AD414" s="467"/>
      <c r="AE414" s="466">
        <f t="shared" si="102"/>
        <v>10.999103773584906</v>
      </c>
      <c r="AF414" s="439">
        <f t="shared" si="103"/>
        <v>4663.62</v>
      </c>
      <c r="AG414" s="440" t="e">
        <f t="shared" si="104"/>
        <v>#DIV/0!</v>
      </c>
      <c r="AH414" s="441">
        <f t="shared" si="105"/>
        <v>4663.62</v>
      </c>
      <c r="AI414" s="468">
        <f t="shared" si="106"/>
        <v>0</v>
      </c>
      <c r="AJ414" s="467"/>
      <c r="AK414" s="466" t="e">
        <f t="shared" si="107"/>
        <v>#DIV/0!</v>
      </c>
      <c r="AL414" s="439">
        <f>SUMIFS(BV_Data_An_Prec!$AN:$AN,BV_Data_An_Prec!$AQ:$AQ,$V414)</f>
        <v>0</v>
      </c>
      <c r="AM414" s="443" t="e">
        <f t="shared" si="108"/>
        <v>#DIV/0!</v>
      </c>
      <c r="AN414" s="441">
        <f t="shared" si="109"/>
        <v>4663.62</v>
      </c>
      <c r="AO414" s="444">
        <f t="shared" si="110"/>
        <v>0</v>
      </c>
      <c r="AP414" s="94"/>
      <c r="AQ414" s="572">
        <v>111419.39000000001</v>
      </c>
      <c r="AR414" s="569">
        <f t="shared" si="111"/>
        <v>-106755.77000000002</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Publicité 1</v>
      </c>
      <c r="B415" s="3"/>
      <c r="C415" s="38"/>
      <c r="D415" s="38"/>
      <c r="E415" s="38"/>
      <c r="F415" s="38"/>
      <c r="G415" s="38"/>
      <c r="H415" s="38"/>
      <c r="I415" s="38"/>
      <c r="J415" s="38"/>
      <c r="K415" s="38"/>
      <c r="L415" s="38"/>
      <c r="M415" s="562"/>
      <c r="N415" s="562"/>
      <c r="O415" s="562"/>
      <c r="P415" s="549"/>
      <c r="Q415" s="563"/>
      <c r="R415" s="38"/>
      <c r="S415" s="565"/>
      <c r="T415" s="565"/>
      <c r="U415" s="564"/>
      <c r="V415" s="310" t="s">
        <v>112</v>
      </c>
      <c r="W415" s="461" t="s">
        <v>604</v>
      </c>
      <c r="X415" s="458"/>
      <c r="Y415" s="462" t="e">
        <f t="shared" si="100"/>
        <v>#DIV/0!</v>
      </c>
      <c r="Z415" s="455">
        <f t="shared" si="101"/>
        <v>0</v>
      </c>
      <c r="AA415" s="458"/>
      <c r="AB415" s="462"/>
      <c r="AC415" s="455"/>
      <c r="AD415" s="463"/>
      <c r="AE415" s="462">
        <f t="shared" si="102"/>
        <v>153.91754716981131</v>
      </c>
      <c r="AF415" s="455">
        <f t="shared" si="103"/>
        <v>65261.04</v>
      </c>
      <c r="AG415" s="456" t="e">
        <f t="shared" si="104"/>
        <v>#DIV/0!</v>
      </c>
      <c r="AH415" s="457">
        <f t="shared" si="105"/>
        <v>65261.04</v>
      </c>
      <c r="AI415" s="458">
        <f t="shared" si="106"/>
        <v>0</v>
      </c>
      <c r="AJ415" s="463"/>
      <c r="AK415" s="462" t="e">
        <f t="shared" si="107"/>
        <v>#DIV/0!</v>
      </c>
      <c r="AL415" s="455">
        <f>SUMIFS(BV_Data_An_Prec!$AN:$AN,BV_Data_An_Prec!$AQ:$AQ,$V415)</f>
        <v>0</v>
      </c>
      <c r="AM415" s="459" t="e">
        <f t="shared" si="108"/>
        <v>#DIV/0!</v>
      </c>
      <c r="AN415" s="457">
        <f t="shared" si="109"/>
        <v>65261.04</v>
      </c>
      <c r="AO415" s="464">
        <f t="shared" si="110"/>
        <v>0</v>
      </c>
      <c r="AP415" s="94"/>
      <c r="AQ415" s="571">
        <v>186022.03999999998</v>
      </c>
      <c r="AR415" s="510">
        <f t="shared" si="111"/>
        <v>-120760.99999999997</v>
      </c>
      <c r="AS415" s="38"/>
      <c r="AT415" s="38"/>
      <c r="AU415" s="38"/>
      <c r="AV415" s="38"/>
      <c r="AW415" s="38"/>
      <c r="AX415" s="38"/>
      <c r="AY415" s="38"/>
      <c r="AZ415" s="38"/>
      <c r="BA415" s="38"/>
      <c r="BB415" s="38"/>
      <c r="BC415" s="38"/>
      <c r="BD415" s="38"/>
      <c r="BE415" s="38"/>
      <c r="BF415" s="38"/>
      <c r="BG415" s="38"/>
      <c r="BH415" s="38"/>
      <c r="BI415" s="38"/>
    </row>
    <row r="416" spans="1:61" ht="15.75" customHeight="1">
      <c r="A416" s="5" t="str">
        <f t="shared" si="98"/>
        <v>Intérêt de gros</v>
      </c>
      <c r="B416" s="3"/>
      <c r="C416" s="38"/>
      <c r="D416" s="38"/>
      <c r="E416" s="38"/>
      <c r="F416" s="38"/>
      <c r="G416" s="38"/>
      <c r="H416" s="38"/>
      <c r="I416" s="38"/>
      <c r="J416" s="38"/>
      <c r="K416" s="38"/>
      <c r="L416" s="38"/>
      <c r="M416" s="562"/>
      <c r="N416" s="562"/>
      <c r="O416" s="562"/>
      <c r="Q416" s="563"/>
      <c r="R416" s="38"/>
      <c r="S416" s="565"/>
      <c r="T416" s="565"/>
      <c r="U416" s="38"/>
      <c r="V416" s="310" t="s">
        <v>113</v>
      </c>
      <c r="W416" s="461" t="s">
        <v>605</v>
      </c>
      <c r="X416" s="454"/>
      <c r="Y416" s="462" t="e">
        <f t="shared" si="100"/>
        <v>#DIV/0!</v>
      </c>
      <c r="Z416" s="455">
        <f t="shared" si="101"/>
        <v>0</v>
      </c>
      <c r="AA416" s="454"/>
      <c r="AB416" s="462"/>
      <c r="AC416" s="455"/>
      <c r="AD416" s="463"/>
      <c r="AE416" s="462">
        <f t="shared" ref="AE416:AE419" si="112">IF(AF416=0,0,AF416/(J$13+J$13))</f>
        <v>213.47456962025316</v>
      </c>
      <c r="AF416" s="455">
        <f t="shared" si="103"/>
        <v>168644.91</v>
      </c>
      <c r="AG416" s="456" t="e">
        <f t="shared" si="104"/>
        <v>#DIV/0!</v>
      </c>
      <c r="AH416" s="457">
        <f t="shared" si="105"/>
        <v>168644.91</v>
      </c>
      <c r="AI416" s="458">
        <f t="shared" si="106"/>
        <v>0</v>
      </c>
      <c r="AJ416" s="463"/>
      <c r="AK416" s="462" t="e">
        <f t="shared" si="107"/>
        <v>#DIV/0!</v>
      </c>
      <c r="AL416" s="455">
        <f>SUMIFS(BV_Data_An_Prec!$AN:$AN,BV_Data_An_Prec!$AQ:$AQ,$V416)</f>
        <v>0</v>
      </c>
      <c r="AM416" s="459" t="e">
        <f t="shared" si="108"/>
        <v>#DIV/0!</v>
      </c>
      <c r="AN416" s="457">
        <f t="shared" si="109"/>
        <v>168644.91</v>
      </c>
      <c r="AO416" s="464">
        <f t="shared" si="110"/>
        <v>0</v>
      </c>
      <c r="AP416" s="94"/>
      <c r="AQ416" s="571">
        <v>67811.08</v>
      </c>
      <c r="AR416" s="510">
        <f t="shared" si="111"/>
        <v>100833.83</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561"/>
      <c r="P417" s="549"/>
      <c r="Q417" s="563"/>
      <c r="R417" s="38"/>
      <c r="S417" s="565"/>
      <c r="T417" s="565"/>
      <c r="U417" s="38"/>
      <c r="V417" s="310" t="s">
        <v>55</v>
      </c>
      <c r="W417" s="461"/>
      <c r="X417" s="458"/>
      <c r="Y417" s="462" t="e">
        <f t="shared" si="100"/>
        <v>#DIV/0!</v>
      </c>
      <c r="Z417" s="455">
        <f t="shared" si="101"/>
        <v>0</v>
      </c>
      <c r="AA417" s="454"/>
      <c r="AB417" s="462"/>
      <c r="AC417" s="455"/>
      <c r="AD417" s="463"/>
      <c r="AE417" s="462">
        <f t="shared" si="112"/>
        <v>0</v>
      </c>
      <c r="AF417" s="455">
        <f t="shared" si="103"/>
        <v>0</v>
      </c>
      <c r="AG417" s="456" t="e">
        <f t="shared" si="104"/>
        <v>#DIV/0!</v>
      </c>
      <c r="AH417" s="457">
        <f t="shared" si="105"/>
        <v>0</v>
      </c>
      <c r="AI417" s="458">
        <f t="shared" si="106"/>
        <v>0</v>
      </c>
      <c r="AJ417" s="463"/>
      <c r="AK417" s="462" t="e">
        <f t="shared" si="107"/>
        <v>#DIV/0!</v>
      </c>
      <c r="AL417" s="455"/>
      <c r="AM417" s="459" t="e">
        <f t="shared" ref="AM417:AM419" si="113">AE417-Y417</f>
        <v>#DIV/0!</v>
      </c>
      <c r="AN417" s="457">
        <f t="shared" si="109"/>
        <v>0</v>
      </c>
      <c r="AO417" s="464">
        <f t="shared" si="110"/>
        <v>0</v>
      </c>
      <c r="AP417" s="94"/>
      <c r="AQ417" s="571">
        <v>0</v>
      </c>
      <c r="AR417" s="510">
        <f t="shared" si="111"/>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561"/>
      <c r="P418" s="549"/>
      <c r="Q418" s="563"/>
      <c r="R418" s="38"/>
      <c r="S418" s="565"/>
      <c r="T418" s="565"/>
      <c r="U418" s="38"/>
      <c r="V418" s="310" t="s">
        <v>55</v>
      </c>
      <c r="W418" s="461"/>
      <c r="X418" s="458"/>
      <c r="Y418" s="462" t="e">
        <f t="shared" si="100"/>
        <v>#DIV/0!</v>
      </c>
      <c r="Z418" s="455">
        <f t="shared" si="101"/>
        <v>0</v>
      </c>
      <c r="AA418" s="454"/>
      <c r="AB418" s="462"/>
      <c r="AC418" s="455"/>
      <c r="AD418" s="463"/>
      <c r="AE418" s="462">
        <f t="shared" si="112"/>
        <v>0</v>
      </c>
      <c r="AF418" s="455">
        <f t="shared" si="103"/>
        <v>0</v>
      </c>
      <c r="AG418" s="456" t="e">
        <f t="shared" si="104"/>
        <v>#DIV/0!</v>
      </c>
      <c r="AH418" s="457">
        <f t="shared" si="105"/>
        <v>0</v>
      </c>
      <c r="AI418" s="458">
        <f t="shared" si="106"/>
        <v>0</v>
      </c>
      <c r="AJ418" s="463"/>
      <c r="AK418" s="462" t="e">
        <f t="shared" si="107"/>
        <v>#DIV/0!</v>
      </c>
      <c r="AL418" s="455"/>
      <c r="AM418" s="459" t="e">
        <f t="shared" si="113"/>
        <v>#DIV/0!</v>
      </c>
      <c r="AN418" s="457">
        <f t="shared" si="109"/>
        <v>0</v>
      </c>
      <c r="AO418" s="464">
        <f t="shared" si="110"/>
        <v>0</v>
      </c>
      <c r="AP418" s="94"/>
      <c r="AQ418" s="571">
        <v>0</v>
      </c>
      <c r="AR418" s="510">
        <f t="shared" si="111"/>
        <v>0</v>
      </c>
      <c r="AS418" s="38"/>
      <c r="AT418" s="38"/>
      <c r="AU418" s="38"/>
      <c r="AV418" s="38"/>
      <c r="AW418" s="38"/>
      <c r="AX418" s="38"/>
      <c r="AY418" s="38"/>
      <c r="AZ418" s="38"/>
      <c r="BA418" s="38"/>
      <c r="BB418" s="38"/>
      <c r="BC418" s="38"/>
      <c r="BD418" s="38"/>
      <c r="BE418" s="38"/>
      <c r="BF418" s="38"/>
      <c r="BG418" s="38"/>
      <c r="BH418" s="38"/>
      <c r="BI418" s="38"/>
    </row>
    <row r="419" spans="1:61" ht="15.75" hidden="1" customHeight="1">
      <c r="A419" s="5" t="str">
        <f t="shared" si="98"/>
        <v>[...]</v>
      </c>
      <c r="B419" s="3"/>
      <c r="C419" s="38"/>
      <c r="D419" s="38"/>
      <c r="E419" s="38"/>
      <c r="F419" s="38"/>
      <c r="G419" s="38"/>
      <c r="H419" s="38"/>
      <c r="I419" s="38"/>
      <c r="J419" s="38"/>
      <c r="K419" s="38"/>
      <c r="L419" s="38"/>
      <c r="M419" s="38"/>
      <c r="N419" s="38"/>
      <c r="O419" s="561"/>
      <c r="P419" s="549"/>
      <c r="Q419" s="563"/>
      <c r="R419" s="38"/>
      <c r="S419" s="565"/>
      <c r="T419" s="565"/>
      <c r="U419" s="38"/>
      <c r="V419" s="310" t="s">
        <v>55</v>
      </c>
      <c r="W419" s="461" t="s">
        <v>605</v>
      </c>
      <c r="X419" s="454"/>
      <c r="Y419" s="462" t="e">
        <f t="shared" si="100"/>
        <v>#DIV/0!</v>
      </c>
      <c r="Z419" s="455">
        <f t="shared" si="101"/>
        <v>0</v>
      </c>
      <c r="AA419" s="454"/>
      <c r="AB419" s="462"/>
      <c r="AC419" s="455"/>
      <c r="AD419" s="463"/>
      <c r="AE419" s="462">
        <f t="shared" si="112"/>
        <v>0</v>
      </c>
      <c r="AF419" s="455">
        <f t="shared" si="103"/>
        <v>0</v>
      </c>
      <c r="AG419" s="456" t="e">
        <f t="shared" si="104"/>
        <v>#DIV/0!</v>
      </c>
      <c r="AH419" s="457">
        <f t="shared" si="105"/>
        <v>0</v>
      </c>
      <c r="AI419" s="458">
        <f t="shared" si="106"/>
        <v>0</v>
      </c>
      <c r="AJ419" s="463"/>
      <c r="AK419" s="462" t="e">
        <f t="shared" si="107"/>
        <v>#DIV/0!</v>
      </c>
      <c r="AL419" s="455"/>
      <c r="AM419" s="459" t="e">
        <f t="shared" si="113"/>
        <v>#DIV/0!</v>
      </c>
      <c r="AN419" s="457">
        <f t="shared" si="109"/>
        <v>0</v>
      </c>
      <c r="AO419" s="464">
        <f t="shared" si="110"/>
        <v>0</v>
      </c>
      <c r="AP419" s="94"/>
      <c r="AQ419" s="571">
        <v>0</v>
      </c>
      <c r="AR419" s="510">
        <f t="shared" si="111"/>
        <v>0</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TOTAL VARIABLES</v>
      </c>
      <c r="B420" s="3"/>
      <c r="C420" s="38"/>
      <c r="D420" s="38"/>
      <c r="E420" s="38"/>
      <c r="F420" s="38"/>
      <c r="G420" s="38"/>
      <c r="H420" s="38"/>
      <c r="I420" s="38"/>
      <c r="J420" s="38"/>
      <c r="K420" s="38"/>
      <c r="L420" s="38"/>
      <c r="M420" s="562"/>
      <c r="N420" s="561"/>
      <c r="O420" s="561"/>
      <c r="P420" s="549"/>
      <c r="Q420" s="563"/>
      <c r="R420" s="38"/>
      <c r="S420" s="565"/>
      <c r="T420" s="565"/>
      <c r="U420" s="38"/>
      <c r="V420" s="469" t="s">
        <v>114</v>
      </c>
      <c r="W420" s="470"/>
      <c r="X420" s="471" t="e">
        <f>Z420/Z408</f>
        <v>#DIV/0!</v>
      </c>
      <c r="Y420" s="470"/>
      <c r="Z420" s="472">
        <f>SUM(Z410:Z419)</f>
        <v>0</v>
      </c>
      <c r="AA420" s="471"/>
      <c r="AB420" s="470"/>
      <c r="AC420" s="472"/>
      <c r="AD420" s="473">
        <f>AF420/AF$408</f>
        <v>0.21652510443705184</v>
      </c>
      <c r="AE420" s="470"/>
      <c r="AF420" s="472">
        <f>SUM(AF410:AF419)</f>
        <v>780472.3</v>
      </c>
      <c r="AG420" s="474"/>
      <c r="AH420" s="475">
        <f t="shared" ref="AH420:AH452" si="114">AF420-Z420</f>
        <v>780472.3</v>
      </c>
      <c r="AI420" s="471" t="e">
        <f>AH420/Z420</f>
        <v>#DIV/0!</v>
      </c>
      <c r="AJ420" s="473">
        <f>IF($AL$408=0,0,AL420/$AL$408)</f>
        <v>0</v>
      </c>
      <c r="AK420" s="470"/>
      <c r="AL420" s="472">
        <f>SUM(AL410:AL419)</f>
        <v>0</v>
      </c>
      <c r="AM420" s="476"/>
      <c r="AN420" s="475">
        <f t="shared" si="109"/>
        <v>780472.3</v>
      </c>
      <c r="AO420" s="452">
        <f t="shared" si="110"/>
        <v>0</v>
      </c>
      <c r="AP420" s="94"/>
      <c r="AQ420" s="573">
        <v>1672155.7200000002</v>
      </c>
      <c r="AR420" s="574">
        <f t="shared" si="111"/>
        <v>-891683.42000000016</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propriétaire</v>
      </c>
      <c r="B421" s="3"/>
      <c r="C421" s="38"/>
      <c r="D421" s="38"/>
      <c r="E421" s="38"/>
      <c r="F421" s="38"/>
      <c r="G421" s="38"/>
      <c r="H421" s="38"/>
      <c r="I421" s="38"/>
      <c r="J421" s="38"/>
      <c r="K421" s="38"/>
      <c r="L421" s="38"/>
      <c r="M421" s="549"/>
      <c r="N421" s="549"/>
      <c r="O421" s="549"/>
      <c r="P421" s="549"/>
      <c r="Q421" s="563"/>
      <c r="R421" s="38"/>
      <c r="U421" s="564"/>
      <c r="V421" s="310" t="s">
        <v>200</v>
      </c>
      <c r="W421" s="461" t="s">
        <v>606</v>
      </c>
      <c r="X421" s="454"/>
      <c r="Y421" s="454"/>
      <c r="Z421" s="455" cm="1">
        <f t="array" ref="Z421">+SUMPRODUCT(('Budget original'!$A$8:$A$501=$A421)*('Budget original'!$C$3:$AO$3=Z$2),'Budget original'!$C$8:$AO$501)</f>
        <v>0</v>
      </c>
      <c r="AA421" s="454"/>
      <c r="AB421" s="454"/>
      <c r="AC421" s="455"/>
      <c r="AD421" s="463"/>
      <c r="AE421" s="462"/>
      <c r="AF421" s="455">
        <f>SUMIFS(BV_Data_An_Cour!$AN:$AN,BV_Data_An_Cour!$AQ:$AQ,$V421)</f>
        <v>0</v>
      </c>
      <c r="AG421" s="456"/>
      <c r="AH421" s="457">
        <f t="shared" si="114"/>
        <v>0</v>
      </c>
      <c r="AI421" s="458">
        <f t="shared" ref="AI421:AI433" si="115">IF(Z421=0,0,AH421/Z421)</f>
        <v>0</v>
      </c>
      <c r="AJ421" s="463"/>
      <c r="AK421" s="462"/>
      <c r="AL421" s="455">
        <f>SUMIFS(BV_Data_An_Prec!$AN:$AN,BV_Data_An_Prec!$AQ:$AQ,$V421)</f>
        <v>0</v>
      </c>
      <c r="AM421" s="459"/>
      <c r="AN421" s="457">
        <f t="shared" si="109"/>
        <v>0</v>
      </c>
      <c r="AO421" s="464">
        <f t="shared" si="110"/>
        <v>0</v>
      </c>
      <c r="AP421" s="94"/>
      <c r="AQ421" s="571">
        <v>196581.69999999998</v>
      </c>
      <c r="AR421" s="510">
        <f t="shared" si="111"/>
        <v>-196581.69999999998</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cadres</v>
      </c>
      <c r="B422" s="3"/>
      <c r="C422" s="38"/>
      <c r="D422" s="38"/>
      <c r="E422" s="38"/>
      <c r="F422" s="38"/>
      <c r="G422" s="38"/>
      <c r="H422" s="38"/>
      <c r="I422" s="38"/>
      <c r="J422" s="38"/>
      <c r="K422" s="38"/>
      <c r="L422" s="38"/>
      <c r="M422" s="549"/>
      <c r="N422" s="549"/>
      <c r="O422" s="549"/>
      <c r="P422" s="549"/>
      <c r="Q422" s="563"/>
      <c r="R422" s="38"/>
      <c r="S422" s="565"/>
      <c r="T422" s="565"/>
      <c r="U422" s="564"/>
      <c r="V422" s="310" t="s">
        <v>116</v>
      </c>
      <c r="W422" s="461" t="s">
        <v>607</v>
      </c>
      <c r="X422" s="454"/>
      <c r="Y422" s="454"/>
      <c r="Z422" s="455">
        <f t="shared" ref="Z422:Z433" si="116">+SUMIF($C:$C,$V422,F:F)</f>
        <v>0</v>
      </c>
      <c r="AA422" s="454"/>
      <c r="AB422" s="454"/>
      <c r="AC422" s="455"/>
      <c r="AD422" s="463"/>
      <c r="AE422" s="462"/>
      <c r="AF422" s="455">
        <f t="shared" ref="AF422:AF433" si="117">+SUMIF($C:$C,$V422,L:L)</f>
        <v>293557.48</v>
      </c>
      <c r="AG422" s="456"/>
      <c r="AH422" s="457">
        <f t="shared" si="114"/>
        <v>293557.48</v>
      </c>
      <c r="AI422" s="458">
        <f t="shared" si="115"/>
        <v>0</v>
      </c>
      <c r="AJ422" s="463"/>
      <c r="AK422" s="462"/>
      <c r="AL422" s="455">
        <f>SUMIFS(BV_Data_An_Prec!$AN:$AN,BV_Data_An_Prec!$AQ:$AQ,$V422)</f>
        <v>0</v>
      </c>
      <c r="AM422" s="459"/>
      <c r="AN422" s="457">
        <f t="shared" si="109"/>
        <v>293557.48</v>
      </c>
      <c r="AO422" s="464">
        <f t="shared" si="110"/>
        <v>0</v>
      </c>
      <c r="AP422" s="94"/>
      <c r="AQ422" s="571">
        <v>480874.87</v>
      </c>
      <c r="AR422" s="510">
        <f t="shared" si="111"/>
        <v>-187317.39</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commis</v>
      </c>
      <c r="B423" s="3"/>
      <c r="C423" s="38"/>
      <c r="D423" s="38"/>
      <c r="E423" s="38"/>
      <c r="F423" s="38"/>
      <c r="G423" s="38"/>
      <c r="H423" s="38"/>
      <c r="I423" s="38"/>
      <c r="J423" s="38"/>
      <c r="K423" s="38"/>
      <c r="L423" s="38"/>
      <c r="M423" s="549"/>
      <c r="N423" s="549"/>
      <c r="O423" s="549"/>
      <c r="P423" s="549"/>
      <c r="Q423" s="563"/>
      <c r="R423" s="38"/>
      <c r="S423" s="565"/>
      <c r="T423" s="565"/>
      <c r="U423" s="564"/>
      <c r="V423" s="311" t="s">
        <v>117</v>
      </c>
      <c r="W423" s="465" t="s">
        <v>608</v>
      </c>
      <c r="X423" s="438"/>
      <c r="Y423" s="438"/>
      <c r="Z423" s="439">
        <f t="shared" si="116"/>
        <v>0</v>
      </c>
      <c r="AA423" s="438"/>
      <c r="AB423" s="438"/>
      <c r="AC423" s="439"/>
      <c r="AD423" s="467"/>
      <c r="AE423" s="466"/>
      <c r="AF423" s="439">
        <f t="shared" si="117"/>
        <v>0</v>
      </c>
      <c r="AG423" s="440"/>
      <c r="AH423" s="441">
        <f t="shared" si="114"/>
        <v>0</v>
      </c>
      <c r="AI423" s="468">
        <f t="shared" si="115"/>
        <v>0</v>
      </c>
      <c r="AJ423" s="467"/>
      <c r="AK423" s="466"/>
      <c r="AL423" s="439">
        <f>SUMIFS(BV_Data_An_Prec!$AN:$AN,BV_Data_An_Prec!$AQ:$AQ,$V423)</f>
        <v>0</v>
      </c>
      <c r="AM423" s="443"/>
      <c r="AN423" s="441">
        <f t="shared" si="109"/>
        <v>0</v>
      </c>
      <c r="AO423" s="444">
        <f t="shared" si="110"/>
        <v>0</v>
      </c>
      <c r="AP423" s="94"/>
      <c r="AQ423" s="572">
        <v>263830.23</v>
      </c>
      <c r="AR423" s="569">
        <f t="shared" si="111"/>
        <v>-263830.23</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autres</v>
      </c>
      <c r="B424" s="3"/>
      <c r="C424" s="38"/>
      <c r="D424" s="38"/>
      <c r="E424" s="38"/>
      <c r="F424" s="38"/>
      <c r="G424" s="38"/>
      <c r="H424" s="38"/>
      <c r="I424" s="38"/>
      <c r="J424" s="38"/>
      <c r="K424" s="38"/>
      <c r="L424" s="38"/>
      <c r="M424" s="549"/>
      <c r="N424" s="549"/>
      <c r="O424" s="549"/>
      <c r="Q424" s="563"/>
      <c r="R424" s="38"/>
      <c r="S424" s="565"/>
      <c r="T424" s="565"/>
      <c r="U424" s="38"/>
      <c r="V424" s="310" t="s">
        <v>118</v>
      </c>
      <c r="W424" s="461" t="s">
        <v>609</v>
      </c>
      <c r="X424" s="454"/>
      <c r="Y424" s="454"/>
      <c r="Z424" s="455">
        <f t="shared" si="116"/>
        <v>0</v>
      </c>
      <c r="AA424" s="454"/>
      <c r="AB424" s="454"/>
      <c r="AC424" s="455"/>
      <c r="AD424" s="463"/>
      <c r="AE424" s="462"/>
      <c r="AF424" s="455">
        <f t="shared" si="117"/>
        <v>381997.66000000003</v>
      </c>
      <c r="AG424" s="456"/>
      <c r="AH424" s="457">
        <f t="shared" si="114"/>
        <v>381997.66000000003</v>
      </c>
      <c r="AI424" s="458">
        <f t="shared" si="115"/>
        <v>0</v>
      </c>
      <c r="AJ424" s="463"/>
      <c r="AK424" s="462"/>
      <c r="AL424" s="455">
        <f>SUMIFS(BV_Data_An_Prec!$AN:$AN,BV_Data_An_Prec!$AQ:$AQ,$V424)</f>
        <v>0</v>
      </c>
      <c r="AM424" s="459"/>
      <c r="AN424" s="457">
        <f t="shared" si="109"/>
        <v>381997.66000000003</v>
      </c>
      <c r="AO424" s="464">
        <f t="shared" si="110"/>
        <v>0</v>
      </c>
      <c r="AP424" s="94"/>
      <c r="AQ424" s="571">
        <v>653651.56000000006</v>
      </c>
      <c r="AR424" s="510">
        <f t="shared" si="111"/>
        <v>-271653.90000000002</v>
      </c>
      <c r="AS424" s="38"/>
      <c r="AT424" s="38"/>
      <c r="AU424" s="38"/>
      <c r="AV424" s="38"/>
      <c r="AW424" s="38"/>
      <c r="AX424" s="38"/>
      <c r="AY424" s="38"/>
      <c r="AZ424" s="38"/>
      <c r="BA424" s="38"/>
      <c r="BB424" s="38"/>
      <c r="BC424" s="38"/>
      <c r="BD424" s="38"/>
      <c r="BE424" s="38"/>
      <c r="BF424" s="38"/>
      <c r="BG424" s="38"/>
      <c r="BH424" s="38"/>
      <c r="BI424" s="38"/>
    </row>
    <row r="425" spans="1:61" ht="15.75" customHeight="1">
      <c r="A425" s="5" t="str">
        <f t="shared" si="98"/>
        <v>Salaires spécialistes</v>
      </c>
      <c r="B425" s="3"/>
      <c r="C425" s="38"/>
      <c r="D425" s="38"/>
      <c r="E425" s="38"/>
      <c r="F425" s="38"/>
      <c r="G425" s="38"/>
      <c r="H425" s="38"/>
      <c r="I425" s="38"/>
      <c r="J425" s="38"/>
      <c r="K425" s="38"/>
      <c r="L425" s="38"/>
      <c r="M425" s="549"/>
      <c r="N425" s="561"/>
      <c r="O425" s="561"/>
      <c r="P425" s="549"/>
      <c r="Q425" s="563"/>
      <c r="R425" s="38"/>
      <c r="S425" s="565"/>
      <c r="T425" s="565"/>
      <c r="U425" s="38"/>
      <c r="V425" s="310" t="s">
        <v>119</v>
      </c>
      <c r="W425" s="461" t="s">
        <v>610</v>
      </c>
      <c r="X425" s="454"/>
      <c r="Y425" s="454"/>
      <c r="Z425" s="455">
        <f t="shared" si="116"/>
        <v>0</v>
      </c>
      <c r="AA425" s="454"/>
      <c r="AB425" s="454"/>
      <c r="AC425" s="455"/>
      <c r="AD425" s="463"/>
      <c r="AE425" s="462"/>
      <c r="AF425" s="455">
        <f t="shared" si="117"/>
        <v>0</v>
      </c>
      <c r="AG425" s="456"/>
      <c r="AH425" s="457">
        <f t="shared" si="114"/>
        <v>0</v>
      </c>
      <c r="AI425" s="458">
        <f t="shared" si="115"/>
        <v>0</v>
      </c>
      <c r="AJ425" s="463"/>
      <c r="AK425" s="462"/>
      <c r="AL425" s="455">
        <f>SUMIFS(BV_Data_An_Prec!$AN:$AN,BV_Data_An_Prec!$AQ:$AQ,$V425)</f>
        <v>0</v>
      </c>
      <c r="AM425" s="459"/>
      <c r="AN425" s="457">
        <f t="shared" si="109"/>
        <v>0</v>
      </c>
      <c r="AO425" s="464">
        <f t="shared" si="110"/>
        <v>0</v>
      </c>
      <c r="AP425" s="94"/>
      <c r="AQ425" s="571">
        <v>399727.32999999996</v>
      </c>
      <c r="AR425" s="510">
        <f t="shared" si="111"/>
        <v>-399727.32999999996</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49"/>
      <c r="N426" s="94"/>
      <c r="O426" s="561"/>
      <c r="P426" s="549"/>
      <c r="Q426" s="563"/>
      <c r="R426" s="38"/>
      <c r="S426" s="565"/>
      <c r="T426" s="565"/>
      <c r="U426" s="38"/>
      <c r="V426" s="310" t="s">
        <v>55</v>
      </c>
      <c r="W426" s="461"/>
      <c r="X426" s="454"/>
      <c r="Y426" s="454"/>
      <c r="Z426" s="455">
        <f t="shared" si="116"/>
        <v>0</v>
      </c>
      <c r="AA426" s="454"/>
      <c r="AB426" s="454"/>
      <c r="AC426" s="455"/>
      <c r="AD426" s="463"/>
      <c r="AE426" s="462"/>
      <c r="AF426" s="455">
        <f t="shared" si="117"/>
        <v>0</v>
      </c>
      <c r="AG426" s="456"/>
      <c r="AH426" s="457">
        <f t="shared" si="114"/>
        <v>0</v>
      </c>
      <c r="AI426" s="458">
        <f t="shared" si="115"/>
        <v>0</v>
      </c>
      <c r="AJ426" s="463"/>
      <c r="AK426" s="462"/>
      <c r="AL426" s="455">
        <f>SUMIFS(BV_Data_An_Prec!$AN:$AN,BV_Data_An_Prec!$AQ:$AQ,$V426)</f>
        <v>0</v>
      </c>
      <c r="AM426" s="459"/>
      <c r="AN426" s="457">
        <f t="shared" si="109"/>
        <v>0</v>
      </c>
      <c r="AO426" s="464">
        <f t="shared" si="110"/>
        <v>0</v>
      </c>
      <c r="AP426" s="94"/>
      <c r="AQ426" s="571">
        <v>0</v>
      </c>
      <c r="AR426" s="510">
        <f t="shared" si="111"/>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49"/>
      <c r="N427" s="94"/>
      <c r="O427" s="561"/>
      <c r="P427" s="549"/>
      <c r="Q427" s="563"/>
      <c r="R427" s="38"/>
      <c r="S427" s="565"/>
      <c r="T427" s="565"/>
      <c r="U427" s="38"/>
      <c r="V427" s="310" t="s">
        <v>55</v>
      </c>
      <c r="W427" s="461"/>
      <c r="X427" s="454"/>
      <c r="Y427" s="454"/>
      <c r="Z427" s="455">
        <f t="shared" si="116"/>
        <v>0</v>
      </c>
      <c r="AA427" s="454"/>
      <c r="AB427" s="454"/>
      <c r="AC427" s="455"/>
      <c r="AD427" s="463"/>
      <c r="AE427" s="462"/>
      <c r="AF427" s="455">
        <f t="shared" si="117"/>
        <v>0</v>
      </c>
      <c r="AG427" s="456"/>
      <c r="AH427" s="457">
        <f t="shared" si="114"/>
        <v>0</v>
      </c>
      <c r="AI427" s="458">
        <f t="shared" si="115"/>
        <v>0</v>
      </c>
      <c r="AJ427" s="463"/>
      <c r="AK427" s="462"/>
      <c r="AL427" s="455">
        <f>SUMIFS(BV_Data_An_Prec!$AN:$AN,BV_Data_An_Prec!$AQ:$AQ,$V427)</f>
        <v>0</v>
      </c>
      <c r="AM427" s="459"/>
      <c r="AN427" s="457">
        <f t="shared" si="109"/>
        <v>0</v>
      </c>
      <c r="AO427" s="464">
        <f t="shared" si="110"/>
        <v>0</v>
      </c>
      <c r="AP427" s="94"/>
      <c r="AQ427" s="571">
        <v>0</v>
      </c>
      <c r="AR427" s="510">
        <f t="shared" si="111"/>
        <v>0</v>
      </c>
      <c r="AS427" s="38"/>
      <c r="AT427" s="38"/>
      <c r="AU427" s="38"/>
      <c r="AV427" s="38"/>
      <c r="AW427" s="38"/>
      <c r="AX427" s="38"/>
      <c r="AY427" s="38"/>
      <c r="AZ427" s="38"/>
      <c r="BA427" s="38"/>
      <c r="BB427" s="38"/>
      <c r="BC427" s="38"/>
      <c r="BD427" s="38"/>
      <c r="BE427" s="38"/>
      <c r="BF427" s="38"/>
      <c r="BG427" s="38"/>
      <c r="BH427" s="38"/>
      <c r="BI427" s="38"/>
    </row>
    <row r="428" spans="1:61" ht="15.75" hidden="1" customHeight="1">
      <c r="A428" s="5" t="str">
        <f t="shared" si="98"/>
        <v>[...]</v>
      </c>
      <c r="B428" s="3"/>
      <c r="C428" s="38"/>
      <c r="D428" s="38"/>
      <c r="E428" s="38"/>
      <c r="F428" s="38"/>
      <c r="G428" s="38"/>
      <c r="H428" s="38"/>
      <c r="I428" s="38"/>
      <c r="J428" s="38"/>
      <c r="K428" s="38"/>
      <c r="L428" s="38"/>
      <c r="M428" s="549"/>
      <c r="N428" s="94"/>
      <c r="O428" s="561"/>
      <c r="P428" s="549"/>
      <c r="Q428" s="563"/>
      <c r="R428" s="38"/>
      <c r="S428" s="565"/>
      <c r="T428" s="565"/>
      <c r="U428" s="38"/>
      <c r="V428" s="310" t="s">
        <v>55</v>
      </c>
      <c r="W428" s="461"/>
      <c r="X428" s="454"/>
      <c r="Y428" s="454"/>
      <c r="Z428" s="455">
        <f t="shared" si="116"/>
        <v>0</v>
      </c>
      <c r="AA428" s="454"/>
      <c r="AB428" s="454"/>
      <c r="AC428" s="455"/>
      <c r="AD428" s="463"/>
      <c r="AE428" s="462"/>
      <c r="AF428" s="455">
        <f t="shared" si="117"/>
        <v>0</v>
      </c>
      <c r="AG428" s="456"/>
      <c r="AH428" s="457">
        <f t="shared" si="114"/>
        <v>0</v>
      </c>
      <c r="AI428" s="458">
        <f t="shared" si="115"/>
        <v>0</v>
      </c>
      <c r="AJ428" s="463"/>
      <c r="AK428" s="462"/>
      <c r="AL428" s="455">
        <f>SUMIFS(BV_Data_An_Prec!$AN:$AN,BV_Data_An_Prec!$AQ:$AQ,$V428)</f>
        <v>0</v>
      </c>
      <c r="AM428" s="459"/>
      <c r="AN428" s="457">
        <f t="shared" si="109"/>
        <v>0</v>
      </c>
      <c r="AO428" s="464">
        <f t="shared" si="110"/>
        <v>0</v>
      </c>
      <c r="AP428" s="94"/>
      <c r="AQ428" s="571">
        <v>0</v>
      </c>
      <c r="AR428" s="510">
        <f t="shared" si="111"/>
        <v>0</v>
      </c>
      <c r="AS428" s="38"/>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Salaires en absences</v>
      </c>
      <c r="B429" s="3"/>
      <c r="C429" s="38"/>
      <c r="D429" s="38"/>
      <c r="E429" s="38"/>
      <c r="F429" s="38"/>
      <c r="G429" s="38"/>
      <c r="H429" s="38"/>
      <c r="I429" s="38"/>
      <c r="J429" s="38"/>
      <c r="K429" s="38"/>
      <c r="L429" s="38"/>
      <c r="M429" s="549"/>
      <c r="N429" s="94"/>
      <c r="O429" s="561"/>
      <c r="P429" s="549"/>
      <c r="Q429" s="563"/>
      <c r="R429" s="38"/>
      <c r="S429" s="565"/>
      <c r="T429" s="565"/>
      <c r="U429" s="38"/>
      <c r="V429" s="311" t="s">
        <v>120</v>
      </c>
      <c r="W429" s="465" t="s">
        <v>611</v>
      </c>
      <c r="X429" s="438"/>
      <c r="Y429" s="438"/>
      <c r="Z429" s="439">
        <f t="shared" si="116"/>
        <v>0</v>
      </c>
      <c r="AA429" s="438"/>
      <c r="AB429" s="438"/>
      <c r="AC429" s="439"/>
      <c r="AD429" s="467"/>
      <c r="AE429" s="466"/>
      <c r="AF429" s="439">
        <f t="shared" si="117"/>
        <v>122952.04000000001</v>
      </c>
      <c r="AG429" s="440"/>
      <c r="AH429" s="441">
        <f t="shared" si="114"/>
        <v>122952.04000000001</v>
      </c>
      <c r="AI429" s="468">
        <f t="shared" si="115"/>
        <v>0</v>
      </c>
      <c r="AJ429" s="467"/>
      <c r="AK429" s="466"/>
      <c r="AL429" s="439">
        <f>SUMIFS(BV_Data_An_Prec!$AN:$AN,BV_Data_An_Prec!$AQ:$AQ,$V429)</f>
        <v>0</v>
      </c>
      <c r="AM429" s="443"/>
      <c r="AN429" s="441">
        <f t="shared" si="109"/>
        <v>122952.04000000001</v>
      </c>
      <c r="AO429" s="444">
        <f t="shared" si="110"/>
        <v>0</v>
      </c>
      <c r="AP429" s="94"/>
      <c r="AQ429" s="572">
        <v>484984.30000000005</v>
      </c>
      <c r="AR429" s="569">
        <f t="shared" si="111"/>
        <v>-362032.26</v>
      </c>
      <c r="AS429" s="5"/>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Déduction à la source</v>
      </c>
      <c r="B430" s="3"/>
      <c r="C430" s="38"/>
      <c r="D430" s="38"/>
      <c r="E430" s="38"/>
      <c r="F430" s="38"/>
      <c r="G430" s="38"/>
      <c r="H430" s="38"/>
      <c r="I430" s="38"/>
      <c r="J430" s="38"/>
      <c r="K430" s="38"/>
      <c r="L430" s="38"/>
      <c r="M430" s="549"/>
      <c r="N430" s="549"/>
      <c r="O430" s="549"/>
      <c r="P430" s="549"/>
      <c r="Q430" s="563"/>
      <c r="R430" s="38"/>
      <c r="U430" s="564"/>
      <c r="V430" s="310" t="s">
        <v>121</v>
      </c>
      <c r="W430" s="461" t="s">
        <v>612</v>
      </c>
      <c r="X430" s="454"/>
      <c r="Y430" s="454"/>
      <c r="Z430" s="455">
        <f t="shared" si="116"/>
        <v>0</v>
      </c>
      <c r="AA430" s="454"/>
      <c r="AB430" s="454"/>
      <c r="AC430" s="455"/>
      <c r="AD430" s="463"/>
      <c r="AE430" s="462"/>
      <c r="AF430" s="455">
        <f t="shared" si="117"/>
        <v>213520.73</v>
      </c>
      <c r="AG430" s="456"/>
      <c r="AH430" s="457">
        <f t="shared" si="114"/>
        <v>213520.73</v>
      </c>
      <c r="AI430" s="458">
        <f t="shared" si="115"/>
        <v>0</v>
      </c>
      <c r="AJ430" s="463"/>
      <c r="AK430" s="462"/>
      <c r="AL430" s="455">
        <f>SUMIFS(BV_Data_An_Prec!$AN:$AN,BV_Data_An_Prec!$AQ:$AQ,$V430)</f>
        <v>0</v>
      </c>
      <c r="AM430" s="459"/>
      <c r="AN430" s="457">
        <f t="shared" si="109"/>
        <v>213520.73</v>
      </c>
      <c r="AO430" s="464">
        <f t="shared" si="110"/>
        <v>0</v>
      </c>
      <c r="AP430" s="94"/>
      <c r="AQ430" s="571">
        <v>452089.25</v>
      </c>
      <c r="AR430" s="510">
        <f t="shared" si="111"/>
        <v>-238568.52</v>
      </c>
      <c r="AS430" s="5"/>
      <c r="AT430" s="38"/>
      <c r="AU430" s="38"/>
      <c r="AV430" s="38"/>
      <c r="AW430" s="38"/>
      <c r="AX430" s="38"/>
      <c r="AY430" s="38"/>
      <c r="AZ430" s="38"/>
      <c r="BA430" s="38"/>
      <c r="BB430" s="38"/>
      <c r="BC430" s="38"/>
      <c r="BD430" s="38"/>
      <c r="BE430" s="38"/>
      <c r="BF430" s="38"/>
      <c r="BG430" s="38"/>
      <c r="BH430" s="38"/>
      <c r="BI430" s="38"/>
    </row>
    <row r="431" spans="1:61" ht="20.25" customHeight="1">
      <c r="A431" s="5" t="str">
        <f t="shared" si="98"/>
        <v>Bénéfices marginaux</v>
      </c>
      <c r="B431" s="3"/>
      <c r="C431" s="38"/>
      <c r="D431" s="38"/>
      <c r="E431" s="38"/>
      <c r="F431" s="38"/>
      <c r="G431" s="38"/>
      <c r="H431" s="38"/>
      <c r="I431" s="38"/>
      <c r="J431" s="38"/>
      <c r="K431" s="38"/>
      <c r="L431" s="38"/>
      <c r="M431" s="549"/>
      <c r="N431" s="549"/>
      <c r="O431" s="549"/>
      <c r="P431" s="549"/>
      <c r="Q431" s="563"/>
      <c r="R431" s="38"/>
      <c r="S431" s="565"/>
      <c r="T431" s="565"/>
      <c r="U431" s="564"/>
      <c r="V431" s="310" t="s">
        <v>122</v>
      </c>
      <c r="W431" s="461" t="s">
        <v>613</v>
      </c>
      <c r="X431" s="454"/>
      <c r="Y431" s="454"/>
      <c r="Z431" s="455">
        <f t="shared" si="116"/>
        <v>0</v>
      </c>
      <c r="AA431" s="454"/>
      <c r="AB431" s="454"/>
      <c r="AC431" s="455"/>
      <c r="AD431" s="463"/>
      <c r="AE431" s="462"/>
      <c r="AF431" s="455">
        <f t="shared" si="117"/>
        <v>16828.690000000002</v>
      </c>
      <c r="AG431" s="456"/>
      <c r="AH431" s="457">
        <f t="shared" si="114"/>
        <v>16828.690000000002</v>
      </c>
      <c r="AI431" s="458">
        <f t="shared" si="115"/>
        <v>0</v>
      </c>
      <c r="AJ431" s="463"/>
      <c r="AK431" s="462"/>
      <c r="AL431" s="455">
        <f>SUMIFS(BV_Data_An_Prec!$AN:$AN,BV_Data_An_Prec!$AQ:$AQ,$V431)</f>
        <v>0</v>
      </c>
      <c r="AM431" s="459"/>
      <c r="AN431" s="457">
        <f t="shared" si="109"/>
        <v>16828.690000000002</v>
      </c>
      <c r="AO431" s="464">
        <f t="shared" si="110"/>
        <v>0</v>
      </c>
      <c r="AP431" s="94"/>
      <c r="AQ431" s="571">
        <v>250596.99999999997</v>
      </c>
      <c r="AR431" s="510">
        <f t="shared" si="111"/>
        <v>-233768.30999999997</v>
      </c>
      <c r="AT431" s="38"/>
      <c r="AU431" s="38"/>
      <c r="AV431" s="38"/>
      <c r="AW431" s="38"/>
      <c r="AX431" s="38"/>
      <c r="AY431" s="38"/>
      <c r="AZ431" s="38"/>
      <c r="BA431" s="38"/>
      <c r="BB431" s="38"/>
      <c r="BC431" s="38"/>
      <c r="BD431" s="38"/>
      <c r="BE431" s="38"/>
      <c r="BF431" s="38"/>
      <c r="BG431" s="38"/>
      <c r="BH431" s="38"/>
      <c r="BI431" s="38"/>
    </row>
    <row r="432" spans="1:61" ht="15.75" customHeight="1">
      <c r="A432" s="5" t="str">
        <f t="shared" si="98"/>
        <v>Csst</v>
      </c>
      <c r="B432" s="3"/>
      <c r="C432" s="38"/>
      <c r="D432" s="38"/>
      <c r="E432" s="38"/>
      <c r="F432" s="38"/>
      <c r="G432" s="38"/>
      <c r="H432" s="38"/>
      <c r="I432" s="38"/>
      <c r="J432" s="38"/>
      <c r="K432" s="38"/>
      <c r="L432" s="38"/>
      <c r="M432" s="549"/>
      <c r="N432" s="549"/>
      <c r="O432" s="549"/>
      <c r="P432" s="549"/>
      <c r="Q432" s="563"/>
      <c r="R432" s="38"/>
      <c r="S432" s="565"/>
      <c r="T432" s="565"/>
      <c r="U432" s="564"/>
      <c r="V432" s="310" t="s">
        <v>123</v>
      </c>
      <c r="W432" s="461"/>
      <c r="X432" s="454"/>
      <c r="Y432" s="454"/>
      <c r="Z432" s="455">
        <f t="shared" si="116"/>
        <v>0</v>
      </c>
      <c r="AA432" s="454"/>
      <c r="AB432" s="454"/>
      <c r="AC432" s="455"/>
      <c r="AD432" s="463"/>
      <c r="AE432" s="462"/>
      <c r="AF432" s="455">
        <f t="shared" si="117"/>
        <v>0</v>
      </c>
      <c r="AG432" s="456"/>
      <c r="AH432" s="457">
        <f t="shared" si="114"/>
        <v>0</v>
      </c>
      <c r="AI432" s="477">
        <f t="shared" si="115"/>
        <v>0</v>
      </c>
      <c r="AJ432" s="463"/>
      <c r="AK432" s="462"/>
      <c r="AL432" s="455">
        <f>SUMIFS(BV_Data_An_Prec!$AN:$AN,BV_Data_An_Prec!$AQ:$AQ,$V432)</f>
        <v>0</v>
      </c>
      <c r="AM432" s="459"/>
      <c r="AN432" s="457">
        <f t="shared" si="109"/>
        <v>0</v>
      </c>
      <c r="AO432" s="464">
        <f t="shared" si="110"/>
        <v>0</v>
      </c>
      <c r="AP432" s="94"/>
      <c r="AQ432" s="571">
        <v>185602.45</v>
      </c>
      <c r="AR432" s="510">
        <f t="shared" si="111"/>
        <v>-185602.45</v>
      </c>
      <c r="AT432" s="38"/>
      <c r="AU432" s="38"/>
      <c r="AV432" s="38"/>
      <c r="AW432" s="38"/>
      <c r="AX432" s="38"/>
      <c r="AY432" s="38"/>
      <c r="AZ432" s="38"/>
      <c r="BA432" s="38"/>
      <c r="BB432" s="38"/>
      <c r="BC432" s="38"/>
      <c r="BD432" s="38"/>
      <c r="BE432" s="38"/>
      <c r="BF432" s="38"/>
      <c r="BG432" s="38"/>
      <c r="BH432" s="38"/>
      <c r="BI432" s="38"/>
    </row>
    <row r="433" spans="1:62" ht="15.75" hidden="1" customHeight="1">
      <c r="A433" s="5" t="str">
        <f t="shared" si="98"/>
        <v>[...]</v>
      </c>
      <c r="B433" s="3"/>
      <c r="C433" s="38"/>
      <c r="D433" s="38"/>
      <c r="E433" s="38"/>
      <c r="F433" s="38"/>
      <c r="G433" s="38"/>
      <c r="H433" s="38"/>
      <c r="I433" s="38"/>
      <c r="J433" s="38"/>
      <c r="K433" s="38"/>
      <c r="L433" s="38"/>
      <c r="M433" s="38"/>
      <c r="N433" s="38"/>
      <c r="O433" s="38"/>
      <c r="P433" s="549"/>
      <c r="Q433" s="563"/>
      <c r="R433" s="38"/>
      <c r="S433" s="565"/>
      <c r="T433" s="565"/>
      <c r="U433" s="38"/>
      <c r="V433" s="252" t="s">
        <v>55</v>
      </c>
      <c r="W433" s="461"/>
      <c r="X433" s="454"/>
      <c r="Y433" s="462"/>
      <c r="Z433" s="455">
        <f t="shared" si="116"/>
        <v>0</v>
      </c>
      <c r="AA433" s="454"/>
      <c r="AB433" s="462"/>
      <c r="AC433" s="455"/>
      <c r="AD433" s="463"/>
      <c r="AE433" s="462"/>
      <c r="AF433" s="455">
        <f t="shared" si="117"/>
        <v>0</v>
      </c>
      <c r="AG433" s="456"/>
      <c r="AH433" s="457">
        <f t="shared" si="114"/>
        <v>0</v>
      </c>
      <c r="AI433" s="458">
        <f t="shared" si="115"/>
        <v>0</v>
      </c>
      <c r="AJ433" s="463"/>
      <c r="AK433" s="462"/>
      <c r="AL433" s="455"/>
      <c r="AM433" s="459"/>
      <c r="AN433" s="457"/>
      <c r="AO433" s="444"/>
      <c r="AP433" s="94"/>
      <c r="AQ433" s="571">
        <v>0</v>
      </c>
      <c r="AR433" s="510">
        <f t="shared" si="111"/>
        <v>0</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TOTAL PERSONNEL</v>
      </c>
      <c r="B434" s="3"/>
      <c r="C434" s="38"/>
      <c r="D434" s="38"/>
      <c r="E434" s="38"/>
      <c r="F434" s="38"/>
      <c r="G434" s="38"/>
      <c r="H434" s="38"/>
      <c r="I434" s="38"/>
      <c r="J434" s="38"/>
      <c r="K434" s="38"/>
      <c r="O434" s="147"/>
      <c r="Q434" s="575"/>
      <c r="R434" s="38"/>
      <c r="S434" s="565"/>
      <c r="T434" s="565"/>
      <c r="U434" s="38"/>
      <c r="V434" s="469" t="s">
        <v>124</v>
      </c>
      <c r="W434" s="470"/>
      <c r="X434" s="471" t="e">
        <f>Z434/Z408</f>
        <v>#DIV/0!</v>
      </c>
      <c r="Y434" s="470"/>
      <c r="Z434" s="472">
        <f>SUM(Z421:Z433)</f>
        <v>0</v>
      </c>
      <c r="AA434" s="471"/>
      <c r="AB434" s="470"/>
      <c r="AC434" s="472"/>
      <c r="AD434" s="473">
        <f>AF434/AF408</f>
        <v>0.28543393886720908</v>
      </c>
      <c r="AE434" s="478"/>
      <c r="AF434" s="472">
        <f>SUM(AF421:AF433)</f>
        <v>1028856.6000000001</v>
      </c>
      <c r="AG434" s="474"/>
      <c r="AH434" s="475">
        <f t="shared" si="114"/>
        <v>1028856.6000000001</v>
      </c>
      <c r="AI434" s="471" t="e">
        <f>AH434/Z434</f>
        <v>#DIV/0!</v>
      </c>
      <c r="AJ434" s="473">
        <f>IF($AL$408=0,0,AL434/$AL$408)</f>
        <v>0</v>
      </c>
      <c r="AK434" s="478"/>
      <c r="AL434" s="472">
        <f>SUM(AL421:AL433)</f>
        <v>0</v>
      </c>
      <c r="AM434" s="480"/>
      <c r="AN434" s="475">
        <f t="shared" ref="AN434:AN452" si="118">AF434-AL434</f>
        <v>1028856.6000000001</v>
      </c>
      <c r="AO434" s="452">
        <f t="shared" ref="AO434:AO462" si="119">IF(AL434=0,0,AN434/AL434)</f>
        <v>0</v>
      </c>
      <c r="AP434" s="94"/>
      <c r="AQ434" s="573">
        <v>3367938.6900000004</v>
      </c>
      <c r="AR434" s="574">
        <f t="shared" si="111"/>
        <v>-2339082.0900000003</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Publicité 2</v>
      </c>
      <c r="B435" s="3"/>
      <c r="C435" s="38"/>
      <c r="D435" s="38"/>
      <c r="E435" s="38"/>
      <c r="F435" s="38"/>
      <c r="G435" s="38"/>
      <c r="H435" s="38"/>
      <c r="I435" s="38"/>
      <c r="J435" s="38"/>
      <c r="K435" s="38"/>
      <c r="L435" s="38"/>
      <c r="M435" s="147"/>
      <c r="N435" s="561"/>
      <c r="O435" s="576"/>
      <c r="P435" s="549"/>
      <c r="Q435" s="563"/>
      <c r="R435" s="38"/>
      <c r="U435" s="38"/>
      <c r="V435" s="404" t="s">
        <v>125</v>
      </c>
      <c r="W435" s="481" t="s">
        <v>604</v>
      </c>
      <c r="X435" s="482"/>
      <c r="Y435" s="482"/>
      <c r="Z435" s="483">
        <f t="shared" ref="Z435:Z452" si="120">+SUMIF($C:$C,$V435,F:F)</f>
        <v>0</v>
      </c>
      <c r="AA435" s="482"/>
      <c r="AB435" s="482"/>
      <c r="AC435" s="483"/>
      <c r="AD435" s="484"/>
      <c r="AE435" s="485"/>
      <c r="AF435" s="483">
        <f>+SUMIF($C:$C,$V435,L:L)</f>
        <v>68134.349999999991</v>
      </c>
      <c r="AG435" s="484"/>
      <c r="AH435" s="486">
        <f t="shared" si="114"/>
        <v>68134.349999999991</v>
      </c>
      <c r="AI435" s="487">
        <f t="shared" ref="AI435:AI452" si="121">IF(Z435=0,0,AH435/Z435)</f>
        <v>0</v>
      </c>
      <c r="AJ435" s="484"/>
      <c r="AK435" s="485"/>
      <c r="AL435" s="483">
        <f>SUMIFS(BV_Data_An_Prec!$AN:$AN,BV_Data_An_Prec!$AQ:$AQ,$V435)</f>
        <v>0</v>
      </c>
      <c r="AM435" s="488"/>
      <c r="AN435" s="486">
        <f t="shared" si="118"/>
        <v>68134.349999999991</v>
      </c>
      <c r="AO435" s="460">
        <f t="shared" si="119"/>
        <v>0</v>
      </c>
      <c r="AP435" s="94"/>
      <c r="AQ435" s="577">
        <v>176878.05000000002</v>
      </c>
      <c r="AR435" s="504">
        <f t="shared" si="111"/>
        <v>-108743.70000000003</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Service gratuit 2</v>
      </c>
      <c r="B436" s="3"/>
      <c r="C436" s="38"/>
      <c r="D436" s="38"/>
      <c r="E436" s="38"/>
      <c r="F436" s="38"/>
      <c r="G436" s="38"/>
      <c r="H436" s="38"/>
      <c r="I436" s="38"/>
      <c r="J436" s="38"/>
      <c r="K436" s="38"/>
      <c r="L436" s="38"/>
      <c r="M436" s="38"/>
      <c r="O436" s="561"/>
      <c r="P436" s="147"/>
      <c r="Q436" s="563"/>
      <c r="R436" s="38"/>
      <c r="U436" s="38"/>
      <c r="V436" s="310" t="s">
        <v>126</v>
      </c>
      <c r="W436" s="461" t="s">
        <v>614</v>
      </c>
      <c r="X436" s="454"/>
      <c r="Y436" s="454"/>
      <c r="Z436" s="455">
        <f t="shared" si="120"/>
        <v>0</v>
      </c>
      <c r="AA436" s="454"/>
      <c r="AB436" s="454"/>
      <c r="AC436" s="455"/>
      <c r="AD436" s="463"/>
      <c r="AE436" s="462"/>
      <c r="AF436" s="455">
        <f>+SUMIF($C:$C,$V436,L:L)</f>
        <v>0</v>
      </c>
      <c r="AG436" s="456"/>
      <c r="AH436" s="457">
        <f t="shared" si="114"/>
        <v>0</v>
      </c>
      <c r="AI436" s="458">
        <f t="shared" si="121"/>
        <v>0</v>
      </c>
      <c r="AJ436" s="463"/>
      <c r="AK436" s="462"/>
      <c r="AL436" s="455">
        <f>SUMIFS(BV_Data_An_Prec!$AN:$AN,BV_Data_An_Prec!$AQ:$AQ,$V436)</f>
        <v>0</v>
      </c>
      <c r="AM436" s="459"/>
      <c r="AN436" s="457">
        <f t="shared" si="118"/>
        <v>0</v>
      </c>
      <c r="AO436" s="464">
        <f t="shared" si="119"/>
        <v>0</v>
      </c>
      <c r="AP436" s="94"/>
      <c r="AQ436" s="571">
        <v>67659.239999999991</v>
      </c>
      <c r="AR436" s="510">
        <f t="shared" si="111"/>
        <v>-67659.239999999991</v>
      </c>
      <c r="AT436" s="38"/>
      <c r="AU436" s="38"/>
      <c r="AV436" s="38"/>
      <c r="AW436" s="38"/>
      <c r="AX436" s="38"/>
      <c r="AY436" s="38"/>
      <c r="AZ436" s="38"/>
      <c r="BA436" s="38"/>
      <c r="BB436" s="38"/>
      <c r="BC436" s="38"/>
      <c r="BD436" s="38"/>
      <c r="BE436" s="38"/>
      <c r="BF436" s="38"/>
      <c r="BG436" s="38"/>
      <c r="BH436" s="38"/>
      <c r="BI436" s="38"/>
    </row>
    <row r="437" spans="1:62" ht="15.75" customHeight="1">
      <c r="A437" s="5" t="str">
        <f t="shared" si="98"/>
        <v>Frais véhicules de cie</v>
      </c>
      <c r="B437" s="3"/>
      <c r="C437" s="38"/>
      <c r="D437" s="38"/>
      <c r="E437" s="38"/>
      <c r="F437" s="38"/>
      <c r="G437" s="38"/>
      <c r="H437" s="38"/>
      <c r="I437" s="38"/>
      <c r="J437" s="38"/>
      <c r="K437" s="38"/>
      <c r="L437" s="38"/>
      <c r="M437" s="549"/>
      <c r="N437" s="549"/>
      <c r="O437" s="549"/>
      <c r="P437" s="147"/>
      <c r="Q437" s="563"/>
      <c r="R437" s="38"/>
      <c r="U437" s="38"/>
      <c r="V437" s="311" t="s">
        <v>127</v>
      </c>
      <c r="W437" s="465" t="s">
        <v>615</v>
      </c>
      <c r="X437" s="438"/>
      <c r="Y437" s="438"/>
      <c r="Z437" s="439">
        <f t="shared" si="120"/>
        <v>0</v>
      </c>
      <c r="AA437" s="438"/>
      <c r="AB437" s="438"/>
      <c r="AC437" s="439"/>
      <c r="AD437" s="467"/>
      <c r="AE437" s="466"/>
      <c r="AF437" s="439">
        <f>+SUMIF($C:$C,$V437,L:L)</f>
        <v>-12208.629999999997</v>
      </c>
      <c r="AG437" s="440"/>
      <c r="AH437" s="441">
        <f t="shared" si="114"/>
        <v>-12208.629999999997</v>
      </c>
      <c r="AI437" s="468">
        <f t="shared" si="121"/>
        <v>0</v>
      </c>
      <c r="AJ437" s="467"/>
      <c r="AK437" s="466"/>
      <c r="AL437" s="439">
        <f>SUMIFS(BV_Data_An_Prec!$AN:$AN,BV_Data_An_Prec!$AQ:$AQ,$V437)</f>
        <v>0</v>
      </c>
      <c r="AM437" s="443"/>
      <c r="AN437" s="441">
        <f t="shared" si="118"/>
        <v>-12208.629999999997</v>
      </c>
      <c r="AO437" s="444">
        <f t="shared" si="119"/>
        <v>0</v>
      </c>
      <c r="AP437" s="94"/>
      <c r="AQ437" s="572">
        <v>276796.59999999998</v>
      </c>
      <c r="AR437" s="569">
        <f t="shared" si="111"/>
        <v>-289005.23</v>
      </c>
      <c r="AS437" s="5"/>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Informatique</v>
      </c>
      <c r="B438" s="3"/>
      <c r="C438" s="38"/>
      <c r="D438" s="38"/>
      <c r="E438" s="38"/>
      <c r="F438" s="38"/>
      <c r="G438" s="38"/>
      <c r="H438" s="38"/>
      <c r="I438" s="38"/>
      <c r="J438" s="38"/>
      <c r="K438" s="38"/>
      <c r="L438" s="38"/>
      <c r="M438" s="549"/>
      <c r="N438" s="549"/>
      <c r="O438" s="549"/>
      <c r="P438" s="147"/>
      <c r="Q438" s="563"/>
      <c r="R438" s="38"/>
      <c r="U438" s="38"/>
      <c r="V438" s="310" t="s">
        <v>128</v>
      </c>
      <c r="W438" s="461" t="s">
        <v>616</v>
      </c>
      <c r="X438" s="454"/>
      <c r="Y438" s="454"/>
      <c r="Z438" s="455">
        <f t="shared" si="120"/>
        <v>0</v>
      </c>
      <c r="AA438" s="454"/>
      <c r="AB438" s="454"/>
      <c r="AC438" s="455"/>
      <c r="AD438" s="463"/>
      <c r="AE438" s="462"/>
      <c r="AF438" s="455">
        <f>+SUMIF($C:$C,$V438,L:L)</f>
        <v>34978.47</v>
      </c>
      <c r="AG438" s="456"/>
      <c r="AH438" s="457">
        <f t="shared" si="114"/>
        <v>34978.47</v>
      </c>
      <c r="AI438" s="458">
        <f t="shared" si="121"/>
        <v>0</v>
      </c>
      <c r="AJ438" s="463"/>
      <c r="AK438" s="462"/>
      <c r="AL438" s="455">
        <f>SUMIFS(BV_Data_An_Prec!$AN:$AN,BV_Data_An_Prec!$AQ:$AQ,$V438)</f>
        <v>0</v>
      </c>
      <c r="AM438" s="459"/>
      <c r="AN438" s="457">
        <f t="shared" si="118"/>
        <v>34978.47</v>
      </c>
      <c r="AO438" s="464">
        <f t="shared" si="119"/>
        <v>0</v>
      </c>
      <c r="AP438" s="94"/>
      <c r="AQ438" s="571">
        <v>239193.79</v>
      </c>
      <c r="AR438" s="510">
        <f t="shared" si="111"/>
        <v>-204215.32</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Frais de déplacement</v>
      </c>
      <c r="B439" s="3"/>
      <c r="C439" s="38"/>
      <c r="D439" s="38"/>
      <c r="E439" s="38"/>
      <c r="F439" s="38"/>
      <c r="G439" s="38"/>
      <c r="H439" s="38"/>
      <c r="I439" s="38"/>
      <c r="J439" s="38"/>
      <c r="K439" s="38"/>
      <c r="L439" s="38"/>
      <c r="M439" s="549"/>
      <c r="N439" s="549"/>
      <c r="O439" s="549"/>
      <c r="P439" s="147"/>
      <c r="Q439" s="563"/>
      <c r="R439" s="38"/>
      <c r="U439" s="38"/>
      <c r="V439" s="310" t="s">
        <v>129</v>
      </c>
      <c r="W439" s="461" t="s">
        <v>617</v>
      </c>
      <c r="X439" s="454"/>
      <c r="Y439" s="454"/>
      <c r="Z439" s="455">
        <f t="shared" si="120"/>
        <v>0</v>
      </c>
      <c r="AA439" s="454"/>
      <c r="AB439" s="454"/>
      <c r="AC439" s="455"/>
      <c r="AD439" s="463"/>
      <c r="AE439" s="462"/>
      <c r="AF439" s="455">
        <f>+SUMIF($C:$C,$V439,L:L)</f>
        <v>25808.25</v>
      </c>
      <c r="AG439" s="456"/>
      <c r="AH439" s="457">
        <f t="shared" si="114"/>
        <v>25808.25</v>
      </c>
      <c r="AI439" s="458">
        <f t="shared" si="121"/>
        <v>0</v>
      </c>
      <c r="AJ439" s="463"/>
      <c r="AK439" s="462"/>
      <c r="AL439" s="455">
        <f>SUMIFS(BV_Data_An_Prec!$AN:$AN,BV_Data_An_Prec!$AQ:$AQ,$V439)</f>
        <v>0</v>
      </c>
      <c r="AM439" s="459"/>
      <c r="AN439" s="457">
        <f t="shared" si="118"/>
        <v>25808.25</v>
      </c>
      <c r="AO439" s="464">
        <f t="shared" si="119"/>
        <v>0</v>
      </c>
      <c r="AP439" s="94"/>
      <c r="AQ439" s="571">
        <v>42486.400000000001</v>
      </c>
      <c r="AR439" s="510">
        <f t="shared" si="111"/>
        <v>-16678.150000000001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tr">
        <f t="shared" si="98"/>
        <v>Services extérieurs</v>
      </c>
      <c r="B440" s="3"/>
      <c r="C440" s="38"/>
      <c r="D440" s="38"/>
      <c r="E440" s="38"/>
      <c r="F440" s="38"/>
      <c r="G440" s="38"/>
      <c r="H440" s="38"/>
      <c r="I440" s="38"/>
      <c r="J440" s="38"/>
      <c r="K440" s="38"/>
      <c r="L440" s="38"/>
      <c r="M440" s="38"/>
      <c r="N440" s="38"/>
      <c r="O440" s="549"/>
      <c r="P440" s="147"/>
      <c r="Q440" s="563"/>
      <c r="R440" s="38"/>
      <c r="U440" s="38"/>
      <c r="V440" s="310" t="s">
        <v>130</v>
      </c>
      <c r="W440" s="461" t="s">
        <v>618</v>
      </c>
      <c r="X440" s="454"/>
      <c r="Y440" s="454"/>
      <c r="Z440" s="455">
        <f t="shared" si="120"/>
        <v>0</v>
      </c>
      <c r="AA440" s="454"/>
      <c r="AB440" s="454"/>
      <c r="AC440" s="455"/>
      <c r="AD440" s="463"/>
      <c r="AE440" s="462"/>
      <c r="AF440" s="455">
        <f>SUMIFS(BV_Data_An_Cour!$AN:$AN,BV_Data_An_Cour!$AQ:$AQ,$V440)</f>
        <v>176608.28</v>
      </c>
      <c r="AG440" s="456"/>
      <c r="AH440" s="457">
        <f t="shared" si="114"/>
        <v>176608.28</v>
      </c>
      <c r="AI440" s="458">
        <f t="shared" si="121"/>
        <v>0</v>
      </c>
      <c r="AJ440" s="463"/>
      <c r="AK440" s="462"/>
      <c r="AL440" s="455">
        <f>SUMIFS(BV_Data_An_Prec!$AN:$AN,BV_Data_An_Prec!$AQ:$AQ,$V440)</f>
        <v>0</v>
      </c>
      <c r="AM440" s="459"/>
      <c r="AN440" s="457">
        <f t="shared" si="118"/>
        <v>176608.28</v>
      </c>
      <c r="AO440" s="464">
        <f t="shared" si="119"/>
        <v>0</v>
      </c>
      <c r="AP440" s="94"/>
      <c r="AQ440" s="571">
        <v>240398.68</v>
      </c>
      <c r="AR440" s="510">
        <f t="shared" si="111"/>
        <v>-63790.399999999994</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
        <v>483</v>
      </c>
      <c r="B441" s="3"/>
      <c r="C441" s="38"/>
      <c r="D441" s="38"/>
      <c r="E441" s="38"/>
      <c r="F441" s="38"/>
      <c r="G441" s="38"/>
      <c r="H441" s="38"/>
      <c r="I441" s="38"/>
      <c r="J441" s="38"/>
      <c r="K441" s="38"/>
      <c r="M441" s="147"/>
      <c r="N441" s="561"/>
      <c r="O441" s="561"/>
      <c r="P441" s="147"/>
      <c r="Q441" s="38"/>
      <c r="R441" s="38"/>
      <c r="U441" s="38"/>
      <c r="V441" s="404" t="s">
        <v>483</v>
      </c>
      <c r="W441" s="481"/>
      <c r="X441" s="482"/>
      <c r="Y441" s="482"/>
      <c r="Z441" s="483">
        <f t="shared" si="120"/>
        <v>0</v>
      </c>
      <c r="AA441" s="482"/>
      <c r="AB441" s="482"/>
      <c r="AC441" s="483"/>
      <c r="AD441" s="484"/>
      <c r="AE441" s="485"/>
      <c r="AF441" s="483">
        <f t="shared" ref="AF441:AF446" si="122">+SUMIF($C:$C,$V441,L:L)</f>
        <v>24415.31</v>
      </c>
      <c r="AG441" s="490"/>
      <c r="AH441" s="486">
        <f t="shared" si="114"/>
        <v>24415.31</v>
      </c>
      <c r="AI441" s="487">
        <f t="shared" si="121"/>
        <v>0</v>
      </c>
      <c r="AJ441" s="484"/>
      <c r="AK441" s="485"/>
      <c r="AL441" s="483">
        <f>SUMIFS(BV_Data_An_Prec!$AN:$AN,BV_Data_An_Prec!$AQ:$AQ,$V441)</f>
        <v>0</v>
      </c>
      <c r="AM441" s="488"/>
      <c r="AN441" s="486">
        <f t="shared" si="118"/>
        <v>24415.31</v>
      </c>
      <c r="AO441" s="460">
        <f t="shared" si="119"/>
        <v>0</v>
      </c>
      <c r="AP441" s="94"/>
      <c r="AQ441" s="577">
        <v>0</v>
      </c>
      <c r="AR441" s="504">
        <f t="shared" si="111"/>
        <v>24415.31</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ref="A442:A499" si="123">+U442&amp;V442</f>
        <v>Fournitures autres</v>
      </c>
      <c r="B442" s="3"/>
      <c r="C442" s="38"/>
      <c r="D442" s="38"/>
      <c r="E442" s="38"/>
      <c r="F442" s="38"/>
      <c r="G442" s="38"/>
      <c r="H442" s="38"/>
      <c r="I442" s="38"/>
      <c r="J442" s="38"/>
      <c r="K442" s="38"/>
      <c r="L442" s="38"/>
      <c r="M442" s="38"/>
      <c r="N442" s="38"/>
      <c r="O442" s="38"/>
      <c r="P442" s="578"/>
      <c r="Q442" s="94"/>
      <c r="R442" s="38"/>
      <c r="S442" s="38"/>
      <c r="T442" s="38"/>
      <c r="U442" s="38"/>
      <c r="V442" s="310" t="s">
        <v>131</v>
      </c>
      <c r="W442" s="461" t="s">
        <v>619</v>
      </c>
      <c r="X442" s="454"/>
      <c r="Y442" s="462"/>
      <c r="Z442" s="455">
        <f t="shared" si="120"/>
        <v>0</v>
      </c>
      <c r="AA442" s="454"/>
      <c r="AB442" s="462"/>
      <c r="AC442" s="455"/>
      <c r="AD442" s="463"/>
      <c r="AE442" s="462"/>
      <c r="AF442" s="455">
        <f t="shared" si="122"/>
        <v>0</v>
      </c>
      <c r="AG442" s="456"/>
      <c r="AH442" s="457">
        <f t="shared" si="114"/>
        <v>0</v>
      </c>
      <c r="AI442" s="458">
        <f t="shared" si="121"/>
        <v>0</v>
      </c>
      <c r="AJ442" s="463"/>
      <c r="AK442" s="462"/>
      <c r="AL442" s="455">
        <f>SUMIFS(BV_Data_An_Prec!$AN:$AN,BV_Data_An_Prec!$AQ:$AQ,$V442)</f>
        <v>0</v>
      </c>
      <c r="AM442" s="459"/>
      <c r="AN442" s="457">
        <f t="shared" si="118"/>
        <v>0</v>
      </c>
      <c r="AO442" s="464">
        <f t="shared" si="119"/>
        <v>0</v>
      </c>
      <c r="AP442" s="94"/>
      <c r="AQ442" s="571">
        <v>30518.469999999998</v>
      </c>
      <c r="AR442" s="510">
        <f t="shared" si="111"/>
        <v>-30518.469999999998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3"/>
        <v>Uniformes</v>
      </c>
      <c r="B443" s="3"/>
      <c r="C443" s="38"/>
      <c r="D443" s="38"/>
      <c r="E443" s="38"/>
      <c r="F443" s="38"/>
      <c r="G443" s="38"/>
      <c r="H443" s="38"/>
      <c r="I443" s="38"/>
      <c r="J443" s="38"/>
      <c r="K443" s="38"/>
      <c r="L443" s="38"/>
      <c r="M443" s="38"/>
      <c r="N443" s="38"/>
      <c r="O443" s="38"/>
      <c r="Q443" s="94"/>
      <c r="S443" s="38"/>
      <c r="T443" s="38"/>
      <c r="U443" s="38"/>
      <c r="V443" s="310" t="s">
        <v>132</v>
      </c>
      <c r="W443" s="461" t="s">
        <v>620</v>
      </c>
      <c r="X443" s="454"/>
      <c r="Y443" s="454"/>
      <c r="Z443" s="455">
        <f t="shared" si="120"/>
        <v>0</v>
      </c>
      <c r="AA443" s="454"/>
      <c r="AB443" s="454"/>
      <c r="AC443" s="455"/>
      <c r="AD443" s="463"/>
      <c r="AE443" s="462"/>
      <c r="AF443" s="455">
        <f t="shared" si="122"/>
        <v>9710.93</v>
      </c>
      <c r="AG443" s="456"/>
      <c r="AH443" s="457">
        <f t="shared" si="114"/>
        <v>9710.93</v>
      </c>
      <c r="AI443" s="477">
        <f t="shared" si="121"/>
        <v>0</v>
      </c>
      <c r="AJ443" s="463"/>
      <c r="AK443" s="462"/>
      <c r="AL443" s="455">
        <f>SUMIFS(BV_Data_An_Prec!$AN:$AN,BV_Data_An_Prec!$AQ:$AQ,$V443)</f>
        <v>0</v>
      </c>
      <c r="AM443" s="459"/>
      <c r="AN443" s="457">
        <f t="shared" si="118"/>
        <v>9710.93</v>
      </c>
      <c r="AO443" s="464">
        <f t="shared" si="119"/>
        <v>0</v>
      </c>
      <c r="AP443" s="94"/>
      <c r="AQ443" s="571">
        <v>14808.84</v>
      </c>
      <c r="AR443" s="510">
        <f t="shared" si="111"/>
        <v>-5097.91</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3"/>
        <v>Papeterie</v>
      </c>
      <c r="B444" s="3"/>
      <c r="C444" s="38"/>
      <c r="D444" s="38"/>
      <c r="E444" s="38"/>
      <c r="F444" s="38"/>
      <c r="G444" s="38"/>
      <c r="H444" s="38"/>
      <c r="I444" s="38"/>
      <c r="J444" s="38"/>
      <c r="K444" s="38"/>
      <c r="L444" s="38"/>
      <c r="M444" s="38"/>
      <c r="N444" s="38"/>
      <c r="O444" s="38"/>
      <c r="P444" s="578"/>
      <c r="Q444" s="94"/>
      <c r="R444" s="38"/>
      <c r="S444" s="38"/>
      <c r="T444" s="38"/>
      <c r="U444" s="38"/>
      <c r="V444" s="310" t="s">
        <v>133</v>
      </c>
      <c r="W444" s="461" t="s">
        <v>621</v>
      </c>
      <c r="X444" s="454"/>
      <c r="Y444" s="454"/>
      <c r="Z444" s="455">
        <f t="shared" si="120"/>
        <v>0</v>
      </c>
      <c r="AA444" s="454"/>
      <c r="AB444" s="454"/>
      <c r="AC444" s="455"/>
      <c r="AD444" s="463"/>
      <c r="AE444" s="462"/>
      <c r="AF444" s="455">
        <f t="shared" si="122"/>
        <v>13819.13</v>
      </c>
      <c r="AG444" s="456"/>
      <c r="AH444" s="457">
        <f t="shared" si="114"/>
        <v>13819.13</v>
      </c>
      <c r="AI444" s="458">
        <f t="shared" si="121"/>
        <v>0</v>
      </c>
      <c r="AJ444" s="463"/>
      <c r="AK444" s="462"/>
      <c r="AL444" s="455">
        <f>SUMIFS(BV_Data_An_Prec!$AN:$AN,BV_Data_An_Prec!$AQ:$AQ,$V444)</f>
        <v>0</v>
      </c>
      <c r="AM444" s="459"/>
      <c r="AN444" s="457">
        <f t="shared" si="118"/>
        <v>13819.13</v>
      </c>
      <c r="AO444" s="464">
        <f t="shared" si="119"/>
        <v>0</v>
      </c>
      <c r="AP444" s="94"/>
      <c r="AQ444" s="571">
        <v>30323.510000000002</v>
      </c>
      <c r="AR444" s="510">
        <f t="shared" si="111"/>
        <v>-16504.380000000005</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3"/>
        <v>Téléphone</v>
      </c>
      <c r="B445" s="3"/>
      <c r="C445" s="38"/>
      <c r="D445" s="38"/>
      <c r="E445" s="38"/>
      <c r="F445" s="38"/>
      <c r="G445" s="38"/>
      <c r="H445" s="38"/>
      <c r="I445" s="38"/>
      <c r="J445" s="38"/>
      <c r="K445" s="38"/>
      <c r="L445" s="38"/>
      <c r="M445" s="38"/>
      <c r="N445" s="38"/>
      <c r="O445" s="38"/>
      <c r="P445" s="38"/>
      <c r="Q445" s="94"/>
      <c r="S445" s="38"/>
      <c r="T445" s="38"/>
      <c r="U445" s="38"/>
      <c r="V445" s="310" t="s">
        <v>134</v>
      </c>
      <c r="W445" s="461" t="s">
        <v>622</v>
      </c>
      <c r="X445" s="454"/>
      <c r="Y445" s="454"/>
      <c r="Z445" s="455">
        <f t="shared" si="120"/>
        <v>0</v>
      </c>
      <c r="AA445" s="454"/>
      <c r="AB445" s="454"/>
      <c r="AC445" s="455"/>
      <c r="AD445" s="463"/>
      <c r="AE445" s="462"/>
      <c r="AF445" s="455">
        <f t="shared" si="122"/>
        <v>1946.98</v>
      </c>
      <c r="AG445" s="456"/>
      <c r="AH445" s="457">
        <f t="shared" si="114"/>
        <v>1946.98</v>
      </c>
      <c r="AI445" s="477">
        <f t="shared" si="121"/>
        <v>0</v>
      </c>
      <c r="AJ445" s="463"/>
      <c r="AK445" s="462"/>
      <c r="AL445" s="455">
        <f>SUMIFS(BV_Data_An_Prec!$AN:$AN,BV_Data_An_Prec!$AQ:$AQ,$V445)</f>
        <v>0</v>
      </c>
      <c r="AM445" s="459"/>
      <c r="AN445" s="457">
        <f t="shared" si="118"/>
        <v>1946.98</v>
      </c>
      <c r="AO445" s="464">
        <f t="shared" si="119"/>
        <v>0</v>
      </c>
      <c r="AP445" s="94"/>
      <c r="AQ445" s="571">
        <v>8588.4900000000016</v>
      </c>
      <c r="AR445" s="510">
        <f t="shared" si="111"/>
        <v>-6641.510000000002</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3"/>
        <v>Frais postaux</v>
      </c>
      <c r="B446" s="3"/>
      <c r="C446" s="38"/>
      <c r="D446" s="38"/>
      <c r="E446" s="38"/>
      <c r="F446" s="38"/>
      <c r="G446" s="38"/>
      <c r="H446" s="38"/>
      <c r="I446" s="38"/>
      <c r="J446" s="38"/>
      <c r="K446" s="38"/>
      <c r="L446" s="38"/>
      <c r="M446" s="38"/>
      <c r="N446" s="38"/>
      <c r="O446" s="38"/>
      <c r="P446" s="38"/>
      <c r="Q446" s="94"/>
      <c r="S446" s="38"/>
      <c r="T446" s="38"/>
      <c r="U446" s="38"/>
      <c r="V446" s="310" t="s">
        <v>135</v>
      </c>
      <c r="W446" s="461" t="s">
        <v>623</v>
      </c>
      <c r="X446" s="454"/>
      <c r="Y446" s="454"/>
      <c r="Z446" s="455">
        <f t="shared" si="120"/>
        <v>0</v>
      </c>
      <c r="AA446" s="454"/>
      <c r="AB446" s="454"/>
      <c r="AC446" s="455"/>
      <c r="AD446" s="463"/>
      <c r="AE446" s="462"/>
      <c r="AF446" s="455">
        <f t="shared" si="122"/>
        <v>1904.01</v>
      </c>
      <c r="AG446" s="456"/>
      <c r="AH446" s="457">
        <f t="shared" si="114"/>
        <v>1904.01</v>
      </c>
      <c r="AI446" s="458">
        <f t="shared" si="121"/>
        <v>0</v>
      </c>
      <c r="AJ446" s="463"/>
      <c r="AK446" s="462"/>
      <c r="AL446" s="455">
        <f>SUMIFS(BV_Data_An_Prec!$AN:$AN,BV_Data_An_Prec!$AQ:$AQ,$V446)</f>
        <v>0</v>
      </c>
      <c r="AM446" s="459"/>
      <c r="AN446" s="457">
        <f t="shared" si="118"/>
        <v>1904.01</v>
      </c>
      <c r="AO446" s="464">
        <f t="shared" si="119"/>
        <v>0</v>
      </c>
      <c r="AP446" s="94"/>
      <c r="AQ446" s="571">
        <v>3965.16</v>
      </c>
      <c r="AR446" s="510">
        <f t="shared" si="111"/>
        <v>-2061.1499999999996</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3"/>
        <v>Divers</v>
      </c>
      <c r="B447" s="3"/>
      <c r="C447" s="38"/>
      <c r="D447" s="38"/>
      <c r="E447" s="38"/>
      <c r="F447" s="38"/>
      <c r="G447" s="38"/>
      <c r="H447" s="38"/>
      <c r="I447" s="38"/>
      <c r="J447" s="38"/>
      <c r="K447" s="38"/>
      <c r="L447" s="38"/>
      <c r="M447" s="38"/>
      <c r="N447" s="38"/>
      <c r="O447" s="38"/>
      <c r="P447" s="38"/>
      <c r="Q447" s="94"/>
      <c r="R447" s="38"/>
      <c r="S447" s="38"/>
      <c r="T447" s="38"/>
      <c r="U447" s="38"/>
      <c r="V447" s="310" t="s">
        <v>136</v>
      </c>
      <c r="W447" s="461" t="s">
        <v>624</v>
      </c>
      <c r="X447" s="454"/>
      <c r="Y447" s="462"/>
      <c r="Z447" s="455">
        <f t="shared" si="120"/>
        <v>0</v>
      </c>
      <c r="AA447" s="454"/>
      <c r="AB447" s="462"/>
      <c r="AC447" s="455"/>
      <c r="AD447" s="463"/>
      <c r="AE447" s="462"/>
      <c r="AF447" s="455">
        <f>SUMIFS(BV_Data_An_Cour!$AN:$AN,BV_Data_An_Cour!$AQ:$AQ,$V447)</f>
        <v>8096.94</v>
      </c>
      <c r="AG447" s="456"/>
      <c r="AH447" s="457">
        <f t="shared" si="114"/>
        <v>8096.94</v>
      </c>
      <c r="AI447" s="477">
        <f t="shared" si="121"/>
        <v>0</v>
      </c>
      <c r="AJ447" s="463"/>
      <c r="AK447" s="462"/>
      <c r="AL447" s="455">
        <f>SUMIFS(BV_Data_An_Prec!$AN:$AN,BV_Data_An_Prec!$AQ:$AQ,$V447)</f>
        <v>0</v>
      </c>
      <c r="AM447" s="459"/>
      <c r="AN447" s="457">
        <f t="shared" si="118"/>
        <v>8096.94</v>
      </c>
      <c r="AO447" s="464">
        <f t="shared" si="119"/>
        <v>0</v>
      </c>
      <c r="AP447" s="94"/>
      <c r="AQ447" s="571">
        <v>9676.7800000000007</v>
      </c>
      <c r="AR447" s="510">
        <f t="shared" si="111"/>
        <v>-1579.8400000000011</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3"/>
        <v>Formation</v>
      </c>
      <c r="B448" s="3"/>
      <c r="C448" s="38"/>
      <c r="D448" s="38"/>
      <c r="E448" s="38"/>
      <c r="F448" s="38"/>
      <c r="G448" s="38"/>
      <c r="H448" s="38"/>
      <c r="I448" s="38"/>
      <c r="J448" s="38"/>
      <c r="K448" s="38"/>
      <c r="L448" s="38"/>
      <c r="M448" s="38"/>
      <c r="N448" s="38"/>
      <c r="O448" s="38"/>
      <c r="P448" s="38"/>
      <c r="Q448" s="94"/>
      <c r="R448" s="38"/>
      <c r="S448" s="38"/>
      <c r="T448" s="38"/>
      <c r="U448" s="38"/>
      <c r="V448" s="310" t="s">
        <v>137</v>
      </c>
      <c r="W448" s="461" t="s">
        <v>625</v>
      </c>
      <c r="X448" s="454"/>
      <c r="Y448" s="462"/>
      <c r="Z448" s="455">
        <f t="shared" si="120"/>
        <v>0</v>
      </c>
      <c r="AA448" s="454"/>
      <c r="AB448" s="462"/>
      <c r="AC448" s="455"/>
      <c r="AD448" s="463"/>
      <c r="AE448" s="462"/>
      <c r="AF448" s="455">
        <f>+SUMIF($C:$C,$V448,L:L)</f>
        <v>10251.459999999999</v>
      </c>
      <c r="AG448" s="456"/>
      <c r="AH448" s="829">
        <f t="shared" si="114"/>
        <v>10251.459999999999</v>
      </c>
      <c r="AI448" s="458">
        <f t="shared" si="121"/>
        <v>0</v>
      </c>
      <c r="AJ448" s="463"/>
      <c r="AK448" s="462"/>
      <c r="AL448" s="455">
        <f>SUMIFS(BV_Data_An_Prec!$AN:$AN,BV_Data_An_Prec!$AQ:$AQ,$V448)</f>
        <v>0</v>
      </c>
      <c r="AM448" s="459"/>
      <c r="AN448" s="457">
        <f t="shared" si="118"/>
        <v>10251.459999999999</v>
      </c>
      <c r="AO448" s="464">
        <f t="shared" si="119"/>
        <v>0</v>
      </c>
      <c r="AP448" s="94"/>
      <c r="AQ448" s="571">
        <v>39202.850000000006</v>
      </c>
      <c r="AR448" s="510">
        <f t="shared" si="111"/>
        <v>-28951.390000000007</v>
      </c>
      <c r="AS448" s="38"/>
      <c r="AT448" s="38"/>
      <c r="AU448" s="38"/>
      <c r="AV448" s="38"/>
      <c r="AW448" s="38"/>
      <c r="AX448" s="38"/>
      <c r="AY448" s="38"/>
      <c r="AZ448" s="38"/>
      <c r="BA448" s="38"/>
      <c r="BB448" s="38"/>
      <c r="BC448" s="38"/>
      <c r="BD448" s="38"/>
      <c r="BE448" s="38"/>
      <c r="BF448" s="38"/>
      <c r="BG448" s="38"/>
      <c r="BH448" s="38"/>
      <c r="BI448" s="38"/>
      <c r="BJ448" s="38"/>
    </row>
    <row r="449" spans="1:62" ht="15" customHeight="1">
      <c r="A449" s="5" t="str">
        <f t="shared" si="123"/>
        <v>Frais bancaires</v>
      </c>
      <c r="B449" s="3"/>
      <c r="C449" s="38"/>
      <c r="D449" s="38"/>
      <c r="E449" s="38"/>
      <c r="F449" s="38"/>
      <c r="G449" s="38"/>
      <c r="H449" s="38"/>
      <c r="I449" s="38"/>
      <c r="J449" s="38"/>
      <c r="K449" s="38"/>
      <c r="L449" s="38"/>
      <c r="M449" s="38"/>
      <c r="N449" s="38"/>
      <c r="O449" s="38"/>
      <c r="P449" s="38"/>
      <c r="Q449" s="94"/>
      <c r="R449" s="38"/>
      <c r="S449" s="38"/>
      <c r="T449" s="38"/>
      <c r="U449" s="38"/>
      <c r="V449" s="310" t="s">
        <v>138</v>
      </c>
      <c r="W449" s="461" t="s">
        <v>626</v>
      </c>
      <c r="X449" s="454"/>
      <c r="Y449" s="462"/>
      <c r="Z449" s="455">
        <f t="shared" si="120"/>
        <v>0</v>
      </c>
      <c r="AA449" s="454"/>
      <c r="AB449" s="462"/>
      <c r="AC449" s="455"/>
      <c r="AD449" s="463"/>
      <c r="AE449" s="462"/>
      <c r="AF449" s="439">
        <f>SUMIFS(BV_Data_An_Cour!$AN:$AN,BV_Data_An_Cour!$AQ:$AQ,$V449)</f>
        <v>31089.87</v>
      </c>
      <c r="AG449" s="456"/>
      <c r="AH449" s="778">
        <f t="shared" si="114"/>
        <v>31089.87</v>
      </c>
      <c r="AI449" s="458">
        <f t="shared" si="121"/>
        <v>0</v>
      </c>
      <c r="AJ449" s="463"/>
      <c r="AK449" s="462"/>
      <c r="AL449" s="439">
        <f>SUMIFS(BV_Data_An_Prec!$AN:$AN,BV_Data_An_Prec!$AQ:$AQ,$V449)</f>
        <v>0</v>
      </c>
      <c r="AM449" s="459"/>
      <c r="AN449" s="457">
        <f t="shared" si="118"/>
        <v>31089.87</v>
      </c>
      <c r="AO449" s="464">
        <f t="shared" si="119"/>
        <v>0</v>
      </c>
      <c r="AP449" s="94"/>
      <c r="AQ449" s="572">
        <v>99368.799999999988</v>
      </c>
      <c r="AR449" s="569">
        <f t="shared" si="111"/>
        <v>-68278.929999999993</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3"/>
        <v>[...]</v>
      </c>
      <c r="B450" s="3"/>
      <c r="C450" s="38"/>
      <c r="D450" s="38"/>
      <c r="E450" s="38"/>
      <c r="F450" s="38"/>
      <c r="G450" s="38"/>
      <c r="H450" s="38"/>
      <c r="I450" s="38"/>
      <c r="J450" s="38"/>
      <c r="K450" s="38"/>
      <c r="L450" s="38"/>
      <c r="M450" s="38"/>
      <c r="N450" s="38"/>
      <c r="O450" s="38"/>
      <c r="P450" s="38"/>
      <c r="Q450" s="94"/>
      <c r="R450" s="38"/>
      <c r="S450" s="38"/>
      <c r="T450" s="38"/>
      <c r="U450" s="38"/>
      <c r="V450" s="310" t="s">
        <v>55</v>
      </c>
      <c r="W450" s="461"/>
      <c r="X450" s="454"/>
      <c r="Y450" s="462"/>
      <c r="Z450" s="455">
        <f t="shared" si="120"/>
        <v>0</v>
      </c>
      <c r="AA450" s="454"/>
      <c r="AB450" s="462"/>
      <c r="AC450" s="455"/>
      <c r="AD450" s="463"/>
      <c r="AE450" s="462"/>
      <c r="AF450" s="455">
        <f>+SUMIF($C:$C,$V450,L:L)</f>
        <v>0</v>
      </c>
      <c r="AG450" s="456"/>
      <c r="AH450" s="457">
        <f t="shared" si="114"/>
        <v>0</v>
      </c>
      <c r="AI450" s="458">
        <f t="shared" si="121"/>
        <v>0</v>
      </c>
      <c r="AJ450" s="463"/>
      <c r="AK450" s="462"/>
      <c r="AL450" s="455"/>
      <c r="AM450" s="459"/>
      <c r="AN450" s="457">
        <f t="shared" si="118"/>
        <v>0</v>
      </c>
      <c r="AO450" s="464">
        <f t="shared" si="119"/>
        <v>0</v>
      </c>
      <c r="AP450" s="94"/>
      <c r="AQ450" s="571">
        <v>0</v>
      </c>
      <c r="AR450" s="510">
        <f t="shared" si="111"/>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3"/>
        <v>[...]</v>
      </c>
      <c r="B451" s="3"/>
      <c r="C451" s="38"/>
      <c r="D451" s="38"/>
      <c r="E451" s="38"/>
      <c r="F451" s="38"/>
      <c r="G451" s="38"/>
      <c r="H451" s="38"/>
      <c r="I451" s="38"/>
      <c r="J451" s="38"/>
      <c r="K451" s="38"/>
      <c r="L451" s="38"/>
      <c r="M451" s="38"/>
      <c r="N451" s="38"/>
      <c r="O451" s="38"/>
      <c r="P451" s="38"/>
      <c r="Q451" s="94"/>
      <c r="R451" s="38"/>
      <c r="S451" s="38"/>
      <c r="T451" s="38"/>
      <c r="U451" s="38"/>
      <c r="V451" s="310" t="s">
        <v>55</v>
      </c>
      <c r="W451" s="461"/>
      <c r="X451" s="454"/>
      <c r="Y451" s="462"/>
      <c r="Z451" s="455">
        <f t="shared" si="120"/>
        <v>0</v>
      </c>
      <c r="AA451" s="454"/>
      <c r="AB451" s="462"/>
      <c r="AC451" s="455"/>
      <c r="AD451" s="463"/>
      <c r="AE451" s="462"/>
      <c r="AF451" s="455">
        <f>+SUMIF($C:$C,$V451,L:L)</f>
        <v>0</v>
      </c>
      <c r="AG451" s="456"/>
      <c r="AH451" s="457">
        <f t="shared" si="114"/>
        <v>0</v>
      </c>
      <c r="AI451" s="458">
        <f t="shared" si="121"/>
        <v>0</v>
      </c>
      <c r="AJ451" s="463"/>
      <c r="AK451" s="462"/>
      <c r="AL451" s="455"/>
      <c r="AM451" s="459"/>
      <c r="AN451" s="457">
        <f t="shared" si="118"/>
        <v>0</v>
      </c>
      <c r="AO451" s="464">
        <f t="shared" si="119"/>
        <v>0</v>
      </c>
      <c r="AP451" s="94"/>
      <c r="AQ451" s="571">
        <v>0</v>
      </c>
      <c r="AR451" s="510">
        <f t="shared" si="111"/>
        <v>0</v>
      </c>
      <c r="AS451" s="38"/>
      <c r="AT451" s="38"/>
      <c r="AU451" s="38"/>
      <c r="AV451" s="38"/>
      <c r="AW451" s="38"/>
      <c r="AX451" s="38"/>
      <c r="AY451" s="38"/>
      <c r="AZ451" s="38"/>
      <c r="BA451" s="38"/>
      <c r="BB451" s="38"/>
      <c r="BC451" s="38"/>
      <c r="BD451" s="38"/>
      <c r="BE451" s="38"/>
      <c r="BF451" s="38"/>
      <c r="BG451" s="38"/>
      <c r="BH451" s="38"/>
      <c r="BI451" s="38"/>
      <c r="BJ451" s="38"/>
    </row>
    <row r="452" spans="1:62" ht="15.75" hidden="1" customHeight="1">
      <c r="A452" s="5" t="str">
        <f t="shared" si="123"/>
        <v>[...]</v>
      </c>
      <c r="B452" s="3"/>
      <c r="C452" s="38"/>
      <c r="D452" s="38"/>
      <c r="E452" s="38"/>
      <c r="F452" s="38"/>
      <c r="G452" s="38"/>
      <c r="H452" s="38"/>
      <c r="I452" s="38"/>
      <c r="J452" s="38"/>
      <c r="K452" s="38"/>
      <c r="L452" s="38"/>
      <c r="M452" s="38"/>
      <c r="N452" s="38"/>
      <c r="O452" s="38"/>
      <c r="P452" s="578"/>
      <c r="Q452" s="94"/>
      <c r="R452" s="38"/>
      <c r="S452" s="38"/>
      <c r="T452" s="38"/>
      <c r="U452" s="38"/>
      <c r="V452" s="310" t="s">
        <v>55</v>
      </c>
      <c r="W452" s="461"/>
      <c r="X452" s="454"/>
      <c r="Y452" s="462"/>
      <c r="Z452" s="455">
        <f t="shared" si="120"/>
        <v>0</v>
      </c>
      <c r="AA452" s="454"/>
      <c r="AB452" s="462"/>
      <c r="AC452" s="455"/>
      <c r="AD452" s="463"/>
      <c r="AE452" s="462"/>
      <c r="AF452" s="455">
        <f>+SUMIF($C:$C,$V452,L:L)</f>
        <v>0</v>
      </c>
      <c r="AG452" s="456"/>
      <c r="AH452" s="457">
        <f t="shared" si="114"/>
        <v>0</v>
      </c>
      <c r="AI452" s="458">
        <f t="shared" si="121"/>
        <v>0</v>
      </c>
      <c r="AJ452" s="463"/>
      <c r="AK452" s="462"/>
      <c r="AL452" s="455"/>
      <c r="AM452" s="459"/>
      <c r="AN452" s="457">
        <f t="shared" si="118"/>
        <v>0</v>
      </c>
      <c r="AO452" s="464">
        <f t="shared" si="119"/>
        <v>0</v>
      </c>
      <c r="AP452" s="94"/>
      <c r="AQ452" s="571">
        <v>0</v>
      </c>
      <c r="AR452" s="510">
        <f t="shared" si="111"/>
        <v>0</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3"/>
        <v>TOTAL SEMI-FIXES</v>
      </c>
      <c r="B453" s="3"/>
      <c r="C453" s="38"/>
      <c r="D453" s="38"/>
      <c r="E453" s="38"/>
      <c r="F453" s="38"/>
      <c r="G453" s="38"/>
      <c r="H453" s="38"/>
      <c r="I453" s="38"/>
      <c r="J453" s="38"/>
      <c r="K453" s="38"/>
      <c r="L453" s="38"/>
      <c r="M453" s="38"/>
      <c r="N453" s="38"/>
      <c r="O453" s="38"/>
      <c r="P453" s="38"/>
      <c r="Q453" s="94"/>
      <c r="R453" s="38"/>
      <c r="S453" s="38"/>
      <c r="T453" s="38"/>
      <c r="U453" s="38"/>
      <c r="V453" s="469" t="s">
        <v>139</v>
      </c>
      <c r="W453" s="491"/>
      <c r="X453" s="471" t="e">
        <f>Z453/+Z408</f>
        <v>#DIV/0!</v>
      </c>
      <c r="Y453" s="470"/>
      <c r="Z453" s="472">
        <f>+SUM(Z435:Z452)</f>
        <v>0</v>
      </c>
      <c r="AA453" s="471"/>
      <c r="AB453" s="470"/>
      <c r="AC453" s="472"/>
      <c r="AD453" s="473">
        <f>AF453/AF408</f>
        <v>0.10946082053770201</v>
      </c>
      <c r="AE453" s="470"/>
      <c r="AF453" s="472">
        <f>+SUM(AF435:AF452)</f>
        <v>394555.35</v>
      </c>
      <c r="AG453" s="479"/>
      <c r="AH453" s="826">
        <f>+SUM(AH435:AH452)</f>
        <v>394555.35</v>
      </c>
      <c r="AI453" s="471" t="e">
        <f>AH453/Z453</f>
        <v>#DIV/0!</v>
      </c>
      <c r="AJ453" s="473">
        <f>IF($AL$408=0,0,AL453/$AL$408)</f>
        <v>0</v>
      </c>
      <c r="AK453" s="470"/>
      <c r="AL453" s="472">
        <f>+SUM(AL435:AL452)</f>
        <v>0</v>
      </c>
      <c r="AM453" s="480"/>
      <c r="AN453" s="475">
        <f>+SUM(AN435:AN452)</f>
        <v>394555.35</v>
      </c>
      <c r="AO453" s="493">
        <f t="shared" si="119"/>
        <v>0</v>
      </c>
      <c r="AP453" s="94"/>
      <c r="AQ453" s="573">
        <v>1279865.6600000001</v>
      </c>
      <c r="AR453" s="574">
        <f t="shared" si="111"/>
        <v>-885310.31000000017</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3"/>
        <v>Loyer</v>
      </c>
      <c r="B454" s="3"/>
      <c r="C454" s="38"/>
      <c r="D454" s="38"/>
      <c r="E454" s="38"/>
      <c r="F454" s="38"/>
      <c r="G454" s="38"/>
      <c r="H454" s="38"/>
      <c r="I454" s="38"/>
      <c r="J454" s="38"/>
      <c r="K454" s="38"/>
      <c r="L454" s="38"/>
      <c r="M454" s="38"/>
      <c r="N454" s="38"/>
      <c r="O454" s="38"/>
      <c r="P454" s="38"/>
      <c r="Q454" s="38"/>
      <c r="R454" s="38"/>
      <c r="S454" s="38"/>
      <c r="T454" s="38"/>
      <c r="U454" s="38"/>
      <c r="V454" s="310" t="s">
        <v>201</v>
      </c>
      <c r="W454" s="461" t="s">
        <v>627</v>
      </c>
      <c r="X454" s="454"/>
      <c r="Y454" s="462"/>
      <c r="Z454" s="455" cm="1">
        <f t="array" ref="Z454">+SUMPRODUCT(('Budget original'!$A$8:$A$501=$A454)*('Budget original'!$C$3:$AO$3=Z$2),'Budget original'!$C$8:$AO$501)</f>
        <v>0</v>
      </c>
      <c r="AA454" s="454"/>
      <c r="AB454" s="462"/>
      <c r="AC454" s="455"/>
      <c r="AD454" s="463"/>
      <c r="AE454" s="462"/>
      <c r="AF454" s="455">
        <f>SUMIFS(BV_Data_An_Cour!$AN:$AN,BV_Data_An_Cour!$AQ:$AQ,$V454)</f>
        <v>650000</v>
      </c>
      <c r="AG454" s="456"/>
      <c r="AH454" s="457">
        <f t="shared" ref="AH454:AH462" si="124">AF454-Z454</f>
        <v>650000</v>
      </c>
      <c r="AI454" s="458">
        <f t="shared" ref="AI454:AI462" si="125">IF(Z454=0,0,AH454/Z454)</f>
        <v>0</v>
      </c>
      <c r="AJ454" s="463"/>
      <c r="AK454" s="462"/>
      <c r="AL454" s="455">
        <f>SUMIFS(BV_Data_An_Prec!$AN:$AN,BV_Data_An_Prec!$AQ:$AQ,$V454)</f>
        <v>0</v>
      </c>
      <c r="AM454" s="459"/>
      <c r="AN454" s="457">
        <f t="shared" ref="AN454:AN462" si="126">AF454-AL454</f>
        <v>650000</v>
      </c>
      <c r="AO454" s="464">
        <f t="shared" si="119"/>
        <v>0</v>
      </c>
      <c r="AP454" s="94"/>
      <c r="AQ454" s="571">
        <v>312000</v>
      </c>
      <c r="AR454" s="510">
        <f t="shared" si="111"/>
        <v>338000</v>
      </c>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3"/>
        <v>Taxes foncières</v>
      </c>
      <c r="B455" s="3"/>
      <c r="C455" s="38"/>
      <c r="D455" s="38"/>
      <c r="E455" s="38"/>
      <c r="F455" s="38"/>
      <c r="G455" s="38"/>
      <c r="H455" s="38"/>
      <c r="I455" s="38"/>
      <c r="J455" s="38"/>
      <c r="K455" s="38"/>
      <c r="L455" s="38"/>
      <c r="M455" s="38"/>
      <c r="N455" s="38"/>
      <c r="O455" s="38"/>
      <c r="P455" s="38"/>
      <c r="Q455" s="38"/>
      <c r="R455" s="38"/>
      <c r="S455" s="38"/>
      <c r="T455" s="38"/>
      <c r="U455" s="38"/>
      <c r="V455" s="310" t="s">
        <v>202</v>
      </c>
      <c r="W455" s="461" t="s">
        <v>628</v>
      </c>
      <c r="X455" s="454"/>
      <c r="Y455" s="462"/>
      <c r="Z455" s="455" cm="1">
        <f t="array" ref="Z455">+SUMPRODUCT(('Budget original'!$A$8:$A$501=$A455)*('Budget original'!$C$3:$AO$3=Z$2),'Budget original'!$C$8:$AO$501)</f>
        <v>0</v>
      </c>
      <c r="AA455" s="454"/>
      <c r="AB455" s="462"/>
      <c r="AC455" s="455"/>
      <c r="AD455" s="463"/>
      <c r="AE455" s="462"/>
      <c r="AF455" s="455">
        <f>SUMIFS(BV_Data_An_Cour!$AN:$AN,BV_Data_An_Cour!$AQ:$AQ,$V455)</f>
        <v>221261.82</v>
      </c>
      <c r="AG455" s="456"/>
      <c r="AH455" s="457">
        <f t="shared" si="124"/>
        <v>221261.82</v>
      </c>
      <c r="AI455" s="458">
        <f t="shared" si="125"/>
        <v>0</v>
      </c>
      <c r="AJ455" s="463"/>
      <c r="AK455" s="462"/>
      <c r="AL455" s="455">
        <f>SUMIFS(BV_Data_An_Prec!$AN:$AN,BV_Data_An_Prec!$AQ:$AQ,$V455)</f>
        <v>0</v>
      </c>
      <c r="AM455" s="459"/>
      <c r="AN455" s="457">
        <f t="shared" si="126"/>
        <v>221261.82</v>
      </c>
      <c r="AO455" s="464">
        <f t="shared" si="119"/>
        <v>0</v>
      </c>
      <c r="AP455" s="94"/>
      <c r="AQ455" s="571">
        <v>59160</v>
      </c>
      <c r="AR455" s="510">
        <f t="shared" si="111"/>
        <v>162101.82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3"/>
        <v>Taxes d`affaires</v>
      </c>
      <c r="B456" s="3"/>
      <c r="C456" s="38"/>
      <c r="D456" s="38"/>
      <c r="E456" s="38"/>
      <c r="F456" s="38"/>
      <c r="G456" s="38"/>
      <c r="H456" s="38"/>
      <c r="I456" s="38"/>
      <c r="J456" s="38"/>
      <c r="K456" s="38"/>
      <c r="L456" s="38"/>
      <c r="M456" s="38"/>
      <c r="N456" s="38"/>
      <c r="O456" s="38"/>
      <c r="P456" s="38"/>
      <c r="Q456" s="38"/>
      <c r="R456" s="38"/>
      <c r="S456" s="38"/>
      <c r="T456" s="38"/>
      <c r="U456" s="38"/>
      <c r="V456" s="311" t="s">
        <v>203</v>
      </c>
      <c r="W456" s="465" t="s">
        <v>629</v>
      </c>
      <c r="X456" s="438"/>
      <c r="Y456" s="466"/>
      <c r="Z456" s="439" cm="1">
        <f t="array" ref="Z456">+SUMPRODUCT(('Budget original'!$A$8:$A$501=$A456)*('Budget original'!$C$3:$AO$3=Z$2),'Budget original'!$C$8:$AO$501)</f>
        <v>0</v>
      </c>
      <c r="AA456" s="438"/>
      <c r="AB456" s="466"/>
      <c r="AC456" s="439"/>
      <c r="AD456" s="467"/>
      <c r="AE456" s="466"/>
      <c r="AF456" s="439">
        <f>SUMIFS(BV_Data_An_Cour!$AN:$AN,BV_Data_An_Cour!$AQ:$AQ,$V456)</f>
        <v>0</v>
      </c>
      <c r="AG456" s="440"/>
      <c r="AH456" s="441">
        <f t="shared" si="124"/>
        <v>0</v>
      </c>
      <c r="AI456" s="468">
        <f t="shared" si="125"/>
        <v>0</v>
      </c>
      <c r="AJ456" s="467"/>
      <c r="AK456" s="466"/>
      <c r="AL456" s="439">
        <f>SUMIFS(BV_Data_An_Prec!$AN:$AN,BV_Data_An_Prec!$AQ:$AQ,$V456)</f>
        <v>0</v>
      </c>
      <c r="AM456" s="443"/>
      <c r="AN456" s="441">
        <f t="shared" si="126"/>
        <v>0</v>
      </c>
      <c r="AO456" s="444">
        <f t="shared" si="119"/>
        <v>0</v>
      </c>
      <c r="AP456" s="94"/>
      <c r="AQ456" s="572">
        <v>39360</v>
      </c>
      <c r="AR456" s="569">
        <f t="shared" si="111"/>
        <v>-39360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3"/>
        <v>Taxe sur le capital</v>
      </c>
      <c r="B457" s="3"/>
      <c r="C457" s="38"/>
      <c r="D457" s="38"/>
      <c r="E457" s="38"/>
      <c r="F457" s="38"/>
      <c r="G457" s="38"/>
      <c r="H457" s="38"/>
      <c r="I457" s="38"/>
      <c r="J457" s="38"/>
      <c r="K457" s="38"/>
      <c r="L457" s="38"/>
      <c r="M457" s="38"/>
      <c r="N457" s="38"/>
      <c r="O457" s="38"/>
      <c r="P457" s="38"/>
      <c r="Q457" s="38"/>
      <c r="R457" s="38"/>
      <c r="S457" s="38"/>
      <c r="T457" s="38"/>
      <c r="U457" s="38"/>
      <c r="V457" s="310" t="s">
        <v>204</v>
      </c>
      <c r="W457" s="461"/>
      <c r="X457" s="454"/>
      <c r="Y457" s="462"/>
      <c r="Z457" s="455" cm="1">
        <f t="array" ref="Z457">+SUMPRODUCT(('Budget original'!$A$8:$A$501=$A457)*('Budget original'!$C$3:$AO$3=Z$2),'Budget original'!$C$8:$AO$501)</f>
        <v>0</v>
      </c>
      <c r="AA457" s="454"/>
      <c r="AB457" s="462"/>
      <c r="AC457" s="455"/>
      <c r="AD457" s="463"/>
      <c r="AE457" s="462"/>
      <c r="AF457" s="455">
        <f>SUMIFS(BV_Data_An_Cour!$AN:$AN,BV_Data_An_Cour!$AQ:$AQ,$V457)</f>
        <v>0</v>
      </c>
      <c r="AG457" s="456"/>
      <c r="AH457" s="457">
        <f t="shared" si="124"/>
        <v>0</v>
      </c>
      <c r="AI457" s="458">
        <f t="shared" si="125"/>
        <v>0</v>
      </c>
      <c r="AJ457" s="463"/>
      <c r="AK457" s="462"/>
      <c r="AL457" s="455">
        <f>SUMIFS(BV_Data_An_Prec!$AN:$AN,BV_Data_An_Prec!$AQ:$AQ,$V457)</f>
        <v>0</v>
      </c>
      <c r="AM457" s="459"/>
      <c r="AN457" s="457">
        <f t="shared" si="126"/>
        <v>0</v>
      </c>
      <c r="AO457" s="464">
        <f t="shared" si="119"/>
        <v>0</v>
      </c>
      <c r="AP457" s="94"/>
      <c r="AQ457" s="571">
        <v>0</v>
      </c>
      <c r="AR457" s="510">
        <f t="shared" si="111"/>
        <v>0</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3"/>
        <v>Assurances</v>
      </c>
      <c r="B458" s="3"/>
      <c r="C458" s="38"/>
      <c r="D458" s="38"/>
      <c r="E458" s="38"/>
      <c r="F458" s="38"/>
      <c r="G458" s="38"/>
      <c r="H458" s="38"/>
      <c r="I458" s="38"/>
      <c r="J458" s="38"/>
      <c r="K458" s="38"/>
      <c r="L458" s="38"/>
      <c r="M458" s="38"/>
      <c r="N458" s="38"/>
      <c r="O458" s="38"/>
      <c r="P458" s="38"/>
      <c r="Q458" s="38"/>
      <c r="R458" s="38"/>
      <c r="S458" s="38"/>
      <c r="T458" s="38"/>
      <c r="U458" s="38"/>
      <c r="V458" s="311" t="s">
        <v>205</v>
      </c>
      <c r="W458" s="465" t="s">
        <v>630</v>
      </c>
      <c r="X458" s="438"/>
      <c r="Y458" s="466"/>
      <c r="Z458" s="439" cm="1">
        <f t="array" ref="Z458">+SUMPRODUCT(('Budget original'!$A$8:$A$501=$A458)*('Budget original'!$C$3:$AO$3=Z$2),'Budget original'!$C$8:$AO$501)</f>
        <v>0</v>
      </c>
      <c r="AA458" s="438"/>
      <c r="AB458" s="466"/>
      <c r="AC458" s="439"/>
      <c r="AD458" s="467"/>
      <c r="AE458" s="466"/>
      <c r="AF458" s="439">
        <f>SUMIF(BV_Data_An_Cour!$AQ:$AQ,Print_AAD!$V458,BV_Data_An_Cour!$AN:$AN)</f>
        <v>23691.95</v>
      </c>
      <c r="AG458" s="440"/>
      <c r="AH458" s="441">
        <f t="shared" si="124"/>
        <v>23691.95</v>
      </c>
      <c r="AI458" s="468">
        <f t="shared" si="125"/>
        <v>0</v>
      </c>
      <c r="AJ458" s="467"/>
      <c r="AK458" s="466"/>
      <c r="AL458" s="439">
        <f>SUMIFS(BV_Data_An_Prec!$AN:$AN,BV_Data_An_Prec!$AQ:$AQ,$V458)</f>
        <v>0</v>
      </c>
      <c r="AM458" s="443"/>
      <c r="AN458" s="441">
        <f t="shared" si="126"/>
        <v>23691.95</v>
      </c>
      <c r="AO458" s="444">
        <f t="shared" si="119"/>
        <v>0</v>
      </c>
      <c r="AP458" s="94"/>
      <c r="AQ458" s="572">
        <v>51252</v>
      </c>
      <c r="AR458" s="569">
        <f t="shared" si="111"/>
        <v>-27560.05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3"/>
        <v>Chauffage, éclairage</v>
      </c>
      <c r="B459" s="3"/>
      <c r="C459" s="38"/>
      <c r="D459" s="38"/>
      <c r="E459" s="38"/>
      <c r="F459" s="38"/>
      <c r="G459" s="38"/>
      <c r="H459" s="38"/>
      <c r="I459" s="38"/>
      <c r="J459" s="38"/>
      <c r="K459" s="38"/>
      <c r="L459" s="38"/>
      <c r="M459" s="38"/>
      <c r="N459" s="38"/>
      <c r="O459" s="38"/>
      <c r="P459" s="38"/>
      <c r="Q459" s="38"/>
      <c r="R459" s="38"/>
      <c r="S459" s="38"/>
      <c r="T459" s="38"/>
      <c r="U459" s="38"/>
      <c r="V459" s="310" t="s">
        <v>206</v>
      </c>
      <c r="W459" s="461" t="s">
        <v>631</v>
      </c>
      <c r="X459" s="494"/>
      <c r="Y459" s="495"/>
      <c r="Z459" s="455" cm="1">
        <f t="array" ref="Z459">+SUMPRODUCT(('Budget original'!$A$8:$A$501=$A459)*('Budget original'!$C$3:$AO$3=Z$2),'Budget original'!$C$8:$AO$501)</f>
        <v>0</v>
      </c>
      <c r="AA459" s="494"/>
      <c r="AB459" s="495"/>
      <c r="AC459" s="455"/>
      <c r="AD459" s="463"/>
      <c r="AE459" s="462"/>
      <c r="AF459" s="455">
        <f>SUMIFS(BV_Data_An_Cour!$AN:$AN,BV_Data_An_Cour!$AQ:$AQ,$V459)</f>
        <v>55964.710000000006</v>
      </c>
      <c r="AG459" s="456"/>
      <c r="AH459" s="457">
        <f t="shared" si="124"/>
        <v>55964.710000000006</v>
      </c>
      <c r="AI459" s="458">
        <f t="shared" si="125"/>
        <v>0</v>
      </c>
      <c r="AJ459" s="463"/>
      <c r="AK459" s="462"/>
      <c r="AL459" s="455">
        <f>SUMIFS(BV_Data_An_Prec!$AN:$AN,BV_Data_An_Prec!$AQ:$AQ,$V459)</f>
        <v>0</v>
      </c>
      <c r="AM459" s="459"/>
      <c r="AN459" s="457">
        <f t="shared" si="126"/>
        <v>55964.710000000006</v>
      </c>
      <c r="AO459" s="464">
        <f t="shared" si="119"/>
        <v>0</v>
      </c>
      <c r="AP459" s="94"/>
      <c r="AQ459" s="571">
        <v>28763.690000000002</v>
      </c>
      <c r="AR459" s="510">
        <f t="shared" si="111"/>
        <v>27201.020000000004</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3"/>
        <v>Honoraires</v>
      </c>
      <c r="B460" s="3"/>
      <c r="C460" s="38"/>
      <c r="D460" s="38"/>
      <c r="E460" s="38"/>
      <c r="F460" s="38"/>
      <c r="G460" s="38"/>
      <c r="H460" s="38"/>
      <c r="I460" s="38"/>
      <c r="J460" s="38"/>
      <c r="K460" s="38"/>
      <c r="L460" s="38"/>
      <c r="M460" s="38"/>
      <c r="N460" s="38"/>
      <c r="O460" s="38"/>
      <c r="P460" s="38"/>
      <c r="Q460" s="38"/>
      <c r="R460" s="38"/>
      <c r="S460" s="38"/>
      <c r="T460" s="38"/>
      <c r="U460" s="38"/>
      <c r="V460" s="310" t="s">
        <v>207</v>
      </c>
      <c r="W460" s="461" t="s">
        <v>632</v>
      </c>
      <c r="X460" s="454"/>
      <c r="Y460" s="462"/>
      <c r="Z460" s="455" cm="1">
        <f t="array" ref="Z460">+SUMPRODUCT(('Budget original'!$A$8:$A$501=$A460)*('Budget original'!$C$3:$AO$3=Z$2),'Budget original'!$C$8:$AO$501)</f>
        <v>0</v>
      </c>
      <c r="AA460" s="454"/>
      <c r="AB460" s="462"/>
      <c r="AC460" s="455"/>
      <c r="AD460" s="463"/>
      <c r="AE460" s="462"/>
      <c r="AF460" s="455">
        <f>SUMIFS(BV_Data_An_Cour!$AN:$AN,BV_Data_An_Cour!$AQ:$AQ,$V460)</f>
        <v>17662.32</v>
      </c>
      <c r="AG460" s="456"/>
      <c r="AH460" s="457">
        <f t="shared" si="124"/>
        <v>17662.32</v>
      </c>
      <c r="AI460" s="458">
        <f t="shared" si="125"/>
        <v>0</v>
      </c>
      <c r="AJ460" s="463"/>
      <c r="AK460" s="462"/>
      <c r="AL460" s="455">
        <f>SUMIFS(BV_Data_An_Prec!$AN:$AN,BV_Data_An_Prec!$AQ:$AQ,$V460)</f>
        <v>0</v>
      </c>
      <c r="AM460" s="459"/>
      <c r="AN460" s="457">
        <f t="shared" si="126"/>
        <v>17662.32</v>
      </c>
      <c r="AO460" s="464">
        <f t="shared" si="119"/>
        <v>0</v>
      </c>
      <c r="AP460" s="94"/>
      <c r="AQ460" s="571">
        <v>73723.959999999992</v>
      </c>
      <c r="AR460" s="510">
        <f t="shared" si="111"/>
        <v>-56061.639999999992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3"/>
        <v>Réparation équipement</v>
      </c>
      <c r="B461" s="3"/>
      <c r="C461" s="38"/>
      <c r="D461" s="38"/>
      <c r="E461" s="38"/>
      <c r="F461" s="38"/>
      <c r="G461" s="38"/>
      <c r="H461" s="38"/>
      <c r="I461" s="38"/>
      <c r="J461" s="38"/>
      <c r="K461" s="38"/>
      <c r="L461" s="38"/>
      <c r="M461" s="38"/>
      <c r="N461" s="38"/>
      <c r="O461" s="38"/>
      <c r="P461" s="38"/>
      <c r="Q461" s="38"/>
      <c r="R461" s="38"/>
      <c r="S461" s="38"/>
      <c r="T461" s="38"/>
      <c r="U461" s="38"/>
      <c r="V461" s="311" t="s">
        <v>208</v>
      </c>
      <c r="W461" s="465" t="s">
        <v>633</v>
      </c>
      <c r="X461" s="438"/>
      <c r="Y461" s="466"/>
      <c r="Z461" s="439" cm="1">
        <f t="array" ref="Z461">+SUMPRODUCT(('Budget original'!$A$8:$A$501=$A461)*('Budget original'!$C$3:$AO$3=Z$2),'Budget original'!$C$8:$AO$501)</f>
        <v>0</v>
      </c>
      <c r="AA461" s="438"/>
      <c r="AB461" s="466"/>
      <c r="AC461" s="439"/>
      <c r="AD461" s="467"/>
      <c r="AE461" s="466"/>
      <c r="AF461" s="439">
        <f>SUMIFS(BV_Data_An_Cour!$AN:$AN,BV_Data_An_Cour!$AQ:$AQ,$V461)</f>
        <v>0</v>
      </c>
      <c r="AG461" s="440"/>
      <c r="AH461" s="441">
        <f t="shared" si="124"/>
        <v>0</v>
      </c>
      <c r="AI461" s="468">
        <f t="shared" si="125"/>
        <v>0</v>
      </c>
      <c r="AJ461" s="467"/>
      <c r="AK461" s="466"/>
      <c r="AL461" s="439">
        <f>SUMIFS(BV_Data_An_Prec!$AN:$AN,BV_Data_An_Prec!$AQ:$AQ,$V461)</f>
        <v>0</v>
      </c>
      <c r="AM461" s="443"/>
      <c r="AN461" s="441">
        <f t="shared" si="126"/>
        <v>0</v>
      </c>
      <c r="AO461" s="444">
        <f t="shared" si="119"/>
        <v>0</v>
      </c>
      <c r="AP461" s="94"/>
      <c r="AQ461" s="572">
        <v>18683.22</v>
      </c>
      <c r="AR461" s="569">
        <f t="shared" si="111"/>
        <v>-18683.22</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3"/>
        <v>Location équipement</v>
      </c>
      <c r="B462" s="3"/>
      <c r="C462" s="38"/>
      <c r="D462" s="38"/>
      <c r="E462" s="38"/>
      <c r="F462" s="38"/>
      <c r="G462" s="38"/>
      <c r="H462" s="38"/>
      <c r="I462" s="38"/>
      <c r="J462" s="38"/>
      <c r="K462" s="38"/>
      <c r="L462" s="38"/>
      <c r="M462" s="38"/>
      <c r="N462" s="38"/>
      <c r="O462" s="38"/>
      <c r="P462" s="38"/>
      <c r="Q462" s="38"/>
      <c r="R462" s="38"/>
      <c r="S462" s="38"/>
      <c r="T462" s="38"/>
      <c r="U462" s="80"/>
      <c r="V462" s="310" t="s">
        <v>209</v>
      </c>
      <c r="W462" s="461" t="s">
        <v>634</v>
      </c>
      <c r="X462" s="454"/>
      <c r="Y462" s="462"/>
      <c r="Z462" s="455" cm="1">
        <f t="array" ref="Z462">+SUMPRODUCT(('Budget original'!$A$8:$A$501=$A462)*('Budget original'!$C$3:$AO$3=Z$2),'Budget original'!$C$8:$AO$501)</f>
        <v>0</v>
      </c>
      <c r="AA462" s="454"/>
      <c r="AB462" s="462"/>
      <c r="AC462" s="455"/>
      <c r="AD462" s="463"/>
      <c r="AE462" s="462"/>
      <c r="AF462" s="455">
        <f>SUMIFS(BV_Data_An_Cour!$AN:$AN,BV_Data_An_Cour!$AQ:$AQ,$V462)</f>
        <v>0</v>
      </c>
      <c r="AG462" s="456"/>
      <c r="AH462" s="457">
        <f t="shared" si="124"/>
        <v>0</v>
      </c>
      <c r="AI462" s="496">
        <f t="shared" si="125"/>
        <v>0</v>
      </c>
      <c r="AJ462" s="463"/>
      <c r="AK462" s="462"/>
      <c r="AL462" s="455">
        <f>SUMIFS(BV_Data_An_Prec!$AN:$AN,BV_Data_An_Prec!$AQ:$AQ,$V462)</f>
        <v>0</v>
      </c>
      <c r="AM462" s="459"/>
      <c r="AN462" s="457">
        <f t="shared" si="126"/>
        <v>0</v>
      </c>
      <c r="AO462" s="464">
        <f t="shared" si="119"/>
        <v>0</v>
      </c>
      <c r="AP462" s="94"/>
      <c r="AQ462" s="571">
        <v>0</v>
      </c>
      <c r="AR462" s="510">
        <f t="shared" si="111"/>
        <v>0</v>
      </c>
      <c r="AS462" s="38"/>
      <c r="AT462" s="38"/>
      <c r="AU462" s="38"/>
      <c r="AV462" s="38"/>
      <c r="AW462" s="38"/>
      <c r="AX462" s="38"/>
      <c r="AY462" s="38"/>
      <c r="AZ462" s="38"/>
      <c r="BA462" s="38"/>
      <c r="BB462" s="38"/>
      <c r="BC462" s="38"/>
      <c r="BD462" s="38"/>
      <c r="BE462" s="38"/>
      <c r="BF462" s="38"/>
      <c r="BG462" s="38"/>
      <c r="BH462" s="38"/>
      <c r="BI462" s="38"/>
      <c r="BJ462" s="38"/>
    </row>
    <row r="463" spans="1:62" ht="15.75" customHeight="1">
      <c r="A463" s="5" t="str">
        <f t="shared" si="123"/>
        <v>Dons</v>
      </c>
      <c r="B463" s="3"/>
      <c r="C463" s="38"/>
      <c r="D463" s="38"/>
      <c r="E463" s="38"/>
      <c r="F463" s="38"/>
      <c r="G463" s="38"/>
      <c r="H463" s="38"/>
      <c r="I463" s="38"/>
      <c r="J463" s="38"/>
      <c r="K463" s="38"/>
      <c r="L463" s="38"/>
      <c r="M463" s="38"/>
      <c r="N463" s="38"/>
      <c r="O463" s="38"/>
      <c r="P463" s="38"/>
      <c r="Q463" s="38"/>
      <c r="R463" s="38"/>
      <c r="S463" s="38"/>
      <c r="T463" s="38"/>
      <c r="U463" s="80"/>
      <c r="V463" s="310" t="s">
        <v>210</v>
      </c>
      <c r="W463" s="461" t="s">
        <v>635</v>
      </c>
      <c r="X463" s="454"/>
      <c r="Y463" s="462"/>
      <c r="Z463" s="455" cm="1">
        <f t="array" ref="Z463">+SUMPRODUCT(('Budget original'!$A$8:$A$501=$A463)*('Budget original'!$C$3:$AO$3=Z$2),'Budget original'!$C$8:$AO$501)</f>
        <v>0</v>
      </c>
      <c r="AA463" s="454"/>
      <c r="AB463" s="462"/>
      <c r="AC463" s="455"/>
      <c r="AD463" s="463"/>
      <c r="AE463" s="462"/>
      <c r="AF463" s="455">
        <f>SUMIFS(BV_Data_An_Cour!$AN:$AN,BV_Data_An_Cour!$AQ:$AQ,$V463)</f>
        <v>0</v>
      </c>
      <c r="AG463" s="456"/>
      <c r="AH463" s="457">
        <v>0</v>
      </c>
      <c r="AI463" s="477">
        <v>0</v>
      </c>
      <c r="AJ463" s="463"/>
      <c r="AK463" s="462"/>
      <c r="AL463" s="455">
        <f>SUMIFS(BV_Data_An_Prec!$AN:$AN,BV_Data_An_Prec!$AQ:$AQ,$V463)</f>
        <v>0</v>
      </c>
      <c r="AM463" s="459"/>
      <c r="AN463" s="457">
        <v>0</v>
      </c>
      <c r="AO463" s="464">
        <v>0</v>
      </c>
      <c r="AP463" s="94"/>
      <c r="AQ463" s="571">
        <v>0</v>
      </c>
      <c r="AR463" s="510">
        <f t="shared" si="111"/>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3"/>
        <v>[...]</v>
      </c>
      <c r="B464" s="3"/>
      <c r="C464" s="38"/>
      <c r="D464" s="38"/>
      <c r="E464" s="38"/>
      <c r="F464" s="38"/>
      <c r="G464" s="38"/>
      <c r="H464" s="38"/>
      <c r="I464" s="38"/>
      <c r="J464" s="38"/>
      <c r="K464" s="38"/>
      <c r="L464" s="38"/>
      <c r="M464" s="38"/>
      <c r="N464" s="38"/>
      <c r="O464" s="38"/>
      <c r="P464" s="38"/>
      <c r="Q464" s="38"/>
      <c r="R464" s="38"/>
      <c r="S464" s="38"/>
      <c r="T464" s="38"/>
      <c r="U464" s="80"/>
      <c r="V464" s="310" t="s">
        <v>55</v>
      </c>
      <c r="W464" s="461"/>
      <c r="X464" s="454"/>
      <c r="Y464" s="462"/>
      <c r="Z464" s="455">
        <v>0</v>
      </c>
      <c r="AA464" s="454"/>
      <c r="AB464" s="462"/>
      <c r="AC464" s="455"/>
      <c r="AD464" s="463"/>
      <c r="AE464" s="462"/>
      <c r="AF464" s="455">
        <v>0</v>
      </c>
      <c r="AG464" s="456"/>
      <c r="AH464" s="457">
        <f>AF464-Z464</f>
        <v>0</v>
      </c>
      <c r="AI464" s="477">
        <f>IF(Z464=0,0,AH464/Z464)</f>
        <v>0</v>
      </c>
      <c r="AJ464" s="463"/>
      <c r="AK464" s="462"/>
      <c r="AL464" s="455">
        <v>0</v>
      </c>
      <c r="AM464" s="459"/>
      <c r="AN464" s="457">
        <v>0</v>
      </c>
      <c r="AO464" s="464">
        <v>1</v>
      </c>
      <c r="AP464" s="94"/>
      <c r="AQ464" s="571">
        <v>0</v>
      </c>
      <c r="AR464" s="510">
        <f t="shared" si="111"/>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3"/>
        <v>[...]</v>
      </c>
      <c r="B465" s="3"/>
      <c r="C465" s="38"/>
      <c r="D465" s="38"/>
      <c r="E465" s="38"/>
      <c r="F465" s="38"/>
      <c r="G465" s="38"/>
      <c r="H465" s="38"/>
      <c r="I465" s="38"/>
      <c r="J465" s="38"/>
      <c r="K465" s="38"/>
      <c r="L465" s="38"/>
      <c r="M465" s="38"/>
      <c r="N465" s="38"/>
      <c r="O465" s="38"/>
      <c r="P465" s="38"/>
      <c r="Q465" s="38"/>
      <c r="R465" s="38"/>
      <c r="S465" s="38"/>
      <c r="T465" s="38"/>
      <c r="U465" s="80"/>
      <c r="V465" s="310" t="s">
        <v>55</v>
      </c>
      <c r="W465" s="461"/>
      <c r="X465" s="454"/>
      <c r="Y465" s="462"/>
      <c r="Z465" s="455">
        <v>0</v>
      </c>
      <c r="AA465" s="454"/>
      <c r="AB465" s="462"/>
      <c r="AC465" s="455"/>
      <c r="AD465" s="463"/>
      <c r="AE465" s="462"/>
      <c r="AF465" s="455">
        <v>0</v>
      </c>
      <c r="AG465" s="456"/>
      <c r="AH465" s="457">
        <f>AF465-Z465</f>
        <v>0</v>
      </c>
      <c r="AI465" s="477">
        <f>IF(Z465=0,0,AH465/Z465)</f>
        <v>0</v>
      </c>
      <c r="AJ465" s="463"/>
      <c r="AK465" s="462"/>
      <c r="AL465" s="455">
        <v>0</v>
      </c>
      <c r="AM465" s="459"/>
      <c r="AN465" s="457">
        <v>0</v>
      </c>
      <c r="AO465" s="464">
        <v>2</v>
      </c>
      <c r="AP465" s="94"/>
      <c r="AQ465" s="571">
        <v>0</v>
      </c>
      <c r="AR465" s="510">
        <f t="shared" si="111"/>
        <v>0</v>
      </c>
      <c r="AS465" s="38"/>
      <c r="AT465" s="38"/>
      <c r="AU465" s="38"/>
      <c r="AV465" s="38"/>
      <c r="AW465" s="38"/>
      <c r="AX465" s="38"/>
      <c r="AY465" s="38"/>
      <c r="AZ465" s="38"/>
      <c r="BA465" s="38"/>
      <c r="BB465" s="38"/>
      <c r="BC465" s="38"/>
      <c r="BD465" s="38"/>
      <c r="BE465" s="38"/>
      <c r="BF465" s="38"/>
      <c r="BG465" s="38"/>
      <c r="BH465" s="38"/>
      <c r="BI465" s="38"/>
      <c r="BJ465" s="38"/>
    </row>
    <row r="466" spans="1:62" ht="15.75" hidden="1" customHeight="1">
      <c r="A466" s="5" t="str">
        <f t="shared" si="123"/>
        <v>[...]</v>
      </c>
      <c r="B466" s="3"/>
      <c r="C466" s="38"/>
      <c r="D466" s="38"/>
      <c r="E466" s="38"/>
      <c r="F466" s="38"/>
      <c r="G466" s="38"/>
      <c r="H466" s="38"/>
      <c r="I466" s="38"/>
      <c r="J466" s="38"/>
      <c r="K466" s="38"/>
      <c r="L466" s="38"/>
      <c r="M466" s="38"/>
      <c r="N466" s="38"/>
      <c r="O466" s="38"/>
      <c r="P466" s="38"/>
      <c r="Q466" s="38"/>
      <c r="R466" s="38"/>
      <c r="S466" s="38"/>
      <c r="T466" s="38"/>
      <c r="U466" s="38"/>
      <c r="V466" s="310" t="s">
        <v>55</v>
      </c>
      <c r="W466" s="461"/>
      <c r="X466" s="454"/>
      <c r="Y466" s="462"/>
      <c r="Z466" s="455">
        <v>0</v>
      </c>
      <c r="AA466" s="454"/>
      <c r="AB466" s="462"/>
      <c r="AC466" s="455"/>
      <c r="AD466" s="463"/>
      <c r="AE466" s="462"/>
      <c r="AF466" s="455">
        <v>0</v>
      </c>
      <c r="AG466" s="456"/>
      <c r="AH466" s="457">
        <f>AF466-Z466</f>
        <v>0</v>
      </c>
      <c r="AI466" s="477">
        <f>IF(Z466=0,0,AH466/Z466)</f>
        <v>0</v>
      </c>
      <c r="AJ466" s="463"/>
      <c r="AK466" s="462"/>
      <c r="AL466" s="455">
        <v>0</v>
      </c>
      <c r="AM466" s="459"/>
      <c r="AN466" s="457">
        <v>0</v>
      </c>
      <c r="AO466" s="464">
        <v>3</v>
      </c>
      <c r="AP466" s="94"/>
      <c r="AQ466" s="571">
        <v>0</v>
      </c>
      <c r="AR466" s="510">
        <f t="shared" si="111"/>
        <v>0</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3"/>
        <v>TOTAL DÉPENSES FIXES</v>
      </c>
      <c r="B467" s="3"/>
      <c r="C467" s="38"/>
      <c r="D467" s="38"/>
      <c r="E467" s="38"/>
      <c r="F467" s="38"/>
      <c r="G467" s="38"/>
      <c r="H467" s="38"/>
      <c r="I467" s="38"/>
      <c r="J467" s="38"/>
      <c r="K467" s="38"/>
      <c r="L467" s="38"/>
      <c r="M467" s="38"/>
      <c r="N467" s="38"/>
      <c r="O467" s="38"/>
      <c r="P467" s="38"/>
      <c r="Q467" s="38"/>
      <c r="R467" s="38"/>
      <c r="S467" s="38"/>
      <c r="T467" s="38"/>
      <c r="U467" s="38"/>
      <c r="V467" s="469" t="s">
        <v>211</v>
      </c>
      <c r="W467" s="470"/>
      <c r="X467" s="471" t="e">
        <f>Z467/+Z408</f>
        <v>#DIV/0!</v>
      </c>
      <c r="Y467" s="470"/>
      <c r="Z467" s="472">
        <f>SUM(Z454:Z466)</f>
        <v>0</v>
      </c>
      <c r="AA467" s="471"/>
      <c r="AB467" s="470"/>
      <c r="AC467" s="472"/>
      <c r="AD467" s="473">
        <f>AF467/AF408</f>
        <v>0.26871172606090338</v>
      </c>
      <c r="AE467" s="470"/>
      <c r="AF467" s="472">
        <f>SUM(AF454:AF466)</f>
        <v>968580.79999999993</v>
      </c>
      <c r="AG467" s="479"/>
      <c r="AH467" s="826">
        <f>SUM(AH454:AH466)</f>
        <v>968580.79999999993</v>
      </c>
      <c r="AI467" s="471">
        <f>IF(Z467=0,0,AH467/Z467)</f>
        <v>0</v>
      </c>
      <c r="AJ467" s="473">
        <f>IF($AL$408=0,0,AL467/$AL$408)</f>
        <v>0</v>
      </c>
      <c r="AK467" s="470"/>
      <c r="AL467" s="472">
        <f>SUM(AL454:AL466)</f>
        <v>0</v>
      </c>
      <c r="AM467" s="480"/>
      <c r="AN467" s="475">
        <f>SUM(AN454:AN466)</f>
        <v>968580.79999999993</v>
      </c>
      <c r="AO467" s="493">
        <f t="shared" ref="AO467:AO484" si="127">IF(AL467=0,0,AN467/AL467)</f>
        <v>0</v>
      </c>
      <c r="AP467" s="94"/>
      <c r="AQ467" s="573">
        <v>582942.87</v>
      </c>
      <c r="AR467" s="574">
        <f t="shared" si="111"/>
        <v>385637.92999999993</v>
      </c>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3"/>
        <v/>
      </c>
      <c r="B468" s="3"/>
      <c r="C468" s="38"/>
      <c r="D468" s="38"/>
      <c r="E468" s="38"/>
      <c r="F468" s="38"/>
      <c r="G468" s="38"/>
      <c r="H468" s="38"/>
      <c r="I468" s="38"/>
      <c r="J468" s="38"/>
      <c r="K468" s="38"/>
      <c r="L468" s="38"/>
      <c r="M468" s="38"/>
      <c r="N468" s="38"/>
      <c r="O468" s="38"/>
      <c r="P468" s="38"/>
      <c r="Q468" s="38"/>
      <c r="R468" s="38"/>
      <c r="S468" s="38"/>
      <c r="T468" s="38"/>
      <c r="U468" s="38"/>
      <c r="V468" s="310"/>
      <c r="W468" s="454"/>
      <c r="X468" s="454"/>
      <c r="Y468" s="454"/>
      <c r="Z468" s="497"/>
      <c r="AA468" s="454"/>
      <c r="AB468" s="454"/>
      <c r="AC468" s="497"/>
      <c r="AD468" s="463"/>
      <c r="AE468" s="454"/>
      <c r="AF468" s="497"/>
      <c r="AG468" s="463"/>
      <c r="AH468" s="457">
        <f t="shared" ref="AH468:AH482" si="128">AF468-Z468</f>
        <v>0</v>
      </c>
      <c r="AI468" s="458"/>
      <c r="AJ468" s="463"/>
      <c r="AK468" s="454"/>
      <c r="AL468" s="497"/>
      <c r="AM468" s="498"/>
      <c r="AN468" s="457">
        <f t="shared" ref="AN468:AN484" si="129">AF468-AL468</f>
        <v>0</v>
      </c>
      <c r="AO468" s="499">
        <f t="shared" si="127"/>
        <v>0</v>
      </c>
      <c r="AP468" s="94"/>
      <c r="AQ468" s="579"/>
      <c r="AR468" s="580"/>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3"/>
        <v>TOTAL DES DÉPENSES</v>
      </c>
      <c r="B469" s="3"/>
      <c r="C469" s="38"/>
      <c r="D469" s="38"/>
      <c r="E469" s="38"/>
      <c r="F469" s="38"/>
      <c r="G469" s="38"/>
      <c r="H469" s="38"/>
      <c r="I469" s="38"/>
      <c r="J469" s="38"/>
      <c r="K469" s="38"/>
      <c r="L469" s="38"/>
      <c r="M469" s="38"/>
      <c r="N469" s="38"/>
      <c r="O469" s="38"/>
      <c r="P469" s="38"/>
      <c r="Q469" s="38"/>
      <c r="R469" s="38"/>
      <c r="S469" s="38"/>
      <c r="T469" s="38"/>
      <c r="U469" s="38"/>
      <c r="V469" s="469" t="s">
        <v>140</v>
      </c>
      <c r="W469" s="470"/>
      <c r="X469" s="471" t="e">
        <f>Z469/+Z408</f>
        <v>#DIV/0!</v>
      </c>
      <c r="Y469" s="470"/>
      <c r="Z469" s="472">
        <f>Z420+Z434+Z453+Z467</f>
        <v>0</v>
      </c>
      <c r="AA469" s="471"/>
      <c r="AB469" s="470"/>
      <c r="AC469" s="472"/>
      <c r="AD469" s="473">
        <f>AF469/AF408</f>
        <v>0.88013158990286622</v>
      </c>
      <c r="AE469" s="470"/>
      <c r="AF469" s="472">
        <f>AF420+AF434+AF453+AF467</f>
        <v>3172465.05</v>
      </c>
      <c r="AG469" s="479"/>
      <c r="AH469" s="826">
        <f t="shared" si="128"/>
        <v>3172465.05</v>
      </c>
      <c r="AI469" s="471" t="e">
        <f>AH469/Z469</f>
        <v>#DIV/0!</v>
      </c>
      <c r="AJ469" s="473">
        <f>IF($AL$408=0,0,AL469/$AL$408)</f>
        <v>0</v>
      </c>
      <c r="AK469" s="470"/>
      <c r="AL469" s="472">
        <f>AL420+AL434+AL453+AL467</f>
        <v>0</v>
      </c>
      <c r="AM469" s="480"/>
      <c r="AN469" s="475">
        <f t="shared" si="129"/>
        <v>3172465.05</v>
      </c>
      <c r="AO469" s="452">
        <f t="shared" si="127"/>
        <v>0</v>
      </c>
      <c r="AP469" s="94"/>
      <c r="AQ469" s="573">
        <v>6902902.9400000004</v>
      </c>
      <c r="AR469" s="574">
        <f t="shared" ref="AR469:AR482" si="130">AF469-AQ469</f>
        <v>-3730437.8900000006</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3"/>
        <v>Revenus autres</v>
      </c>
      <c r="B470" s="3"/>
      <c r="C470" s="38"/>
      <c r="D470" s="38"/>
      <c r="E470" s="38"/>
      <c r="F470" s="38"/>
      <c r="G470" s="38"/>
      <c r="H470" s="38"/>
      <c r="I470" s="38"/>
      <c r="J470" s="38"/>
      <c r="K470" s="38"/>
      <c r="L470" s="38"/>
      <c r="M470" s="38"/>
      <c r="N470" s="38"/>
      <c r="O470" s="38"/>
      <c r="P470" s="38"/>
      <c r="Q470" s="38"/>
      <c r="R470" s="38"/>
      <c r="S470" s="38"/>
      <c r="T470" s="38"/>
      <c r="U470" s="38"/>
      <c r="V470" s="310" t="s">
        <v>212</v>
      </c>
      <c r="W470" s="495"/>
      <c r="X470" s="495"/>
      <c r="Y470" s="454"/>
      <c r="Z470" s="483" cm="1">
        <f t="array" ref="Z470">+SUMPRODUCT(('Budget original'!$A$8:$A$501=$A470)*('Budget original'!$C$3:$AO$3=Z$2),'Budget original'!$C$8:$AO$501)</f>
        <v>0</v>
      </c>
      <c r="AA470" s="500"/>
      <c r="AB470" s="501"/>
      <c r="AC470" s="483"/>
      <c r="AD470" s="502"/>
      <c r="AE470" s="501"/>
      <c r="AF470" s="455">
        <f>-SUMIFS(BV_Data_An_Cour!$AN:$AN,BV_Data_An_Cour!$AQ:$AQ,$V470)</f>
        <v>310749.82</v>
      </c>
      <c r="AG470" s="503"/>
      <c r="AH470" s="457">
        <f t="shared" si="128"/>
        <v>310749.82</v>
      </c>
      <c r="AI470" s="496" t="e">
        <f>IF(AH470=0,0,AH470/Z470)</f>
        <v>#DIV/0!</v>
      </c>
      <c r="AJ470" s="502"/>
      <c r="AK470" s="501"/>
      <c r="AL470" s="455">
        <f>-SUMIFS(BV_Data_An_Prec!$AN:$AN,BV_Data_An_Prec!$AQ:$AQ,$V470)</f>
        <v>0</v>
      </c>
      <c r="AM470" s="505"/>
      <c r="AN470" s="457">
        <f t="shared" si="129"/>
        <v>310749.82</v>
      </c>
      <c r="AO470" s="464">
        <f t="shared" si="127"/>
        <v>0</v>
      </c>
      <c r="AP470" s="94"/>
      <c r="AQ470" s="571">
        <v>275258.11</v>
      </c>
      <c r="AR470" s="510">
        <f t="shared" si="130"/>
        <v>35491.710000000021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3"/>
        <v>Holdbacks</v>
      </c>
      <c r="B471" s="3"/>
      <c r="C471" s="38"/>
      <c r="D471" s="38"/>
      <c r="E471" s="38"/>
      <c r="F471" s="38"/>
      <c r="G471" s="38"/>
      <c r="H471" s="38"/>
      <c r="I471" s="38"/>
      <c r="J471" s="38"/>
      <c r="K471" s="38"/>
      <c r="L471" s="38"/>
      <c r="M471" s="38"/>
      <c r="N471" s="38"/>
      <c r="O471" s="38"/>
      <c r="P471" s="38"/>
      <c r="Q471" s="38"/>
      <c r="R471" s="38"/>
      <c r="S471" s="38"/>
      <c r="T471" s="38"/>
      <c r="U471" s="38"/>
      <c r="V471" s="310" t="s">
        <v>144</v>
      </c>
      <c r="W471" s="454"/>
      <c r="X471" s="454"/>
      <c r="Y471" s="454"/>
      <c r="Z471" s="455">
        <f t="shared" ref="Z471:Z477" si="131">+SUMIF($C:$C,$V471,F:F)</f>
        <v>0</v>
      </c>
      <c r="AA471" s="494"/>
      <c r="AB471" s="495"/>
      <c r="AC471" s="455"/>
      <c r="AD471" s="509"/>
      <c r="AE471" s="495"/>
      <c r="AF471" s="455">
        <f t="shared" ref="AF471:AF481" si="132">+SUMIF($C:$C,$V471,L:L)</f>
        <v>506029</v>
      </c>
      <c r="AG471" s="508"/>
      <c r="AH471" s="457">
        <f t="shared" si="128"/>
        <v>506029</v>
      </c>
      <c r="AI471" s="477">
        <f>IF(Z471=0,0,AH471/Z471)</f>
        <v>0</v>
      </c>
      <c r="AJ471" s="509"/>
      <c r="AK471" s="495"/>
      <c r="AL471" s="455">
        <f>-SUMIFS(BV_Data_An_Prec!$AN:$AN,BV_Data_An_Prec!$AQ:$AQ,$V471)</f>
        <v>0</v>
      </c>
      <c r="AM471" s="506"/>
      <c r="AN471" s="457">
        <f t="shared" si="129"/>
        <v>506029</v>
      </c>
      <c r="AO471" s="464">
        <f t="shared" si="127"/>
        <v>0</v>
      </c>
      <c r="AP471" s="94"/>
      <c r="AQ471" s="571">
        <v>693962.92</v>
      </c>
      <c r="AR471" s="510">
        <f t="shared" si="130"/>
        <v>-187933.92000000004</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3"/>
        <v>Programme neuf 1</v>
      </c>
      <c r="B472" s="3"/>
      <c r="C472" s="38"/>
      <c r="D472" s="38"/>
      <c r="E472" s="38"/>
      <c r="F472" s="38"/>
      <c r="G472" s="38"/>
      <c r="H472" s="38"/>
      <c r="I472" s="38"/>
      <c r="J472" s="38"/>
      <c r="K472" s="38"/>
      <c r="L472" s="38"/>
      <c r="M472" s="38"/>
      <c r="N472" s="38"/>
      <c r="O472" s="38"/>
      <c r="P472" s="38"/>
      <c r="Q472" s="38"/>
      <c r="R472" s="38"/>
      <c r="S472" s="38"/>
      <c r="T472" s="38"/>
      <c r="U472" s="38"/>
      <c r="V472" s="310" t="s">
        <v>141</v>
      </c>
      <c r="W472" s="454"/>
      <c r="X472" s="454"/>
      <c r="Y472" s="454"/>
      <c r="Z472" s="455">
        <f t="shared" si="131"/>
        <v>0</v>
      </c>
      <c r="AA472" s="494"/>
      <c r="AB472" s="495"/>
      <c r="AC472" s="455"/>
      <c r="AD472" s="509"/>
      <c r="AE472" s="495"/>
      <c r="AF472" s="455">
        <f t="shared" si="132"/>
        <v>0</v>
      </c>
      <c r="AG472" s="508"/>
      <c r="AH472" s="457">
        <f t="shared" si="128"/>
        <v>0</v>
      </c>
      <c r="AI472" s="477">
        <f t="shared" ref="AI472:AI481" si="133">IF(AH472=0,0,AH472/Z472)</f>
        <v>0</v>
      </c>
      <c r="AJ472" s="509"/>
      <c r="AK472" s="495"/>
      <c r="AL472" s="455">
        <f>-SUMIFS(BV_Data_An_Prec!$AN:$AN,BV_Data_An_Prec!$AQ:$AQ,$V472)</f>
        <v>0</v>
      </c>
      <c r="AM472" s="506"/>
      <c r="AN472" s="457">
        <f t="shared" si="129"/>
        <v>0</v>
      </c>
      <c r="AO472" s="464">
        <f t="shared" si="127"/>
        <v>0</v>
      </c>
      <c r="AP472" s="94"/>
      <c r="AQ472" s="571">
        <v>43300</v>
      </c>
      <c r="AR472" s="510">
        <f t="shared" si="130"/>
        <v>-43300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3"/>
        <v>Programme neuf 2</v>
      </c>
      <c r="B473" s="3"/>
      <c r="C473" s="38"/>
      <c r="D473" s="38"/>
      <c r="E473" s="38"/>
      <c r="F473" s="38"/>
      <c r="G473" s="38"/>
      <c r="H473" s="38"/>
      <c r="I473" s="38"/>
      <c r="J473" s="38"/>
      <c r="K473" s="38"/>
      <c r="L473" s="38"/>
      <c r="M473" s="38"/>
      <c r="N473" s="38"/>
      <c r="O473" s="38"/>
      <c r="P473" s="38"/>
      <c r="Q473" s="38"/>
      <c r="R473" s="38"/>
      <c r="S473" s="38"/>
      <c r="T473" s="38"/>
      <c r="U473" s="38"/>
      <c r="V473" s="310" t="s">
        <v>142</v>
      </c>
      <c r="W473" s="454"/>
      <c r="X473" s="454"/>
      <c r="Y473" s="454"/>
      <c r="Z473" s="455">
        <f t="shared" si="131"/>
        <v>0</v>
      </c>
      <c r="AA473" s="494"/>
      <c r="AB473" s="495"/>
      <c r="AC473" s="455"/>
      <c r="AD473" s="509"/>
      <c r="AE473" s="495"/>
      <c r="AF473" s="455">
        <f t="shared" si="132"/>
        <v>0</v>
      </c>
      <c r="AG473" s="508"/>
      <c r="AH473" s="457">
        <f t="shared" si="128"/>
        <v>0</v>
      </c>
      <c r="AI473" s="477">
        <f t="shared" si="133"/>
        <v>0</v>
      </c>
      <c r="AJ473" s="509"/>
      <c r="AK473" s="495"/>
      <c r="AL473" s="455">
        <f>-SUMIFS(BV_Data_An_Prec!$AN:$AN,BV_Data_An_Prec!$AQ:$AQ,$V473)</f>
        <v>0</v>
      </c>
      <c r="AM473" s="506"/>
      <c r="AN473" s="457">
        <f t="shared" si="129"/>
        <v>0</v>
      </c>
      <c r="AO473" s="464">
        <f t="shared" si="127"/>
        <v>0</v>
      </c>
      <c r="AP473" s="94"/>
      <c r="AQ473" s="571">
        <v>0</v>
      </c>
      <c r="AR473" s="510">
        <f t="shared" si="130"/>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3"/>
        <v>Programme neuf 3</v>
      </c>
      <c r="B474" s="3"/>
      <c r="C474" s="38"/>
      <c r="D474" s="38"/>
      <c r="E474" s="38"/>
      <c r="F474" s="38"/>
      <c r="G474" s="38"/>
      <c r="H474" s="38"/>
      <c r="I474" s="38"/>
      <c r="J474" s="38"/>
      <c r="K474" s="38"/>
      <c r="L474" s="38"/>
      <c r="M474" s="38"/>
      <c r="N474" s="38"/>
      <c r="O474" s="38"/>
      <c r="P474" s="38"/>
      <c r="Q474" s="38"/>
      <c r="R474" s="38"/>
      <c r="S474" s="38"/>
      <c r="T474" s="38"/>
      <c r="U474" s="38"/>
      <c r="V474" s="310" t="s">
        <v>143</v>
      </c>
      <c r="W474" s="454"/>
      <c r="X474" s="454"/>
      <c r="Y474" s="454"/>
      <c r="Z474" s="455">
        <f t="shared" si="131"/>
        <v>0</v>
      </c>
      <c r="AA474" s="494"/>
      <c r="AB474" s="495"/>
      <c r="AC474" s="455"/>
      <c r="AD474" s="509"/>
      <c r="AE474" s="495"/>
      <c r="AF474" s="455">
        <f t="shared" si="132"/>
        <v>0</v>
      </c>
      <c r="AG474" s="508"/>
      <c r="AH474" s="457">
        <f t="shared" si="128"/>
        <v>0</v>
      </c>
      <c r="AI474" s="477">
        <f t="shared" si="133"/>
        <v>0</v>
      </c>
      <c r="AJ474" s="509"/>
      <c r="AK474" s="495"/>
      <c r="AL474" s="455">
        <f>-SUMIFS(BV_Data_An_Prec!$AN:$AN,BV_Data_An_Prec!$AQ:$AQ,$V474)</f>
        <v>0</v>
      </c>
      <c r="AM474" s="506"/>
      <c r="AN474" s="457">
        <f t="shared" si="129"/>
        <v>0</v>
      </c>
      <c r="AO474" s="464">
        <f t="shared" si="127"/>
        <v>0</v>
      </c>
      <c r="AP474" s="94"/>
      <c r="AQ474" s="571">
        <v>0</v>
      </c>
      <c r="AR474" s="510">
        <f t="shared" si="130"/>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3"/>
        <v>Programme used 1</v>
      </c>
      <c r="B475" s="3"/>
      <c r="C475" s="38"/>
      <c r="D475" s="38"/>
      <c r="E475" s="38"/>
      <c r="F475" s="38"/>
      <c r="G475" s="38"/>
      <c r="H475" s="38"/>
      <c r="I475" s="38"/>
      <c r="J475" s="38"/>
      <c r="K475" s="38"/>
      <c r="L475" s="38"/>
      <c r="M475" s="38"/>
      <c r="N475" s="38"/>
      <c r="O475" s="38"/>
      <c r="P475" s="38"/>
      <c r="Q475" s="38"/>
      <c r="R475" s="38"/>
      <c r="S475" s="38"/>
      <c r="T475" s="38"/>
      <c r="U475" s="38"/>
      <c r="V475" s="310" t="s">
        <v>154</v>
      </c>
      <c r="W475" s="454"/>
      <c r="X475" s="454"/>
      <c r="Y475" s="454"/>
      <c r="Z475" s="455">
        <f t="shared" si="131"/>
        <v>0</v>
      </c>
      <c r="AA475" s="494"/>
      <c r="AB475" s="495"/>
      <c r="AC475" s="455"/>
      <c r="AD475" s="509"/>
      <c r="AE475" s="495"/>
      <c r="AF475" s="455">
        <f t="shared" si="132"/>
        <v>0</v>
      </c>
      <c r="AG475" s="508"/>
      <c r="AH475" s="457">
        <f t="shared" si="128"/>
        <v>0</v>
      </c>
      <c r="AI475" s="477">
        <f t="shared" si="133"/>
        <v>0</v>
      </c>
      <c r="AJ475" s="509"/>
      <c r="AK475" s="495"/>
      <c r="AL475" s="455">
        <f>-SUMIFS(BV_Data_An_Prec!$AN:$AN,BV_Data_An_Prec!$AQ:$AQ,$V475)</f>
        <v>0</v>
      </c>
      <c r="AM475" s="506"/>
      <c r="AN475" s="457">
        <f t="shared" si="129"/>
        <v>0</v>
      </c>
      <c r="AO475" s="464">
        <f t="shared" si="127"/>
        <v>0</v>
      </c>
      <c r="AP475" s="94"/>
      <c r="AQ475" s="571">
        <v>0</v>
      </c>
      <c r="AR475" s="510">
        <f t="shared" si="130"/>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3"/>
        <v>Programme used 2</v>
      </c>
      <c r="B476" s="3"/>
      <c r="C476" s="38"/>
      <c r="D476" s="38"/>
      <c r="E476" s="38"/>
      <c r="F476" s="38"/>
      <c r="G476" s="38"/>
      <c r="H476" s="38"/>
      <c r="I476" s="38"/>
      <c r="J476" s="38"/>
      <c r="K476" s="38"/>
      <c r="L476" s="38"/>
      <c r="M476" s="38"/>
      <c r="N476" s="38"/>
      <c r="O476" s="38"/>
      <c r="P476" s="38"/>
      <c r="Q476" s="38"/>
      <c r="R476" s="38"/>
      <c r="S476" s="38"/>
      <c r="T476" s="38"/>
      <c r="U476" s="38"/>
      <c r="V476" s="310" t="s">
        <v>155</v>
      </c>
      <c r="W476" s="454"/>
      <c r="X476" s="454"/>
      <c r="Y476" s="454"/>
      <c r="Z476" s="455">
        <f t="shared" si="131"/>
        <v>0</v>
      </c>
      <c r="AA476" s="494"/>
      <c r="AB476" s="495"/>
      <c r="AC476" s="455"/>
      <c r="AD476" s="509"/>
      <c r="AE476" s="495"/>
      <c r="AF476" s="455">
        <f t="shared" si="132"/>
        <v>0</v>
      </c>
      <c r="AG476" s="508"/>
      <c r="AH476" s="457">
        <f t="shared" si="128"/>
        <v>0</v>
      </c>
      <c r="AI476" s="477">
        <f t="shared" si="133"/>
        <v>0</v>
      </c>
      <c r="AJ476" s="509"/>
      <c r="AK476" s="495"/>
      <c r="AL476" s="455">
        <f>-SUMIFS(BV_Data_An_Prec!$AN:$AN,BV_Data_An_Prec!$AQ:$AQ,$V476)</f>
        <v>0</v>
      </c>
      <c r="AM476" s="506"/>
      <c r="AN476" s="457">
        <f t="shared" si="129"/>
        <v>0</v>
      </c>
      <c r="AO476" s="464">
        <f t="shared" si="127"/>
        <v>0</v>
      </c>
      <c r="AP476" s="94"/>
      <c r="AQ476" s="571">
        <v>0</v>
      </c>
      <c r="AR476" s="510">
        <f t="shared" si="130"/>
        <v>0</v>
      </c>
      <c r="AS476" s="38"/>
      <c r="AT476" s="38"/>
      <c r="AU476" s="38"/>
      <c r="AV476" s="38"/>
      <c r="AW476" s="38"/>
      <c r="AX476" s="38"/>
      <c r="AY476" s="38"/>
      <c r="AZ476" s="38"/>
      <c r="BA476" s="38"/>
      <c r="BB476" s="38"/>
      <c r="BC476" s="38"/>
      <c r="BD476" s="38"/>
      <c r="BE476" s="38"/>
      <c r="BF476" s="38"/>
      <c r="BG476" s="38"/>
      <c r="BH476" s="38"/>
      <c r="BI476" s="38"/>
      <c r="BJ476" s="38"/>
    </row>
    <row r="477" spans="1:62" ht="15.75" customHeight="1">
      <c r="A477" s="5" t="str">
        <f t="shared" si="123"/>
        <v>Programme used 3</v>
      </c>
      <c r="B477" s="3"/>
      <c r="C477" s="38"/>
      <c r="D477" s="38"/>
      <c r="E477" s="38"/>
      <c r="F477" s="38"/>
      <c r="G477" s="38"/>
      <c r="H477" s="38"/>
      <c r="I477" s="38"/>
      <c r="J477" s="38"/>
      <c r="K477" s="38"/>
      <c r="L477" s="38"/>
      <c r="M477" s="38"/>
      <c r="N477" s="38"/>
      <c r="O477" s="38"/>
      <c r="P477" s="38"/>
      <c r="Q477" s="38"/>
      <c r="R477" s="38"/>
      <c r="S477" s="38"/>
      <c r="T477" s="38"/>
      <c r="U477" s="38"/>
      <c r="V477" s="310" t="s">
        <v>156</v>
      </c>
      <c r="W477" s="454"/>
      <c r="X477" s="454"/>
      <c r="Y477" s="454"/>
      <c r="Z477" s="455">
        <f t="shared" si="131"/>
        <v>0</v>
      </c>
      <c r="AA477" s="494"/>
      <c r="AB477" s="495"/>
      <c r="AC477" s="455"/>
      <c r="AD477" s="509"/>
      <c r="AE477" s="495"/>
      <c r="AF477" s="455">
        <f t="shared" si="132"/>
        <v>0</v>
      </c>
      <c r="AG477" s="508"/>
      <c r="AH477" s="457">
        <f t="shared" si="128"/>
        <v>0</v>
      </c>
      <c r="AI477" s="477">
        <f t="shared" si="133"/>
        <v>0</v>
      </c>
      <c r="AJ477" s="509"/>
      <c r="AK477" s="495"/>
      <c r="AL477" s="455">
        <f>-SUMIFS(BV_Data_An_Prec!$AN:$AN,BV_Data_An_Prec!$AQ:$AQ,$V477)</f>
        <v>0</v>
      </c>
      <c r="AM477" s="506"/>
      <c r="AN477" s="457">
        <f t="shared" si="129"/>
        <v>0</v>
      </c>
      <c r="AO477" s="464">
        <f t="shared" si="127"/>
        <v>0</v>
      </c>
      <c r="AP477" s="94"/>
      <c r="AQ477" s="571">
        <v>0</v>
      </c>
      <c r="AR477" s="510">
        <f t="shared" si="130"/>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3"/>
        <v>[...]</v>
      </c>
      <c r="B478" s="3"/>
      <c r="C478" s="38"/>
      <c r="D478" s="38"/>
      <c r="E478" s="38"/>
      <c r="F478" s="38"/>
      <c r="G478" s="38"/>
      <c r="H478" s="38"/>
      <c r="I478" s="38"/>
      <c r="J478" s="38"/>
      <c r="K478" s="38"/>
      <c r="L478" s="38"/>
      <c r="M478" s="38"/>
      <c r="N478" s="38"/>
      <c r="O478" s="38"/>
      <c r="P478" s="38"/>
      <c r="Q478" s="38"/>
      <c r="R478" s="38"/>
      <c r="S478" s="38"/>
      <c r="T478" s="38"/>
      <c r="U478" s="38"/>
      <c r="V478" s="310" t="s">
        <v>55</v>
      </c>
      <c r="W478" s="454"/>
      <c r="X478" s="454"/>
      <c r="Y478" s="454"/>
      <c r="Z478" s="455" cm="1">
        <f t="array" ref="Z478">+SUMPRODUCT(('Budget original'!$A$8:$A$501=$A478)*('Budget original'!$C$3:$AO$3=Z$2),'Budget original'!$C$8:$AO$501)</f>
        <v>0</v>
      </c>
      <c r="AA478" s="494"/>
      <c r="AB478" s="495"/>
      <c r="AC478" s="455"/>
      <c r="AD478" s="509"/>
      <c r="AE478" s="495"/>
      <c r="AF478" s="455">
        <f t="shared" si="132"/>
        <v>0</v>
      </c>
      <c r="AG478" s="508"/>
      <c r="AH478" s="457">
        <f t="shared" si="128"/>
        <v>0</v>
      </c>
      <c r="AI478" s="477">
        <f t="shared" si="133"/>
        <v>0</v>
      </c>
      <c r="AJ478" s="509"/>
      <c r="AK478" s="495"/>
      <c r="AL478" s="455">
        <f>-SUMIFS(BV_Data_An_Prec!$AN:$AN,BV_Data_An_Prec!$AQ:$AQ,$V478)</f>
        <v>0</v>
      </c>
      <c r="AM478" s="506"/>
      <c r="AN478" s="457">
        <f t="shared" si="129"/>
        <v>0</v>
      </c>
      <c r="AO478" s="464">
        <f t="shared" si="127"/>
        <v>0</v>
      </c>
      <c r="AP478" s="94"/>
      <c r="AQ478" s="571">
        <v>0</v>
      </c>
      <c r="AR478" s="510">
        <f t="shared" si="130"/>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3"/>
        <v>[...]</v>
      </c>
      <c r="B479" s="3"/>
      <c r="C479" s="38"/>
      <c r="D479" s="38"/>
      <c r="E479" s="38"/>
      <c r="F479" s="38"/>
      <c r="G479" s="38"/>
      <c r="H479" s="38"/>
      <c r="I479" s="38"/>
      <c r="J479" s="38"/>
      <c r="K479" s="38"/>
      <c r="L479" s="38"/>
      <c r="M479" s="38"/>
      <c r="N479" s="38"/>
      <c r="O479" s="38"/>
      <c r="P479" s="38"/>
      <c r="Q479" s="38"/>
      <c r="R479" s="38"/>
      <c r="S479" s="38"/>
      <c r="T479" s="38"/>
      <c r="U479" s="38"/>
      <c r="V479" s="310" t="s">
        <v>55</v>
      </c>
      <c r="W479" s="454"/>
      <c r="X479" s="454"/>
      <c r="Y479" s="454"/>
      <c r="Z479" s="455">
        <f>+SUMIF($C:$C,$V479,F:F)</f>
        <v>0</v>
      </c>
      <c r="AA479" s="494"/>
      <c r="AB479" s="495"/>
      <c r="AC479" s="455"/>
      <c r="AD479" s="509"/>
      <c r="AE479" s="495"/>
      <c r="AF479" s="455">
        <f t="shared" si="132"/>
        <v>0</v>
      </c>
      <c r="AG479" s="508"/>
      <c r="AH479" s="457">
        <f t="shared" si="128"/>
        <v>0</v>
      </c>
      <c r="AI479" s="477">
        <f t="shared" si="133"/>
        <v>0</v>
      </c>
      <c r="AJ479" s="509"/>
      <c r="AK479" s="495"/>
      <c r="AL479" s="455">
        <f>-SUMIFS(BV_Data_An_Prec!$AN:$AN,BV_Data_An_Prec!$AQ:$AQ,$V479)</f>
        <v>0</v>
      </c>
      <c r="AM479" s="506"/>
      <c r="AN479" s="457">
        <f t="shared" si="129"/>
        <v>0</v>
      </c>
      <c r="AO479" s="464">
        <f t="shared" si="127"/>
        <v>0</v>
      </c>
      <c r="AP479" s="94"/>
      <c r="AQ479" s="571">
        <v>0</v>
      </c>
      <c r="AR479" s="510">
        <f t="shared" si="130"/>
        <v>0</v>
      </c>
      <c r="AS479" s="38"/>
      <c r="AT479" s="38"/>
      <c r="AU479" s="38"/>
      <c r="AV479" s="38"/>
      <c r="AW479" s="38"/>
      <c r="AX479" s="38"/>
      <c r="AY479" s="38"/>
      <c r="AZ479" s="38"/>
      <c r="BA479" s="38"/>
      <c r="BB479" s="38"/>
      <c r="BC479" s="38"/>
      <c r="BD479" s="38"/>
      <c r="BE479" s="38"/>
      <c r="BF479" s="38"/>
      <c r="BG479" s="38"/>
      <c r="BH479" s="38"/>
      <c r="BI479" s="38"/>
      <c r="BJ479" s="38"/>
    </row>
    <row r="480" spans="1:62" ht="15.75" hidden="1" customHeight="1">
      <c r="A480" s="5" t="str">
        <f t="shared" si="123"/>
        <v>[...]</v>
      </c>
      <c r="B480" s="3"/>
      <c r="C480" s="38"/>
      <c r="D480" s="38"/>
      <c r="E480" s="38"/>
      <c r="F480" s="38"/>
      <c r="G480" s="38"/>
      <c r="H480" s="38"/>
      <c r="I480" s="38"/>
      <c r="J480" s="38"/>
      <c r="K480" s="38"/>
      <c r="L480" s="38"/>
      <c r="M480" s="38"/>
      <c r="N480" s="38"/>
      <c r="O480" s="38"/>
      <c r="P480" s="38"/>
      <c r="Q480" s="38"/>
      <c r="R480" s="38"/>
      <c r="S480" s="38"/>
      <c r="T480" s="38"/>
      <c r="U480" s="38"/>
      <c r="V480" s="310" t="s">
        <v>55</v>
      </c>
      <c r="W480" s="454"/>
      <c r="X480" s="454"/>
      <c r="Y480" s="454"/>
      <c r="Z480" s="455">
        <f>+SUMIF($C:$C,$V480,F:F)</f>
        <v>0</v>
      </c>
      <c r="AA480" s="494"/>
      <c r="AB480" s="495"/>
      <c r="AC480" s="455"/>
      <c r="AD480" s="509"/>
      <c r="AE480" s="495"/>
      <c r="AF480" s="455">
        <f t="shared" si="132"/>
        <v>0</v>
      </c>
      <c r="AG480" s="508"/>
      <c r="AH480" s="457">
        <f t="shared" si="128"/>
        <v>0</v>
      </c>
      <c r="AI480" s="477">
        <f t="shared" si="133"/>
        <v>0</v>
      </c>
      <c r="AJ480" s="509"/>
      <c r="AK480" s="495"/>
      <c r="AL480" s="455">
        <f>-SUMIFS(BV_Data_An_Prec!$AN:$AN,BV_Data_An_Prec!$AQ:$AQ,$V480)</f>
        <v>0</v>
      </c>
      <c r="AM480" s="506"/>
      <c r="AN480" s="457">
        <f t="shared" si="129"/>
        <v>0</v>
      </c>
      <c r="AO480" s="464">
        <f t="shared" si="127"/>
        <v>0</v>
      </c>
      <c r="AP480" s="94"/>
      <c r="AQ480" s="571">
        <v>0</v>
      </c>
      <c r="AR480" s="510">
        <f t="shared" si="130"/>
        <v>0</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3"/>
        <v>Frais administration</v>
      </c>
      <c r="B481" s="3"/>
      <c r="C481" s="38"/>
      <c r="D481" s="38"/>
      <c r="E481" s="38"/>
      <c r="F481" s="38"/>
      <c r="G481" s="38"/>
      <c r="H481" s="38"/>
      <c r="I481" s="38"/>
      <c r="J481" s="38"/>
      <c r="K481" s="38"/>
      <c r="L481" s="38"/>
      <c r="M481" s="38"/>
      <c r="N481" s="38"/>
      <c r="O481" s="38"/>
      <c r="P481" s="38"/>
      <c r="Q481" s="38"/>
      <c r="R481" s="38"/>
      <c r="S481" s="38"/>
      <c r="T481" s="38"/>
      <c r="U481" s="38"/>
      <c r="V481" s="311" t="s">
        <v>145</v>
      </c>
      <c r="W481" s="454"/>
      <c r="X481" s="454"/>
      <c r="Y481" s="454"/>
      <c r="Z481" s="455">
        <f>+SUMIF($C:$C,$V481,F:F)</f>
        <v>0</v>
      </c>
      <c r="AA481" s="494"/>
      <c r="AB481" s="495"/>
      <c r="AC481" s="455"/>
      <c r="AD481" s="509"/>
      <c r="AE481" s="495"/>
      <c r="AF481" s="455">
        <f t="shared" si="132"/>
        <v>0</v>
      </c>
      <c r="AG481" s="508"/>
      <c r="AH481" s="457">
        <f t="shared" si="128"/>
        <v>0</v>
      </c>
      <c r="AI481" s="477">
        <f t="shared" si="133"/>
        <v>0</v>
      </c>
      <c r="AJ481" s="509"/>
      <c r="AK481" s="495"/>
      <c r="AL481" s="455">
        <f>-SUMIFS(BV_Data_An_Prec!$AN:$AN,BV_Data_An_Prec!$AQ:$AQ,$V481)</f>
        <v>0</v>
      </c>
      <c r="AM481" s="506"/>
      <c r="AN481" s="457">
        <f t="shared" si="129"/>
        <v>0</v>
      </c>
      <c r="AO481" s="464">
        <f t="shared" si="127"/>
        <v>0</v>
      </c>
      <c r="AP481" s="94"/>
      <c r="AQ481" s="571">
        <v>331468.49</v>
      </c>
      <c r="AR481" s="510">
        <f t="shared" si="130"/>
        <v>-331468.49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3"/>
        <v>TOTAL AUTRES REVENUS</v>
      </c>
      <c r="B482" s="3"/>
      <c r="C482" s="38"/>
      <c r="D482" s="38"/>
      <c r="E482" s="38"/>
      <c r="F482" s="38"/>
      <c r="G482" s="38"/>
      <c r="H482" s="38"/>
      <c r="I482" s="38"/>
      <c r="J482" s="38"/>
      <c r="K482" s="38"/>
      <c r="L482" s="38"/>
      <c r="M482" s="38"/>
      <c r="N482" s="38"/>
      <c r="O482" s="38"/>
      <c r="P482" s="38"/>
      <c r="Q482" s="38"/>
      <c r="R482" s="38"/>
      <c r="S482" s="38"/>
      <c r="T482" s="38"/>
      <c r="U482" s="38"/>
      <c r="V482" s="469" t="s">
        <v>213</v>
      </c>
      <c r="W482" s="470"/>
      <c r="X482" s="471" t="e">
        <f>Z482/+Z408</f>
        <v>#DIV/0!</v>
      </c>
      <c r="Y482" s="491"/>
      <c r="Z482" s="472">
        <f>SUM(Z470:Z481)</f>
        <v>0</v>
      </c>
      <c r="AA482" s="471"/>
      <c r="AB482" s="491"/>
      <c r="AC482" s="472"/>
      <c r="AD482" s="471">
        <f>AF482/+AF408</f>
        <v>0.22659756060845718</v>
      </c>
      <c r="AE482" s="491"/>
      <c r="AF482" s="472">
        <f>SUM(AF470:AF481)</f>
        <v>816778.82000000007</v>
      </c>
      <c r="AG482" s="479"/>
      <c r="AH482" s="475">
        <f t="shared" si="128"/>
        <v>816778.82000000007</v>
      </c>
      <c r="AI482" s="471" t="e">
        <f>AH482/Z482</f>
        <v>#DIV/0!</v>
      </c>
      <c r="AJ482" s="471"/>
      <c r="AK482" s="491"/>
      <c r="AL482" s="472">
        <f>SUM(AL470:AL481)</f>
        <v>0</v>
      </c>
      <c r="AM482" s="512"/>
      <c r="AN482" s="475">
        <f t="shared" si="129"/>
        <v>816778.82000000007</v>
      </c>
      <c r="AO482" s="493">
        <f t="shared" si="127"/>
        <v>0</v>
      </c>
      <c r="AP482" s="94"/>
      <c r="AQ482" s="573">
        <v>1343989.52</v>
      </c>
      <c r="AR482" s="574">
        <f t="shared" si="130"/>
        <v>-527210.69999999995</v>
      </c>
      <c r="AS482" s="38"/>
      <c r="AT482" s="38"/>
      <c r="AU482" s="38"/>
      <c r="AV482" s="38"/>
      <c r="AW482" s="38"/>
      <c r="AX482" s="38"/>
      <c r="AY482" s="38"/>
      <c r="AZ482" s="38"/>
      <c r="BA482" s="38"/>
      <c r="BB482" s="38"/>
      <c r="BC482" s="38"/>
      <c r="BD482" s="38"/>
      <c r="BE482" s="38"/>
      <c r="BF482" s="38"/>
      <c r="BG482" s="38"/>
      <c r="BH482" s="38"/>
      <c r="BI482" s="38"/>
      <c r="BJ482" s="38"/>
    </row>
    <row r="483" spans="1:62" ht="15.75" customHeight="1" thickBot="1">
      <c r="A483" s="5" t="str">
        <f t="shared" si="123"/>
        <v/>
      </c>
      <c r="B483" s="3"/>
      <c r="C483" s="38"/>
      <c r="D483" s="38"/>
      <c r="E483" s="38"/>
      <c r="F483" s="38"/>
      <c r="G483" s="38"/>
      <c r="H483" s="38"/>
      <c r="I483" s="38"/>
      <c r="J483" s="38"/>
      <c r="K483" s="38"/>
      <c r="L483" s="38"/>
      <c r="M483" s="38"/>
      <c r="N483" s="38"/>
      <c r="O483" s="38"/>
      <c r="P483" s="38"/>
      <c r="Q483" s="38"/>
      <c r="R483" s="38"/>
      <c r="S483" s="38"/>
      <c r="T483" s="38"/>
      <c r="U483" s="38"/>
      <c r="V483" s="513"/>
      <c r="W483" s="514"/>
      <c r="X483" s="514"/>
      <c r="Y483" s="515"/>
      <c r="Z483" s="516"/>
      <c r="AA483" s="514"/>
      <c r="AB483" s="517"/>
      <c r="AC483" s="516"/>
      <c r="AD483" s="514"/>
      <c r="AE483" s="517"/>
      <c r="AF483" s="518"/>
      <c r="AG483" s="519"/>
      <c r="AH483" s="520"/>
      <c r="AI483" s="521"/>
      <c r="AJ483" s="514"/>
      <c r="AK483" s="517"/>
      <c r="AL483" s="518"/>
      <c r="AM483" s="522"/>
      <c r="AN483" s="520">
        <f t="shared" si="129"/>
        <v>0</v>
      </c>
      <c r="AO483" s="523">
        <f t="shared" si="127"/>
        <v>0</v>
      </c>
      <c r="AP483" s="94"/>
      <c r="AQ483" s="522"/>
      <c r="AR483" s="581"/>
      <c r="AS483" s="38"/>
      <c r="AT483" s="38"/>
      <c r="AU483" s="38"/>
      <c r="AV483" s="38"/>
      <c r="AW483" s="38"/>
      <c r="AX483" s="38"/>
      <c r="AY483" s="38"/>
      <c r="AZ483" s="38"/>
      <c r="BA483" s="38"/>
      <c r="BB483" s="38"/>
      <c r="BC483" s="38"/>
      <c r="BD483" s="38"/>
      <c r="BE483" s="38"/>
      <c r="BF483" s="38"/>
      <c r="BG483" s="38"/>
      <c r="BH483" s="38"/>
      <c r="BI483" s="38"/>
      <c r="BJ483" s="38"/>
    </row>
    <row r="484" spans="1:62" ht="15.75" customHeight="1" thickTop="1" thickBot="1">
      <c r="A484" s="5" t="str">
        <f t="shared" si="123"/>
        <v>BAIIA OPÉRATIONNEL</v>
      </c>
      <c r="B484" s="3"/>
      <c r="C484" s="38"/>
      <c r="D484" s="38"/>
      <c r="E484" s="38"/>
      <c r="F484" s="38"/>
      <c r="G484" s="38"/>
      <c r="H484" s="38"/>
      <c r="I484" s="38"/>
      <c r="J484" s="38"/>
      <c r="K484" s="38"/>
      <c r="L484" s="38"/>
      <c r="M484" s="38"/>
      <c r="N484" s="38"/>
      <c r="O484" s="38"/>
      <c r="P484" s="38"/>
      <c r="Q484" s="38"/>
      <c r="R484" s="38"/>
      <c r="S484" s="38"/>
      <c r="T484" s="38"/>
      <c r="U484" s="38"/>
      <c r="V484" s="524" t="s">
        <v>214</v>
      </c>
      <c r="W484" s="525"/>
      <c r="X484" s="526" t="s">
        <v>215</v>
      </c>
      <c r="Y484" s="527" t="e">
        <f>Z484/Z407</f>
        <v>#DIV/0!</v>
      </c>
      <c r="Z484" s="528">
        <f>Z408-Z469+Z482</f>
        <v>0</v>
      </c>
      <c r="AA484" s="526"/>
      <c r="AB484" s="527"/>
      <c r="AC484" s="528"/>
      <c r="AD484" s="526" t="s">
        <v>215</v>
      </c>
      <c r="AE484" s="527">
        <f>AF484/AF407</f>
        <v>4.533916412719368E-2</v>
      </c>
      <c r="AF484" s="529">
        <f>AF408-AF469+AF482</f>
        <v>1248848.6899999992</v>
      </c>
      <c r="AG484" s="530"/>
      <c r="AH484" s="530">
        <f>AF484-Z484</f>
        <v>1248848.6899999992</v>
      </c>
      <c r="AI484" s="531" t="e">
        <f>AH484/Z484</f>
        <v>#DIV/0!</v>
      </c>
      <c r="AJ484" s="526" t="s">
        <v>215</v>
      </c>
      <c r="AK484" s="527">
        <f>IF($AL$407=0,0,AL484/$AL$407)</f>
        <v>0</v>
      </c>
      <c r="AL484" s="529">
        <f>AL408-AL469+AL482</f>
        <v>0</v>
      </c>
      <c r="AM484" s="533"/>
      <c r="AN484" s="529">
        <f t="shared" si="129"/>
        <v>1248848.6899999992</v>
      </c>
      <c r="AO484" s="534">
        <f t="shared" si="127"/>
        <v>0</v>
      </c>
      <c r="AP484" s="94"/>
      <c r="AQ484" s="533">
        <v>2236846.7700000028</v>
      </c>
      <c r="AR484" s="537">
        <f>AF484-AQ484</f>
        <v>-987998.08000000357</v>
      </c>
      <c r="AS484" s="38"/>
      <c r="AT484" s="38"/>
      <c r="AU484" s="38"/>
      <c r="AV484" s="38"/>
      <c r="AW484" s="38"/>
      <c r="AX484" s="38"/>
      <c r="AY484" s="38"/>
      <c r="AZ484" s="38"/>
      <c r="BA484" s="38"/>
      <c r="BB484" s="38"/>
      <c r="BC484" s="38"/>
      <c r="BD484" s="38"/>
      <c r="BE484" s="38"/>
      <c r="BF484" s="38"/>
      <c r="BG484" s="38"/>
      <c r="BH484" s="38"/>
      <c r="BI484" s="38"/>
      <c r="BJ484" s="38"/>
    </row>
    <row r="485" spans="1:62" ht="15.75" customHeight="1" thickTop="1">
      <c r="A485" s="5" t="str">
        <f t="shared" si="123"/>
        <v/>
      </c>
      <c r="B485" s="3"/>
      <c r="C485" s="38"/>
      <c r="D485" s="38"/>
      <c r="E485" s="38"/>
      <c r="F485" s="38"/>
      <c r="G485" s="38"/>
      <c r="H485" s="38"/>
      <c r="I485" s="38"/>
      <c r="J485" s="38"/>
      <c r="K485" s="38"/>
      <c r="L485" s="38"/>
      <c r="M485" s="38"/>
      <c r="N485" s="38"/>
      <c r="O485" s="38"/>
      <c r="P485" s="38"/>
      <c r="Q485" s="38"/>
      <c r="R485" s="38"/>
      <c r="S485" s="38"/>
      <c r="T485" s="38"/>
      <c r="U485" s="38"/>
      <c r="V485" s="36"/>
      <c r="W485" s="36"/>
      <c r="X485" s="36"/>
      <c r="Y485" s="36"/>
      <c r="Z485" s="290"/>
      <c r="AA485" s="41"/>
      <c r="AB485" s="41"/>
      <c r="AC485" s="290"/>
      <c r="AD485" s="41"/>
      <c r="AE485" s="41"/>
      <c r="AF485" s="535"/>
      <c r="AG485" s="41"/>
      <c r="AH485" s="41"/>
      <c r="AI485" s="41"/>
      <c r="AJ485" s="41"/>
      <c r="AK485" s="41"/>
      <c r="AL485" s="290"/>
      <c r="AM485" s="41"/>
      <c r="AN485" s="41"/>
      <c r="AO485" s="41"/>
      <c r="AP485" s="94"/>
      <c r="AQ485" s="582"/>
      <c r="AR485" s="583"/>
      <c r="AS485" s="38"/>
      <c r="AT485" s="38"/>
      <c r="AU485" s="38"/>
      <c r="AV485" s="38"/>
      <c r="AW485" s="38"/>
      <c r="AX485" s="38"/>
      <c r="AY485" s="38"/>
      <c r="AZ485" s="38"/>
      <c r="BA485" s="38"/>
      <c r="BB485" s="38"/>
      <c r="BC485" s="38"/>
      <c r="BD485" s="38"/>
      <c r="BE485" s="38"/>
      <c r="BF485" s="38"/>
      <c r="BG485" s="38"/>
      <c r="BH485" s="38"/>
      <c r="BI485" s="38"/>
      <c r="BJ485" s="38"/>
    </row>
    <row r="486" spans="1:62" ht="35.25" customHeight="1">
      <c r="A486" s="5" t="str">
        <f t="shared" si="123"/>
        <v>Hyundai</v>
      </c>
      <c r="B486" s="3"/>
      <c r="C486" s="38"/>
      <c r="D486" s="38"/>
      <c r="E486" s="38"/>
      <c r="F486" s="38"/>
      <c r="G486" s="38"/>
      <c r="H486" s="38"/>
      <c r="I486" s="38"/>
      <c r="J486" s="38"/>
      <c r="K486" s="38"/>
      <c r="L486" s="38"/>
      <c r="M486" s="38"/>
      <c r="N486" s="38"/>
      <c r="O486" s="38"/>
      <c r="P486" s="38"/>
      <c r="Q486" s="38"/>
      <c r="R486" s="38"/>
      <c r="S486" s="38"/>
      <c r="T486" s="38"/>
      <c r="U486" s="38"/>
      <c r="V486" s="36" t="str">
        <f>C1</f>
        <v>Hyundai</v>
      </c>
      <c r="W486" s="36"/>
      <c r="X486" s="36"/>
      <c r="Y486" s="36"/>
      <c r="Z486" s="36"/>
      <c r="AA486" s="36"/>
      <c r="AB486" s="36"/>
      <c r="AC486" s="36"/>
      <c r="AD486" s="36"/>
      <c r="AE486" s="9" t="s">
        <v>216</v>
      </c>
      <c r="AF486" s="36"/>
      <c r="AG486" s="36"/>
      <c r="AH486" s="36"/>
      <c r="AI486" s="36"/>
      <c r="AJ486" s="536"/>
      <c r="AK486" s="231"/>
      <c r="AL486" s="36"/>
      <c r="AM486" s="36"/>
      <c r="AN486" s="36"/>
      <c r="AO486" s="10" t="str">
        <f>$S$1</f>
        <v>Réalisé AAJ, Mai 2025</v>
      </c>
      <c r="AP486" s="94"/>
      <c r="AQ486" s="584"/>
      <c r="AR486" s="585"/>
      <c r="AS486" s="38"/>
      <c r="AT486" s="38"/>
      <c r="AU486" s="38"/>
      <c r="AV486" s="38"/>
      <c r="AW486" s="38"/>
      <c r="AX486" s="38"/>
      <c r="AY486" s="38"/>
      <c r="AZ486" s="38"/>
      <c r="BA486" s="38"/>
      <c r="BB486" s="38"/>
      <c r="BC486" s="38"/>
      <c r="BD486" s="38"/>
      <c r="BE486" s="38"/>
      <c r="BF486" s="38"/>
      <c r="BG486" s="38"/>
      <c r="BH486" s="38"/>
      <c r="BI486" s="38"/>
      <c r="BJ486" s="38"/>
    </row>
    <row r="487" spans="1:62" ht="15.75" customHeight="1">
      <c r="A487" s="5" t="str">
        <f t="shared" si="123"/>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0"/>
      <c r="AA487" s="41"/>
      <c r="AB487" s="41"/>
      <c r="AC487" s="290"/>
      <c r="AD487" s="41"/>
      <c r="AE487" s="41"/>
      <c r="AF487" s="535"/>
      <c r="AG487" s="41"/>
      <c r="AH487" s="41"/>
      <c r="AI487" s="41"/>
      <c r="AJ487" s="41"/>
      <c r="AK487" s="41"/>
      <c r="AL487" s="290"/>
      <c r="AM487" s="41"/>
      <c r="AN487" s="41"/>
      <c r="AO487" s="41"/>
      <c r="AP487" s="94"/>
      <c r="AQ487" s="582"/>
      <c r="AR487" s="583"/>
      <c r="AS487" s="38"/>
      <c r="AT487" s="38"/>
      <c r="AU487" s="38"/>
      <c r="AV487" s="38"/>
      <c r="AW487" s="38"/>
      <c r="AX487" s="38"/>
      <c r="AY487" s="38"/>
      <c r="AZ487" s="38"/>
      <c r="BA487" s="38"/>
      <c r="BB487" s="38"/>
      <c r="BC487" s="38"/>
      <c r="BD487" s="38"/>
      <c r="BE487" s="38"/>
      <c r="BF487" s="38"/>
      <c r="BG487" s="38"/>
      <c r="BH487" s="38"/>
      <c r="BI487" s="38"/>
      <c r="BJ487" s="38"/>
    </row>
    <row r="488" spans="1:62" ht="15.75" customHeight="1" thickBot="1">
      <c r="A488" s="5" t="str">
        <f t="shared" si="123"/>
        <v/>
      </c>
      <c r="B488" s="3"/>
      <c r="C488" s="38"/>
      <c r="D488" s="38"/>
      <c r="E488" s="38"/>
      <c r="F488" s="38"/>
      <c r="G488" s="38"/>
      <c r="H488" s="38"/>
      <c r="I488" s="38"/>
      <c r="J488" s="38"/>
      <c r="K488" s="38"/>
      <c r="L488" s="38"/>
      <c r="M488" s="38"/>
      <c r="N488" s="38"/>
      <c r="O488" s="38"/>
      <c r="P488" s="38"/>
      <c r="Q488" s="38"/>
      <c r="R488" s="38"/>
      <c r="S488" s="38"/>
      <c r="T488" s="38"/>
      <c r="U488" s="38"/>
      <c r="V488" s="36"/>
      <c r="W488" s="36"/>
      <c r="X488" s="36"/>
      <c r="Y488" s="36"/>
      <c r="Z488" s="290"/>
      <c r="AA488" s="41"/>
      <c r="AB488" s="41"/>
      <c r="AC488" s="290"/>
      <c r="AD488" s="41"/>
      <c r="AE488" s="41"/>
      <c r="AF488" s="535"/>
      <c r="AG488" s="41"/>
      <c r="AH488" s="41"/>
      <c r="AI488" s="41"/>
      <c r="AJ488" s="41"/>
      <c r="AK488" s="41"/>
      <c r="AL488" s="290"/>
      <c r="AM488" s="41"/>
      <c r="AN488" s="41"/>
      <c r="AO488" s="41"/>
      <c r="AP488" s="94"/>
      <c r="AQ488" s="582"/>
      <c r="AR488" s="583"/>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e">
        <f>+U489&amp;#REF!</f>
        <v>#REF!</v>
      </c>
      <c r="B489" s="3"/>
      <c r="C489" s="38"/>
      <c r="D489" s="38"/>
      <c r="E489" s="38"/>
      <c r="F489" s="38"/>
      <c r="G489" s="38"/>
      <c r="H489" s="38"/>
      <c r="I489" s="38"/>
      <c r="J489" s="38"/>
      <c r="K489" s="38"/>
      <c r="L489" s="38"/>
      <c r="M489" s="38"/>
      <c r="N489" s="38"/>
      <c r="O489" s="38"/>
      <c r="P489" s="38"/>
      <c r="Q489" s="38"/>
      <c r="R489" s="38"/>
      <c r="S489" s="38"/>
      <c r="T489" s="38"/>
      <c r="U489" s="38"/>
      <c r="V489" s="878" t="s">
        <v>1100</v>
      </c>
      <c r="W489" s="879"/>
      <c r="X489" s="880" t="s">
        <v>215</v>
      </c>
      <c r="Y489" s="881" t="e">
        <f>Z489/Z407</f>
        <v>#DIV/0!</v>
      </c>
      <c r="Z489" s="882">
        <f>Z490+Z416</f>
        <v>0</v>
      </c>
      <c r="AA489" s="880"/>
      <c r="AB489" s="881"/>
      <c r="AC489" s="528"/>
      <c r="AD489" s="880" t="s">
        <v>215</v>
      </c>
      <c r="AE489" s="881">
        <f>AF489/AF407</f>
        <v>5.1461778752113378E-2</v>
      </c>
      <c r="AF489" s="882">
        <f>AF490+AF416</f>
        <v>1417493.5999999992</v>
      </c>
      <c r="AG489" s="530"/>
      <c r="AH489" s="530">
        <f t="shared" ref="AH489" si="134">AF489-Z489</f>
        <v>1417493.5999999992</v>
      </c>
      <c r="AI489" s="531" t="e">
        <f>AH489/Z489</f>
        <v>#DIV/0!</v>
      </c>
      <c r="AJ489" s="880" t="s">
        <v>215</v>
      </c>
      <c r="AK489" s="881">
        <f>IF($AL$407=0,0,AL489/$AL$407)</f>
        <v>0</v>
      </c>
      <c r="AL489" s="882">
        <f>AL490+AL416</f>
        <v>0</v>
      </c>
      <c r="AM489" s="533"/>
      <c r="AN489" s="882">
        <f t="shared" ref="AN489" si="135">AF489-AL489</f>
        <v>1417493.5999999992</v>
      </c>
      <c r="AO489" s="883">
        <f t="shared" ref="AO489" si="136">IF(AL489=0,0,AN489/AL489)</f>
        <v>0</v>
      </c>
      <c r="AP489" s="94"/>
      <c r="AQ489" s="582"/>
      <c r="AR489" s="583"/>
      <c r="AS489" s="38"/>
      <c r="AT489" s="38"/>
      <c r="AU489" s="38"/>
      <c r="AV489" s="38"/>
      <c r="AW489" s="38"/>
      <c r="AX489" s="38"/>
      <c r="AY489" s="38"/>
      <c r="AZ489" s="38"/>
      <c r="BA489" s="38"/>
      <c r="BB489" s="38"/>
      <c r="BC489" s="38"/>
      <c r="BD489" s="38"/>
      <c r="BE489" s="38"/>
      <c r="BF489" s="38"/>
      <c r="BG489" s="38"/>
      <c r="BH489" s="38"/>
      <c r="BI489" s="38"/>
      <c r="BJ489" s="38"/>
    </row>
    <row r="490" spans="1:62" ht="19.5" thickTop="1" thickBot="1">
      <c r="A490" s="5" t="str">
        <f t="shared" si="123"/>
        <v>BAIIA OPÉRATIONNEL</v>
      </c>
      <c r="B490" s="3"/>
      <c r="C490" s="38"/>
      <c r="D490" s="38"/>
      <c r="E490" s="38"/>
      <c r="F490" s="38"/>
      <c r="G490" s="38"/>
      <c r="H490" s="38"/>
      <c r="I490" s="38"/>
      <c r="J490" s="38"/>
      <c r="K490" s="38"/>
      <c r="L490" s="38"/>
      <c r="M490" s="38"/>
      <c r="N490" s="38"/>
      <c r="O490" s="38"/>
      <c r="P490" s="38"/>
      <c r="Q490" s="38"/>
      <c r="R490" s="38"/>
      <c r="S490" s="38"/>
      <c r="T490" s="38"/>
      <c r="U490" s="38"/>
      <c r="V490" s="524" t="s">
        <v>214</v>
      </c>
      <c r="W490" s="525"/>
      <c r="X490" s="526" t="s">
        <v>215</v>
      </c>
      <c r="Y490" s="527" t="e">
        <f>Z490/Z407</f>
        <v>#DIV/0!</v>
      </c>
      <c r="Z490" s="528">
        <f>Z484</f>
        <v>0</v>
      </c>
      <c r="AA490" s="526"/>
      <c r="AB490" s="527"/>
      <c r="AC490" s="528"/>
      <c r="AD490" s="526" t="s">
        <v>215</v>
      </c>
      <c r="AE490" s="527">
        <f>AF490/AF407</f>
        <v>4.533916412719368E-2</v>
      </c>
      <c r="AF490" s="528">
        <f>AF484</f>
        <v>1248848.6899999992</v>
      </c>
      <c r="AG490" s="529"/>
      <c r="AH490" s="530">
        <f>AF490-Z490</f>
        <v>1248848.6899999992</v>
      </c>
      <c r="AI490" s="531" t="e">
        <f>AH490/Z490</f>
        <v>#DIV/0!</v>
      </c>
      <c r="AJ490" s="526" t="s">
        <v>215</v>
      </c>
      <c r="AK490" s="527">
        <f>IF($AL$407=0,0,AL490/$AL$407)</f>
        <v>0</v>
      </c>
      <c r="AL490" s="537">
        <f>AL484</f>
        <v>0</v>
      </c>
      <c r="AM490" s="538"/>
      <c r="AN490" s="539">
        <f>AF490-AL490</f>
        <v>1248848.6899999992</v>
      </c>
      <c r="AO490" s="540">
        <f>IF(AL490=0,0,AN490/AL490)</f>
        <v>0</v>
      </c>
      <c r="AP490" s="94"/>
      <c r="AQ490" s="586">
        <v>2236846.7700000028</v>
      </c>
      <c r="AR490" s="537">
        <f>AF490-AQ490</f>
        <v>-987998.08000000357</v>
      </c>
      <c r="AS490" s="38"/>
      <c r="AT490" s="38"/>
      <c r="AU490" s="38"/>
      <c r="AV490" s="38"/>
      <c r="AW490" s="38"/>
      <c r="AX490" s="38"/>
      <c r="AY490" s="38"/>
      <c r="AZ490" s="38"/>
      <c r="BA490" s="38"/>
      <c r="BB490" s="38"/>
      <c r="BC490" s="38"/>
      <c r="BD490" s="38"/>
      <c r="BE490" s="38"/>
      <c r="BF490" s="38"/>
      <c r="BG490" s="38"/>
      <c r="BH490" s="38"/>
      <c r="BI490" s="38"/>
      <c r="BJ490" s="38"/>
    </row>
    <row r="491" spans="1:62" ht="15.75" customHeight="1" thickTop="1">
      <c r="A491" s="5" t="str">
        <f t="shared" si="123"/>
        <v/>
      </c>
      <c r="B491" s="3"/>
      <c r="C491" s="38"/>
      <c r="D491" s="38"/>
      <c r="E491" s="38"/>
      <c r="F491" s="94"/>
      <c r="G491" s="38"/>
      <c r="H491" s="38"/>
      <c r="I491" s="94"/>
      <c r="J491" s="38"/>
      <c r="K491" s="38"/>
      <c r="L491" s="38"/>
      <c r="M491" s="94"/>
      <c r="N491" s="38"/>
      <c r="O491" s="38"/>
      <c r="P491" s="38"/>
      <c r="Q491" s="94"/>
      <c r="R491" s="94"/>
      <c r="S491" s="94"/>
      <c r="T491" s="80"/>
      <c r="U491" s="80"/>
      <c r="V491" s="541"/>
      <c r="W491" s="38"/>
      <c r="X491" s="38"/>
      <c r="Y491" s="38"/>
      <c r="Z491" s="542"/>
      <c r="AA491" s="38"/>
      <c r="AB491" s="38"/>
      <c r="AC491" s="543"/>
      <c r="AD491" s="38"/>
      <c r="AE491" s="38"/>
      <c r="AF491" s="543"/>
      <c r="AG491" s="38"/>
      <c r="AH491" s="38"/>
      <c r="AI491" s="543"/>
      <c r="AJ491" s="38"/>
      <c r="AK491" s="38"/>
      <c r="AL491" s="544"/>
      <c r="AM491" s="545"/>
      <c r="AN491" s="38"/>
      <c r="AO491" s="546"/>
      <c r="AP491" s="94"/>
      <c r="AQ491" s="587"/>
      <c r="AR491" s="544"/>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3"/>
        <v>Amortissement</v>
      </c>
      <c r="B492" s="3"/>
      <c r="C492" s="38"/>
      <c r="D492" s="38"/>
      <c r="E492" s="38"/>
      <c r="F492" s="38"/>
      <c r="G492" s="38"/>
      <c r="H492" s="38"/>
      <c r="I492" s="38"/>
      <c r="J492" s="38"/>
      <c r="K492" s="38"/>
      <c r="L492" s="38"/>
      <c r="M492" s="38"/>
      <c r="N492" s="38"/>
      <c r="O492" s="38"/>
      <c r="P492" s="38"/>
      <c r="Q492" s="38"/>
      <c r="R492" s="38"/>
      <c r="S492" s="38"/>
      <c r="T492" s="38"/>
      <c r="U492" s="38"/>
      <c r="V492" s="310" t="s">
        <v>217</v>
      </c>
      <c r="W492" s="461"/>
      <c r="X492" s="454"/>
      <c r="Y492" s="462"/>
      <c r="Z492" s="455" cm="1">
        <f t="array" ref="Z492">+SUMPRODUCT(('Budget original'!$A$8:$A$501=$A492)*('Budget original'!$C$3:$AO$3=Z$2),'Budget original'!$C$8:$AO$501)</f>
        <v>0</v>
      </c>
      <c r="AA492" s="454"/>
      <c r="AB492" s="462"/>
      <c r="AC492" s="455"/>
      <c r="AD492" s="454"/>
      <c r="AE492" s="462"/>
      <c r="AF492" s="455">
        <f>SUMIFS(BV_Data_An_Cour!$AN:$AN,BV_Data_An_Cour!$AQ:$AQ,$V492)</f>
        <v>20719.939999999999</v>
      </c>
      <c r="AG492" s="454"/>
      <c r="AH492" s="457">
        <f t="shared" ref="AH492:AH499" si="137">AF492-Z492</f>
        <v>20719.939999999999</v>
      </c>
      <c r="AI492" s="477">
        <f t="shared" ref="AI492:AI498" si="138">IF(Z492=0,0,AH492/Z492)</f>
        <v>0</v>
      </c>
      <c r="AJ492" s="454"/>
      <c r="AK492" s="454"/>
      <c r="AL492" s="455">
        <f>SUMIFS(BV_Data_An_Prec!$AN:$AN,BV_Data_An_Prec!$AQ:$AQ,$V492)</f>
        <v>0</v>
      </c>
      <c r="AM492" s="459"/>
      <c r="AN492" s="457">
        <f t="shared" ref="AN492:AN499" si="139">AF492-AL492</f>
        <v>20719.939999999999</v>
      </c>
      <c r="AO492" s="464">
        <f t="shared" ref="AO492:AO499" si="140">IF(AL492=0,0,AN492/AL492)</f>
        <v>0</v>
      </c>
      <c r="AP492" s="94"/>
      <c r="AQ492" s="571">
        <v>51774</v>
      </c>
      <c r="AR492" s="510">
        <f t="shared" ref="AR492:AR494" si="141">AF492-AQ492</f>
        <v>-31054.06</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3"/>
        <v>Intérêts sur marge</v>
      </c>
      <c r="B493" s="3"/>
      <c r="C493" s="38"/>
      <c r="D493" s="38"/>
      <c r="E493" s="38"/>
      <c r="F493" s="94"/>
      <c r="G493" s="38"/>
      <c r="H493" s="38"/>
      <c r="I493" s="94"/>
      <c r="J493" s="38"/>
      <c r="K493" s="38"/>
      <c r="L493" s="38"/>
      <c r="M493" s="94"/>
      <c r="N493" s="38"/>
      <c r="O493" s="38"/>
      <c r="P493" s="38"/>
      <c r="Q493" s="94"/>
      <c r="R493" s="94"/>
      <c r="S493" s="94"/>
      <c r="T493" s="38"/>
      <c r="U493" s="38"/>
      <c r="V493" s="310" t="s">
        <v>218</v>
      </c>
      <c r="W493" s="38"/>
      <c r="X493" s="38"/>
      <c r="Y493" s="38"/>
      <c r="Z493" s="455" cm="1">
        <f t="array" ref="Z493">+SUMPRODUCT(('Budget original'!$A$8:$A$501=$A493)*('Budget original'!$C$3:$AO$3=Z$2),'Budget original'!$C$8:$AO$501)</f>
        <v>0</v>
      </c>
      <c r="AA493" s="38"/>
      <c r="AB493" s="38"/>
      <c r="AC493" s="455"/>
      <c r="AD493" s="38"/>
      <c r="AE493" s="41"/>
      <c r="AF493" s="455">
        <f>SUMIFS(BV_Data_An_Cour!$AN:$AN,BV_Data_An_Cour!$AQ:$AQ,$V493)</f>
        <v>0</v>
      </c>
      <c r="AG493" s="38"/>
      <c r="AH493" s="457">
        <f t="shared" si="137"/>
        <v>0</v>
      </c>
      <c r="AI493" s="477">
        <f t="shared" si="138"/>
        <v>0</v>
      </c>
      <c r="AJ493" s="38"/>
      <c r="AK493" s="38"/>
      <c r="AL493" s="455">
        <f>SUMIFS(BV_Data_An_Prec!$AN:$AN,BV_Data_An_Prec!$AQ:$AQ,$V493)</f>
        <v>0</v>
      </c>
      <c r="AM493" s="545"/>
      <c r="AN493" s="457">
        <f t="shared" si="139"/>
        <v>0</v>
      </c>
      <c r="AO493" s="464">
        <f t="shared" si="140"/>
        <v>0</v>
      </c>
      <c r="AP493" s="94"/>
      <c r="AQ493" s="571">
        <v>0</v>
      </c>
      <c r="AR493" s="510">
        <f t="shared" si="141"/>
        <v>0</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3"/>
        <v>Intérêts sur prêt</v>
      </c>
      <c r="B494" s="3"/>
      <c r="C494" s="38"/>
      <c r="D494" s="38"/>
      <c r="E494" s="38"/>
      <c r="F494" s="94"/>
      <c r="G494" s="38"/>
      <c r="H494" s="38"/>
      <c r="I494" s="94"/>
      <c r="J494" s="38"/>
      <c r="K494" s="38"/>
      <c r="L494" s="38"/>
      <c r="M494" s="94"/>
      <c r="N494" s="38"/>
      <c r="O494" s="38"/>
      <c r="P494" s="38"/>
      <c r="Q494" s="94"/>
      <c r="R494" s="94"/>
      <c r="S494" s="94"/>
      <c r="T494" s="38"/>
      <c r="U494" s="38"/>
      <c r="V494" s="310" t="s">
        <v>219</v>
      </c>
      <c r="W494" s="41"/>
      <c r="X494" s="41"/>
      <c r="Y494" s="41"/>
      <c r="Z494" s="455" cm="1">
        <f t="array" ref="Z494">+SUMPRODUCT(('Budget original'!$A$8:$A$501=$A494)*('Budget original'!$C$3:$AO$3=Z$2),'Budget original'!$C$8:$AO$501)</f>
        <v>0</v>
      </c>
      <c r="AA494" s="38"/>
      <c r="AB494" s="38"/>
      <c r="AC494" s="455"/>
      <c r="AD494" s="38"/>
      <c r="AE494" s="41"/>
      <c r="AF494" s="455">
        <f>SUMIFS(BV_Data_An_Cour!$AN:$AN,BV_Data_An_Cour!$AQ:$AQ,$V494)</f>
        <v>0</v>
      </c>
      <c r="AG494" s="38"/>
      <c r="AH494" s="457">
        <f t="shared" si="137"/>
        <v>0</v>
      </c>
      <c r="AI494" s="477">
        <f t="shared" si="138"/>
        <v>0</v>
      </c>
      <c r="AJ494" s="38"/>
      <c r="AK494" s="38"/>
      <c r="AL494" s="455">
        <f>SUMIFS(BV_Data_An_Prec!$AN:$AN,BV_Data_An_Prec!$AQ:$AQ,$V494)</f>
        <v>0</v>
      </c>
      <c r="AM494" s="545"/>
      <c r="AN494" s="457">
        <f t="shared" si="139"/>
        <v>0</v>
      </c>
      <c r="AO494" s="464">
        <f t="shared" si="140"/>
        <v>0</v>
      </c>
      <c r="AP494" s="94"/>
      <c r="AQ494" s="571">
        <v>5121.4799999999996</v>
      </c>
      <c r="AR494" s="510">
        <f t="shared" si="141"/>
        <v>-5121.4799999999996</v>
      </c>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3"/>
        <v>Intérêts sur avance</v>
      </c>
      <c r="B495" s="3"/>
      <c r="C495" s="38"/>
      <c r="D495" s="38"/>
      <c r="E495" s="38"/>
      <c r="F495" s="94"/>
      <c r="G495" s="38"/>
      <c r="H495" s="38"/>
      <c r="I495" s="94"/>
      <c r="J495" s="38"/>
      <c r="K495" s="38"/>
      <c r="L495" s="38"/>
      <c r="M495" s="94"/>
      <c r="N495" s="38"/>
      <c r="O495" s="38"/>
      <c r="P495" s="38"/>
      <c r="Q495" s="94"/>
      <c r="R495" s="94"/>
      <c r="S495" s="94"/>
      <c r="T495" s="38"/>
      <c r="U495" s="38"/>
      <c r="V495" s="310" t="s">
        <v>220</v>
      </c>
      <c r="W495" s="41"/>
      <c r="X495" s="41"/>
      <c r="Y495" s="41"/>
      <c r="Z495" s="455" cm="1">
        <f t="array" ref="Z495">+SUMPRODUCT(('Budget original'!$A$8:$A$501=$A495)*('Budget original'!$C$3:$AO$3=Z$2),'Budget original'!$C$8:$AO$501)</f>
        <v>0</v>
      </c>
      <c r="AA495" s="38"/>
      <c r="AB495" s="38"/>
      <c r="AC495" s="455"/>
      <c r="AD495" s="38"/>
      <c r="AE495" s="41"/>
      <c r="AF495" s="455">
        <f>SUMIFS(BV_Data_An_Cour!$AN:$AN,BV_Data_An_Cour!$AQ:$AQ,$V495)</f>
        <v>0</v>
      </c>
      <c r="AG495" s="38"/>
      <c r="AH495" s="457">
        <f t="shared" si="137"/>
        <v>0</v>
      </c>
      <c r="AI495" s="477">
        <f t="shared" si="138"/>
        <v>0</v>
      </c>
      <c r="AJ495" s="38"/>
      <c r="AK495" s="38"/>
      <c r="AL495" s="455">
        <f>SUMIFS(BV_Data_An_Prec!$AN:$AN,BV_Data_An_Prec!$AQ:$AQ,$V495)</f>
        <v>0</v>
      </c>
      <c r="AM495" s="545"/>
      <c r="AN495" s="457">
        <f t="shared" si="139"/>
        <v>0</v>
      </c>
      <c r="AO495" s="464">
        <f t="shared" si="140"/>
        <v>0</v>
      </c>
      <c r="AP495" s="94"/>
      <c r="AQ495" s="571">
        <v>0</v>
      </c>
      <c r="AR495" s="510"/>
      <c r="AS495" s="38"/>
      <c r="AT495" s="38"/>
      <c r="AU495" s="38"/>
      <c r="AV495" s="38"/>
      <c r="AW495" s="38"/>
      <c r="AX495" s="38"/>
      <c r="AY495" s="38"/>
      <c r="AZ495" s="38"/>
      <c r="BA495" s="38"/>
      <c r="BB495" s="38"/>
      <c r="BC495" s="38"/>
      <c r="BD495" s="38"/>
      <c r="BE495" s="38"/>
      <c r="BF495" s="38"/>
      <c r="BG495" s="38"/>
      <c r="BH495" s="38"/>
      <c r="BI495" s="38"/>
      <c r="BJ495" s="38"/>
    </row>
    <row r="496" spans="1:62" ht="15.75" hidden="1" customHeight="1">
      <c r="A496" s="5" t="str">
        <f t="shared" si="123"/>
        <v>[...]</v>
      </c>
      <c r="B496" s="3"/>
      <c r="C496" s="38"/>
      <c r="D496" s="38"/>
      <c r="E496" s="38"/>
      <c r="F496" s="94"/>
      <c r="G496" s="38"/>
      <c r="H496" s="38"/>
      <c r="I496" s="94"/>
      <c r="J496" s="38"/>
      <c r="K496" s="38"/>
      <c r="L496" s="38"/>
      <c r="M496" s="94"/>
      <c r="N496" s="38"/>
      <c r="O496" s="38"/>
      <c r="P496" s="38"/>
      <c r="Q496" s="94"/>
      <c r="R496" s="94"/>
      <c r="S496" s="94"/>
      <c r="T496" s="38"/>
      <c r="U496" s="38"/>
      <c r="V496" s="310" t="s">
        <v>55</v>
      </c>
      <c r="W496" s="41"/>
      <c r="X496" s="41"/>
      <c r="Y496" s="41"/>
      <c r="Z496" s="455" cm="1">
        <f t="array" ref="Z496">+SUMPRODUCT(('Budget original'!$A$8:$A$501=$A496)*('Budget original'!$C$3:$AO$3=Z$2),'Budget original'!$C$8:$AO$501)</f>
        <v>0</v>
      </c>
      <c r="AA496" s="38"/>
      <c r="AB496" s="38"/>
      <c r="AC496" s="455"/>
      <c r="AD496" s="38"/>
      <c r="AE496" s="41"/>
      <c r="AF496" s="455">
        <f>SUMIFS(BV_Data_An_Cour!$AN:$AN,BV_Data_An_Cour!$AQ:$AQ,$V496)</f>
        <v>0</v>
      </c>
      <c r="AG496" s="38"/>
      <c r="AH496" s="457">
        <f t="shared" si="137"/>
        <v>0</v>
      </c>
      <c r="AI496" s="477">
        <f t="shared" si="138"/>
        <v>0</v>
      </c>
      <c r="AJ496" s="38"/>
      <c r="AK496" s="38"/>
      <c r="AL496" s="455">
        <f>SUMIFS(BV_Data_An_Prec!$AN:$AN,BV_Data_An_Prec!$AQ:$AQ,$V496)</f>
        <v>0</v>
      </c>
      <c r="AM496" s="545"/>
      <c r="AN496" s="457">
        <f t="shared" si="139"/>
        <v>0</v>
      </c>
      <c r="AO496" s="464">
        <f t="shared" si="140"/>
        <v>0</v>
      </c>
      <c r="AP496" s="94"/>
      <c r="AQ496" s="571">
        <v>0</v>
      </c>
      <c r="AR496" s="544"/>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tr">
        <f t="shared" si="123"/>
        <v>Revenus d'intérêts floor plan</v>
      </c>
      <c r="B497" s="3"/>
      <c r="C497" s="38"/>
      <c r="D497" s="38"/>
      <c r="E497" s="38"/>
      <c r="F497" s="94"/>
      <c r="G497" s="38"/>
      <c r="H497" s="38"/>
      <c r="I497" s="94"/>
      <c r="J497" s="38"/>
      <c r="K497" s="38"/>
      <c r="L497" s="38"/>
      <c r="M497" s="94"/>
      <c r="N497" s="38"/>
      <c r="O497" s="38"/>
      <c r="P497" s="38"/>
      <c r="Q497" s="94"/>
      <c r="R497" s="94"/>
      <c r="S497" s="94"/>
      <c r="T497" s="38"/>
      <c r="U497" s="38"/>
      <c r="V497" s="310" t="s">
        <v>1096</v>
      </c>
      <c r="W497" s="41"/>
      <c r="X497" s="41"/>
      <c r="Y497" s="41"/>
      <c r="Z497" s="455" cm="1">
        <f t="array" ref="Z497">+SUMPRODUCT(('Budget original'!$A$8:$A$501=$A497)*('Budget original'!$C$3:$AO$3=Z$2),'Budget original'!$C$8:$AO$501)</f>
        <v>0</v>
      </c>
      <c r="AA497" s="38"/>
      <c r="AB497" s="38"/>
      <c r="AC497" s="455"/>
      <c r="AD497" s="38"/>
      <c r="AE497" s="41"/>
      <c r="AF497" s="455">
        <f>SUMIFS(BV_Data_An_Cour!$AN:$AN,BV_Data_An_Cour!$AQ:$AQ,$V497)</f>
        <v>-86.29</v>
      </c>
      <c r="AG497" s="38"/>
      <c r="AH497" s="457">
        <f t="shared" si="137"/>
        <v>-86.29</v>
      </c>
      <c r="AI497" s="477">
        <f t="shared" si="138"/>
        <v>0</v>
      </c>
      <c r="AJ497" s="38"/>
      <c r="AK497" s="38"/>
      <c r="AL497" s="455">
        <f>SUMIFS(BV_Data_An_Prec!$AN:$AN,BV_Data_An_Prec!$AQ:$AQ,$V497)</f>
        <v>0</v>
      </c>
      <c r="AM497" s="545"/>
      <c r="AN497" s="457">
        <f t="shared" si="139"/>
        <v>-86.29</v>
      </c>
      <c r="AO497" s="464">
        <f t="shared" si="140"/>
        <v>0</v>
      </c>
      <c r="AP497" s="94"/>
      <c r="AQ497" s="571">
        <v>0</v>
      </c>
      <c r="AR497" s="544"/>
      <c r="AS497" s="38"/>
      <c r="AT497" s="38"/>
      <c r="AU497" s="38"/>
      <c r="AV497" s="38"/>
      <c r="AW497" s="38"/>
      <c r="AX497" s="38"/>
      <c r="AY497" s="38"/>
      <c r="AZ497" s="38"/>
      <c r="BA497" s="38"/>
      <c r="BB497" s="38"/>
      <c r="BC497" s="38"/>
      <c r="BD497" s="38"/>
      <c r="BE497" s="38"/>
      <c r="BF497" s="38"/>
      <c r="BG497" s="38"/>
      <c r="BH497" s="38"/>
      <c r="BI497" s="38"/>
      <c r="BJ497" s="38"/>
    </row>
    <row r="498" spans="1:62" ht="15.75" hidden="1" customHeight="1" thickBot="1">
      <c r="A498" s="5" t="str">
        <f t="shared" si="123"/>
        <v>[...]</v>
      </c>
      <c r="B498" s="3"/>
      <c r="C498" s="38"/>
      <c r="D498" s="38"/>
      <c r="E498" s="38"/>
      <c r="F498" s="94"/>
      <c r="G498" s="38"/>
      <c r="H498" s="38"/>
      <c r="I498" s="94"/>
      <c r="J498" s="38"/>
      <c r="K498" s="38"/>
      <c r="L498" s="38"/>
      <c r="M498" s="94"/>
      <c r="N498" s="38"/>
      <c r="O498" s="38"/>
      <c r="P498" s="38"/>
      <c r="Q498" s="94"/>
      <c r="R498" s="94"/>
      <c r="S498" s="94"/>
      <c r="T498" s="38"/>
      <c r="U498" s="38"/>
      <c r="V498" s="310" t="s">
        <v>55</v>
      </c>
      <c r="W498" s="41"/>
      <c r="X498" s="38"/>
      <c r="Y498" s="41"/>
      <c r="Z498" s="455">
        <f t="array" ref="Z498">+INDEX('Budget original'!$A$2:$AO$501,MATCH($A498,'Budget original'!$A$2:$A$501,0),MATCH(F$2,'Budget original'!$A$2:$AO$2,0))</f>
        <v>0</v>
      </c>
      <c r="AA498" s="38"/>
      <c r="AB498" s="38"/>
      <c r="AC498" s="455"/>
      <c r="AD498" s="38"/>
      <c r="AE498" s="41"/>
      <c r="AF498" s="455">
        <f>SUMIFS(BV_Data_An_Cour!$AN:$AN,BV_Data_An_Cour!$AQ:$AQ,$V498)</f>
        <v>0</v>
      </c>
      <c r="AG498" s="38"/>
      <c r="AH498" s="457">
        <f t="shared" si="137"/>
        <v>0</v>
      </c>
      <c r="AI498" s="477">
        <f t="shared" si="138"/>
        <v>0</v>
      </c>
      <c r="AJ498" s="38"/>
      <c r="AK498" s="38"/>
      <c r="AL498" s="455"/>
      <c r="AM498" s="545"/>
      <c r="AN498" s="457">
        <f t="shared" si="139"/>
        <v>0</v>
      </c>
      <c r="AO498" s="464">
        <f t="shared" si="140"/>
        <v>0</v>
      </c>
      <c r="AP498" s="94"/>
      <c r="AQ498" s="571">
        <v>0</v>
      </c>
      <c r="AR498" s="544"/>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thickBot="1">
      <c r="A499" s="5" t="str">
        <f t="shared" si="123"/>
        <v>Profit Net</v>
      </c>
      <c r="B499" s="3"/>
      <c r="C499" s="38"/>
      <c r="D499" s="38"/>
      <c r="E499" s="38"/>
      <c r="F499" s="94"/>
      <c r="G499" s="38"/>
      <c r="H499" s="38"/>
      <c r="I499" s="94"/>
      <c r="J499" s="38"/>
      <c r="K499" s="38"/>
      <c r="L499" s="38"/>
      <c r="M499" s="94"/>
      <c r="N499" s="38"/>
      <c r="O499" s="38"/>
      <c r="P499" s="38"/>
      <c r="Q499" s="94"/>
      <c r="R499" s="94"/>
      <c r="S499" s="94"/>
      <c r="T499" s="38"/>
      <c r="U499" s="38"/>
      <c r="V499" s="524" t="s">
        <v>221</v>
      </c>
      <c r="W499" s="525"/>
      <c r="X499" s="526" t="s">
        <v>215</v>
      </c>
      <c r="Y499" s="527" t="e">
        <f>Z499/Z407</f>
        <v>#DIV/0!</v>
      </c>
      <c r="Z499" s="528">
        <f>Z490-Z492-Z493-Z494-Z498-Z497</f>
        <v>0</v>
      </c>
      <c r="AA499" s="526"/>
      <c r="AB499" s="527"/>
      <c r="AC499" s="528"/>
      <c r="AD499" s="526" t="s">
        <v>215</v>
      </c>
      <c r="AE499" s="527">
        <f>AF499/AF407</f>
        <v>4.4590064215103392E-2</v>
      </c>
      <c r="AF499" s="529">
        <f>AF490-AF492-AF493-AF494-AF498-AF497</f>
        <v>1228215.0399999993</v>
      </c>
      <c r="AG499" s="530"/>
      <c r="AH499" s="530">
        <f t="shared" si="137"/>
        <v>1228215.0399999993</v>
      </c>
      <c r="AI499" s="531" t="e">
        <f>AH499/Z499</f>
        <v>#DIV/0!</v>
      </c>
      <c r="AJ499" s="532" t="s">
        <v>215</v>
      </c>
      <c r="AK499" s="527">
        <f>IF($AL$407=0,0,AL499/$AL$407)</f>
        <v>0</v>
      </c>
      <c r="AL499" s="529">
        <f>AL490-AL492-AL493-AL494-AL498-AL497</f>
        <v>0</v>
      </c>
      <c r="AM499" s="533"/>
      <c r="AN499" s="529">
        <f t="shared" si="139"/>
        <v>1228215.0399999993</v>
      </c>
      <c r="AO499" s="547">
        <f t="shared" si="140"/>
        <v>0</v>
      </c>
      <c r="AP499" s="94"/>
      <c r="AQ499" s="538">
        <v>2179951.2900000028</v>
      </c>
      <c r="AR499" s="588">
        <f>AF499-AQ499</f>
        <v>-951736.25000000349</v>
      </c>
      <c r="AS499" s="38"/>
      <c r="AT499" s="38"/>
      <c r="AU499" s="38"/>
      <c r="AV499" s="38"/>
      <c r="AW499" s="38"/>
      <c r="AX499" s="38"/>
      <c r="AY499" s="38"/>
      <c r="AZ499" s="38"/>
      <c r="BA499" s="38"/>
      <c r="BB499" s="38"/>
      <c r="BC499" s="38"/>
      <c r="BD499" s="38"/>
      <c r="BE499" s="38"/>
      <c r="BF499" s="38"/>
      <c r="BG499" s="38"/>
      <c r="BH499" s="38"/>
      <c r="BI499" s="38"/>
      <c r="BJ499" s="38"/>
    </row>
    <row r="500" spans="1:62" ht="15.75" customHeight="1" thickTop="1">
      <c r="A500" s="5" t="str">
        <f>+U500&amp;V489</f>
        <v>BAIIA Corpo</v>
      </c>
      <c r="B500" s="3"/>
      <c r="C500" s="38"/>
      <c r="D500" s="38"/>
      <c r="E500" s="38"/>
      <c r="F500" s="94"/>
      <c r="G500" s="38"/>
      <c r="H500" s="38"/>
      <c r="I500" s="94"/>
      <c r="J500" s="38"/>
      <c r="K500" s="38"/>
      <c r="L500" s="38"/>
      <c r="M500" s="94"/>
      <c r="N500" s="38"/>
      <c r="O500" s="38"/>
      <c r="P500" s="38"/>
      <c r="Q500" s="94"/>
      <c r="R500" s="94"/>
      <c r="S500" s="94"/>
      <c r="T500" s="38"/>
      <c r="U500" s="38"/>
      <c r="AF500" s="835"/>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38"/>
      <c r="U501" s="38"/>
      <c r="V501" s="38"/>
      <c r="W501" s="38"/>
      <c r="X501" s="38"/>
      <c r="Y501" s="38"/>
      <c r="Z501" s="94"/>
      <c r="AA501" s="38"/>
      <c r="AB501" s="38"/>
      <c r="AC501" s="94"/>
      <c r="AD501" s="38"/>
      <c r="AE501" s="776"/>
      <c r="AF501" s="776"/>
      <c r="AG501" s="776"/>
      <c r="AH501" s="776"/>
      <c r="AI501" s="38"/>
      <c r="AJ501" s="38"/>
      <c r="AK501" s="455"/>
      <c r="AL501" s="817"/>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589"/>
      <c r="AA502" s="38"/>
      <c r="AB502" s="38"/>
      <c r="AC502" s="589"/>
      <c r="AD502" s="38"/>
      <c r="AE502" s="776"/>
      <c r="AF502" s="776"/>
      <c r="AG502" s="776"/>
      <c r="AH502" s="776"/>
      <c r="AI502" s="38"/>
      <c r="AJ502" s="38"/>
      <c r="AK502" s="38"/>
      <c r="AL502" s="776"/>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94"/>
      <c r="AA503" s="38"/>
      <c r="AB503" s="38"/>
      <c r="AC503" s="38"/>
      <c r="AD503" s="38"/>
      <c r="AE503" s="776"/>
      <c r="AF503" s="776"/>
      <c r="AG503" s="776"/>
      <c r="AH503" s="776"/>
      <c r="AI503" s="38"/>
      <c r="AJ503" s="38"/>
      <c r="AK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776"/>
      <c r="AF504" s="776"/>
      <c r="AG504" s="776"/>
      <c r="AH504" s="776"/>
      <c r="AI504" s="38"/>
      <c r="AJ504" s="38"/>
      <c r="AK504" s="816"/>
      <c r="AL504" s="817"/>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776"/>
      <c r="AF505" s="776"/>
      <c r="AG505" s="776"/>
      <c r="AH505" s="776"/>
      <c r="AI505" s="38"/>
      <c r="AJ505" s="38"/>
      <c r="AK505" s="816"/>
      <c r="AL505" s="817"/>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776"/>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862"/>
      <c r="AG507" s="38"/>
      <c r="AH507" s="38"/>
      <c r="AI507" s="38"/>
      <c r="AJ507" s="38"/>
      <c r="AK507" s="816"/>
      <c r="AL507" s="817"/>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776"/>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38"/>
      <c r="X509" s="38"/>
      <c r="Y509" s="38"/>
      <c r="Z509" s="38"/>
      <c r="AA509" s="38"/>
      <c r="AB509" s="38"/>
      <c r="AC509" s="38"/>
      <c r="AD509" s="38"/>
      <c r="AE509" s="38"/>
      <c r="AF509" s="862"/>
      <c r="AG509" s="863"/>
      <c r="AH509" s="861"/>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776"/>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776"/>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776"/>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776"/>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38"/>
      <c r="W514" s="80"/>
      <c r="X514" s="80"/>
      <c r="Y514" s="38"/>
      <c r="Z514" s="38"/>
      <c r="AA514" s="38"/>
      <c r="AB514" s="38"/>
      <c r="AC514" s="38"/>
      <c r="AD514" s="38"/>
      <c r="AE514" s="38"/>
      <c r="AF514" s="776"/>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38"/>
      <c r="D515" s="38"/>
      <c r="E515" s="38"/>
      <c r="F515" s="94"/>
      <c r="G515" s="38"/>
      <c r="H515" s="38"/>
      <c r="I515" s="94"/>
      <c r="J515" s="38"/>
      <c r="K515" s="38"/>
      <c r="L515" s="38"/>
      <c r="M515" s="94"/>
      <c r="N515" s="38"/>
      <c r="O515" s="38"/>
      <c r="P515" s="38"/>
      <c r="Q515" s="94"/>
      <c r="R515" s="94"/>
      <c r="S515" s="94"/>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79"/>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1"/>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8"/>
      <c r="G518" s="80"/>
      <c r="H518" s="80"/>
      <c r="I518" s="88"/>
      <c r="J518" s="80"/>
      <c r="K518" s="80"/>
      <c r="L518" s="80"/>
      <c r="M518" s="88"/>
      <c r="N518" s="80"/>
      <c r="O518" s="80"/>
      <c r="P518" s="80"/>
      <c r="Q518" s="88"/>
      <c r="R518" s="88"/>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79"/>
      <c r="K519" s="79"/>
      <c r="L519" s="79"/>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8"/>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80"/>
      <c r="K523" s="80"/>
      <c r="L523" s="80"/>
      <c r="M523" s="88"/>
      <c r="N523" s="80"/>
      <c r="O523" s="80"/>
      <c r="P523" s="80"/>
      <c r="Q523" s="80"/>
      <c r="R523" s="80"/>
      <c r="S523" s="80"/>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79"/>
      <c r="K524" s="79"/>
      <c r="L524" s="79"/>
      <c r="M524" s="90"/>
      <c r="N524" s="79"/>
      <c r="O524" s="79"/>
      <c r="P524" s="79"/>
      <c r="Q524" s="80"/>
      <c r="R524" s="80"/>
      <c r="S524" s="79"/>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0"/>
      <c r="D527" s="80"/>
      <c r="E527" s="80"/>
      <c r="F527" s="80"/>
      <c r="G527" s="80"/>
      <c r="H527" s="80"/>
      <c r="I527" s="80"/>
      <c r="J527" s="80"/>
      <c r="K527" s="80"/>
      <c r="L527" s="80"/>
      <c r="M527" s="80"/>
      <c r="N527" s="80"/>
      <c r="O527" s="80"/>
      <c r="P527" s="80"/>
      <c r="Q527" s="80"/>
      <c r="R527" s="80"/>
      <c r="S527" s="80"/>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2"/>
      <c r="D528" s="83"/>
      <c r="E528" s="83"/>
      <c r="F528" s="83"/>
      <c r="G528" s="83"/>
      <c r="H528" s="83"/>
      <c r="I528" s="83"/>
      <c r="J528" s="83"/>
      <c r="K528" s="83"/>
      <c r="L528" s="83"/>
      <c r="M528" s="83"/>
      <c r="N528" s="83"/>
      <c r="O528" s="83"/>
      <c r="P528" s="83"/>
      <c r="Q528" s="83"/>
      <c r="R528" s="83"/>
      <c r="S528" s="83"/>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0"/>
      <c r="M529" s="80"/>
      <c r="N529" s="80"/>
      <c r="O529" s="80"/>
      <c r="P529" s="80"/>
      <c r="Q529" s="590"/>
      <c r="R529" s="80"/>
      <c r="S529" s="80"/>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0"/>
      <c r="F530" s="80"/>
      <c r="G530" s="80"/>
      <c r="H530" s="80"/>
      <c r="I530" s="80"/>
      <c r="J530" s="80"/>
      <c r="K530" s="80"/>
      <c r="L530" s="84"/>
      <c r="M530" s="85"/>
      <c r="N530" s="85"/>
      <c r="O530" s="80"/>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80"/>
      <c r="E531" s="84"/>
      <c r="F531" s="86"/>
      <c r="G531" s="80"/>
      <c r="H531" s="84"/>
      <c r="I531" s="86"/>
      <c r="J531" s="85"/>
      <c r="K531" s="79"/>
      <c r="L531" s="84"/>
      <c r="M531" s="85"/>
      <c r="N531" s="85"/>
      <c r="O531" s="79"/>
      <c r="P531" s="84"/>
      <c r="Q531" s="85"/>
      <c r="R531" s="85"/>
      <c r="S531" s="84"/>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80"/>
      <c r="D532" s="591"/>
      <c r="E532" s="86"/>
      <c r="F532" s="86"/>
      <c r="G532" s="591"/>
      <c r="H532" s="86"/>
      <c r="I532" s="86"/>
      <c r="J532" s="86"/>
      <c r="K532" s="86"/>
      <c r="L532" s="86"/>
      <c r="M532" s="86"/>
      <c r="N532" s="86"/>
      <c r="O532" s="86"/>
      <c r="P532" s="86"/>
      <c r="Q532" s="86"/>
      <c r="R532" s="86"/>
      <c r="S532" s="86"/>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79"/>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0"/>
      <c r="F534" s="80"/>
      <c r="G534" s="80"/>
      <c r="H534" s="80"/>
      <c r="I534" s="80"/>
      <c r="J534" s="80"/>
      <c r="K534" s="80"/>
      <c r="L534" s="80"/>
      <c r="M534" s="80"/>
      <c r="N534" s="80"/>
      <c r="O534" s="80"/>
      <c r="P534" s="80"/>
      <c r="Q534" s="80"/>
      <c r="R534" s="80"/>
      <c r="S534" s="80"/>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8"/>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0"/>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87"/>
      <c r="G540" s="80"/>
      <c r="H540" s="88"/>
      <c r="I540" s="87"/>
      <c r="J540" s="87"/>
      <c r="K540" s="88"/>
      <c r="L540" s="87"/>
      <c r="M540" s="88"/>
      <c r="N540" s="87"/>
      <c r="O540" s="88"/>
      <c r="P540" s="87"/>
      <c r="Q540" s="88"/>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80"/>
      <c r="D541" s="80"/>
      <c r="E541" s="88"/>
      <c r="F541" s="592"/>
      <c r="G541" s="80"/>
      <c r="H541" s="88"/>
      <c r="I541" s="592"/>
      <c r="J541" s="87"/>
      <c r="K541" s="88"/>
      <c r="L541" s="87"/>
      <c r="M541" s="88"/>
      <c r="N541" s="87"/>
      <c r="O541" s="88"/>
      <c r="P541" s="80"/>
      <c r="Q541" s="80"/>
      <c r="R541" s="88"/>
      <c r="S541" s="88"/>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79"/>
      <c r="D542" s="79"/>
      <c r="E542" s="90"/>
      <c r="F542" s="89"/>
      <c r="G542" s="79"/>
      <c r="H542" s="90"/>
      <c r="I542" s="89"/>
      <c r="J542" s="89"/>
      <c r="K542" s="90"/>
      <c r="L542" s="89"/>
      <c r="M542" s="90"/>
      <c r="N542" s="89"/>
      <c r="O542" s="90"/>
      <c r="P542" s="89"/>
      <c r="Q542" s="90"/>
      <c r="R542" s="90"/>
      <c r="S542" s="79"/>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79"/>
      <c r="Q543" s="89"/>
      <c r="R543" s="89"/>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80"/>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79"/>
      <c r="D545" s="80"/>
      <c r="E545" s="88"/>
      <c r="F545" s="80"/>
      <c r="G545" s="80"/>
      <c r="H545" s="88"/>
      <c r="I545" s="80"/>
      <c r="J545" s="87"/>
      <c r="K545" s="88"/>
      <c r="L545" s="87"/>
      <c r="M545" s="88"/>
      <c r="N545" s="87"/>
      <c r="O545" s="88"/>
      <c r="P545" s="80"/>
      <c r="Q545" s="80"/>
      <c r="R545" s="88"/>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0"/>
      <c r="F546" s="80"/>
      <c r="G546" s="80"/>
      <c r="H546" s="80"/>
      <c r="I546" s="80"/>
      <c r="J546" s="80"/>
      <c r="K546" s="80"/>
      <c r="L546" s="80"/>
      <c r="M546" s="80"/>
      <c r="N546" s="80"/>
      <c r="O546" s="80"/>
      <c r="P546" s="80"/>
      <c r="Q546" s="80"/>
      <c r="R546" s="80"/>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87"/>
      <c r="G547" s="80"/>
      <c r="H547" s="88"/>
      <c r="I547" s="87"/>
      <c r="J547" s="87"/>
      <c r="K547" s="80"/>
      <c r="L547" s="87"/>
      <c r="M547" s="80"/>
      <c r="N547" s="87"/>
      <c r="O547" s="80"/>
      <c r="P547" s="87"/>
      <c r="Q547" s="88"/>
      <c r="R547" s="88"/>
      <c r="S547" s="80"/>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592"/>
      <c r="G548" s="80"/>
      <c r="H548" s="88"/>
      <c r="I548" s="592"/>
      <c r="J548" s="87"/>
      <c r="K548" s="88"/>
      <c r="L548" s="87"/>
      <c r="M548" s="88"/>
      <c r="N548" s="87"/>
      <c r="O548" s="88"/>
      <c r="P548" s="80"/>
      <c r="Q548" s="87"/>
      <c r="R548" s="87"/>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592"/>
      <c r="G549" s="80"/>
      <c r="H549" s="88"/>
      <c r="I549" s="592"/>
      <c r="J549" s="87"/>
      <c r="K549" s="88"/>
      <c r="L549" s="87"/>
      <c r="M549" s="88"/>
      <c r="N549" s="87"/>
      <c r="O549" s="88"/>
      <c r="P549" s="80"/>
      <c r="Q549" s="80"/>
      <c r="R549" s="88"/>
      <c r="S549" s="88"/>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80"/>
      <c r="D550" s="80"/>
      <c r="E550" s="88"/>
      <c r="F550" s="87"/>
      <c r="G550" s="80"/>
      <c r="H550" s="88"/>
      <c r="I550" s="87"/>
      <c r="J550" s="87"/>
      <c r="K550" s="88"/>
      <c r="L550" s="87"/>
      <c r="M550" s="88"/>
      <c r="N550" s="87"/>
      <c r="O550" s="88"/>
      <c r="P550" s="80"/>
      <c r="Q550" s="80"/>
      <c r="R550" s="88"/>
      <c r="S550" s="80"/>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79"/>
      <c r="D551" s="79"/>
      <c r="E551" s="90"/>
      <c r="F551" s="89"/>
      <c r="G551" s="79"/>
      <c r="H551" s="90"/>
      <c r="I551" s="89"/>
      <c r="J551" s="89"/>
      <c r="K551" s="90"/>
      <c r="L551" s="89"/>
      <c r="M551" s="90"/>
      <c r="N551" s="89"/>
      <c r="O551" s="90"/>
      <c r="P551" s="89"/>
      <c r="Q551" s="79"/>
      <c r="R551" s="90"/>
      <c r="S551" s="79"/>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0"/>
      <c r="F552" s="80"/>
      <c r="G552" s="80"/>
      <c r="H552" s="80"/>
      <c r="I552" s="80"/>
      <c r="J552" s="80"/>
      <c r="K552" s="80"/>
      <c r="L552" s="80"/>
      <c r="M552" s="80"/>
      <c r="N552" s="80"/>
      <c r="O552" s="80"/>
      <c r="P552" s="79"/>
      <c r="Q552" s="89"/>
      <c r="R552" s="89"/>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80"/>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79"/>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8"/>
      <c r="F555" s="87"/>
      <c r="G555" s="80"/>
      <c r="H555" s="88"/>
      <c r="I555" s="87"/>
      <c r="J555" s="87"/>
      <c r="K555" s="88"/>
      <c r="L555" s="87"/>
      <c r="M555" s="88"/>
      <c r="N555" s="87"/>
      <c r="O555" s="88"/>
      <c r="P555" s="80"/>
      <c r="Q555" s="80"/>
      <c r="R555" s="88"/>
      <c r="S555" s="80"/>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80"/>
      <c r="D563" s="80"/>
      <c r="E563" s="80"/>
      <c r="F563" s="80"/>
      <c r="G563" s="80"/>
      <c r="H563" s="80"/>
      <c r="I563" s="80"/>
      <c r="J563" s="80"/>
      <c r="K563" s="80"/>
      <c r="L563" s="80"/>
      <c r="M563" s="80"/>
      <c r="N563" s="80"/>
      <c r="O563" s="80"/>
      <c r="P563" s="87"/>
      <c r="Q563" s="88"/>
      <c r="R563" s="80"/>
      <c r="S563" s="88"/>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79"/>
      <c r="D564" s="79"/>
      <c r="E564" s="80"/>
      <c r="F564" s="80"/>
      <c r="G564" s="79"/>
      <c r="H564" s="80"/>
      <c r="I564" s="80"/>
      <c r="J564" s="80"/>
      <c r="K564" s="80"/>
      <c r="L564" s="80"/>
      <c r="M564" s="80"/>
      <c r="N564" s="80"/>
      <c r="O564" s="80"/>
      <c r="P564" s="89"/>
      <c r="Q564" s="90"/>
      <c r="R564" s="80"/>
      <c r="S564" s="9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9"/>
      <c r="Q565" s="89"/>
      <c r="R565" s="80"/>
      <c r="S565" s="80"/>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80"/>
      <c r="D567" s="80"/>
      <c r="E567" s="80"/>
      <c r="F567" s="80"/>
      <c r="G567" s="80"/>
      <c r="H567" s="80"/>
      <c r="I567" s="80"/>
      <c r="J567" s="80"/>
      <c r="K567" s="80"/>
      <c r="L567" s="80"/>
      <c r="M567" s="80"/>
      <c r="N567" s="80"/>
      <c r="O567" s="80"/>
      <c r="P567" s="87"/>
      <c r="Q567" s="88"/>
      <c r="R567" s="80"/>
      <c r="S567" s="88"/>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79"/>
      <c r="D568" s="80"/>
      <c r="E568" s="80"/>
      <c r="F568" s="80"/>
      <c r="G568" s="80"/>
      <c r="H568" s="80"/>
      <c r="I568" s="80"/>
      <c r="J568" s="80"/>
      <c r="K568" s="80"/>
      <c r="L568" s="80"/>
      <c r="M568" s="80"/>
      <c r="N568" s="80"/>
      <c r="O568" s="80"/>
      <c r="P568" s="89"/>
      <c r="Q568" s="90"/>
      <c r="R568" s="80"/>
      <c r="S568" s="9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9"/>
      <c r="Q569" s="89"/>
      <c r="R569" s="80"/>
      <c r="S569" s="80"/>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80"/>
      <c r="D570" s="80"/>
      <c r="E570" s="80"/>
      <c r="F570" s="80"/>
      <c r="G570" s="80"/>
      <c r="H570" s="80"/>
      <c r="I570" s="80"/>
      <c r="J570" s="80"/>
      <c r="K570" s="80"/>
      <c r="L570" s="80"/>
      <c r="M570" s="80"/>
      <c r="N570" s="80"/>
      <c r="O570" s="80"/>
      <c r="P570" s="87"/>
      <c r="Q570" s="88"/>
      <c r="R570" s="80"/>
      <c r="S570" s="88"/>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79"/>
      <c r="D571" s="79"/>
      <c r="E571" s="80"/>
      <c r="F571" s="80"/>
      <c r="G571" s="79"/>
      <c r="H571" s="80"/>
      <c r="I571" s="80"/>
      <c r="J571" s="80"/>
      <c r="K571" s="80"/>
      <c r="L571" s="80"/>
      <c r="M571" s="80"/>
      <c r="N571" s="80"/>
      <c r="O571" s="80"/>
      <c r="P571" s="89"/>
      <c r="Q571" s="90"/>
      <c r="R571" s="80"/>
      <c r="S571" s="9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0"/>
      <c r="F572" s="80"/>
      <c r="G572" s="80"/>
      <c r="H572" s="80"/>
      <c r="I572" s="80"/>
      <c r="J572" s="80"/>
      <c r="K572" s="80"/>
      <c r="L572" s="80"/>
      <c r="M572" s="80"/>
      <c r="N572" s="80"/>
      <c r="O572" s="80"/>
      <c r="P572" s="89"/>
      <c r="Q572" s="89"/>
      <c r="R572" s="80"/>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80"/>
      <c r="D573" s="80"/>
      <c r="E573" s="88"/>
      <c r="F573" s="87"/>
      <c r="G573" s="80"/>
      <c r="H573" s="88"/>
      <c r="I573" s="87"/>
      <c r="J573" s="87"/>
      <c r="K573" s="88"/>
      <c r="L573" s="87"/>
      <c r="M573" s="88"/>
      <c r="N573" s="87"/>
      <c r="O573" s="88"/>
      <c r="P573" s="87"/>
      <c r="Q573" s="88"/>
      <c r="R573" s="88"/>
      <c r="S573" s="8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79"/>
      <c r="D574" s="79"/>
      <c r="E574" s="90"/>
      <c r="F574" s="89"/>
      <c r="G574" s="79"/>
      <c r="H574" s="90"/>
      <c r="I574" s="89"/>
      <c r="J574" s="89"/>
      <c r="K574" s="90"/>
      <c r="L574" s="89"/>
      <c r="M574" s="90"/>
      <c r="N574" s="89"/>
      <c r="O574" s="90"/>
      <c r="P574" s="89"/>
      <c r="Q574" s="90"/>
      <c r="R574" s="90"/>
      <c r="S574" s="90"/>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90"/>
      <c r="Q575" s="89"/>
      <c r="R575" s="89"/>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8"/>
      <c r="F576" s="87"/>
      <c r="G576" s="80"/>
      <c r="H576" s="88"/>
      <c r="I576" s="87"/>
      <c r="J576" s="88"/>
      <c r="K576" s="87"/>
      <c r="L576" s="88"/>
      <c r="M576" s="80"/>
      <c r="N576" s="88"/>
      <c r="O576" s="87"/>
      <c r="P576" s="88"/>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0"/>
      <c r="F577" s="80"/>
      <c r="G577" s="80"/>
      <c r="H577" s="80"/>
      <c r="I577" s="80"/>
      <c r="J577" s="80"/>
      <c r="K577" s="80"/>
      <c r="L577" s="80"/>
      <c r="M577" s="80"/>
      <c r="N577" s="80"/>
      <c r="O577" s="80"/>
      <c r="P577" s="80"/>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8"/>
      <c r="F584" s="87"/>
      <c r="G584" s="80"/>
      <c r="H584" s="88"/>
      <c r="I584" s="87"/>
      <c r="J584" s="88"/>
      <c r="K584" s="87"/>
      <c r="L584" s="88"/>
      <c r="M584" s="80"/>
      <c r="N584" s="88"/>
      <c r="O584" s="87"/>
      <c r="P584" s="88"/>
      <c r="Q584" s="80"/>
      <c r="R584" s="87"/>
      <c r="S584" s="88"/>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80"/>
      <c r="D647" s="80"/>
      <c r="E647" s="80"/>
      <c r="F647" s="80"/>
      <c r="G647" s="80"/>
      <c r="H647" s="80"/>
      <c r="I647" s="80"/>
      <c r="J647" s="80"/>
      <c r="K647" s="80"/>
      <c r="L647" s="80"/>
      <c r="M647" s="80"/>
      <c r="N647" s="80"/>
      <c r="O647" s="80"/>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91"/>
      <c r="D648" s="80"/>
      <c r="E648" s="80"/>
      <c r="F648" s="80"/>
      <c r="G648" s="80"/>
      <c r="H648" s="80"/>
      <c r="I648" s="80"/>
      <c r="J648" s="80"/>
      <c r="K648" s="80"/>
      <c r="L648" s="80"/>
      <c r="M648" s="80"/>
      <c r="N648" s="80"/>
      <c r="O648" s="593"/>
      <c r="P648" s="80"/>
      <c r="Q648" s="80"/>
      <c r="R648" s="80"/>
      <c r="S648" s="80"/>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2"/>
      <c r="D649" s="85"/>
      <c r="E649" s="85"/>
      <c r="F649" s="85"/>
      <c r="G649" s="85"/>
      <c r="H649" s="85"/>
      <c r="I649" s="85"/>
      <c r="J649" s="85"/>
      <c r="K649" s="85"/>
      <c r="L649" s="85"/>
      <c r="M649" s="85"/>
      <c r="N649" s="85"/>
      <c r="O649" s="85"/>
      <c r="P649" s="85"/>
      <c r="Q649" s="594"/>
      <c r="R649" s="85"/>
      <c r="S649" s="85"/>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80"/>
      <c r="D650" s="83"/>
      <c r="E650" s="83"/>
      <c r="F650" s="595"/>
      <c r="G650" s="83"/>
      <c r="H650" s="83"/>
      <c r="I650" s="595"/>
      <c r="J650" s="86"/>
      <c r="K650" s="86"/>
      <c r="L650" s="92"/>
      <c r="M650" s="86"/>
      <c r="N650" s="86"/>
      <c r="O650" s="86"/>
      <c r="P650" s="86"/>
      <c r="Q650" s="590"/>
      <c r="R650" s="83"/>
      <c r="S650" s="59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93"/>
      <c r="D651" s="80"/>
      <c r="E651" s="80"/>
      <c r="F651" s="85"/>
      <c r="G651" s="80"/>
      <c r="H651" s="80"/>
      <c r="I651" s="85"/>
      <c r="J651" s="85"/>
      <c r="K651" s="85"/>
      <c r="L651" s="80"/>
      <c r="M651" s="85"/>
      <c r="N651" s="85"/>
      <c r="O651" s="80"/>
      <c r="P651" s="85"/>
      <c r="Q651" s="85"/>
      <c r="R651" s="80"/>
      <c r="S651" s="85"/>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80"/>
      <c r="D652" s="80"/>
      <c r="E652" s="80"/>
      <c r="F652" s="88"/>
      <c r="G652" s="80"/>
      <c r="H652" s="80"/>
      <c r="I652" s="88"/>
      <c r="J652" s="88"/>
      <c r="K652" s="88"/>
      <c r="L652" s="88"/>
      <c r="M652" s="88"/>
      <c r="N652" s="88"/>
      <c r="O652" s="88"/>
      <c r="P652" s="88"/>
      <c r="Q652" s="88"/>
      <c r="R652" s="88"/>
      <c r="S652" s="88"/>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79"/>
      <c r="D653" s="79"/>
      <c r="E653" s="79"/>
      <c r="F653" s="90"/>
      <c r="G653" s="79"/>
      <c r="H653" s="79"/>
      <c r="I653" s="90"/>
      <c r="J653" s="90"/>
      <c r="K653" s="90"/>
      <c r="L653" s="90"/>
      <c r="M653" s="90"/>
      <c r="N653" s="90"/>
      <c r="O653" s="90"/>
      <c r="P653" s="90"/>
      <c r="Q653" s="90"/>
      <c r="R653" s="90"/>
      <c r="S653" s="90"/>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8"/>
      <c r="K654" s="88"/>
      <c r="L654" s="88"/>
      <c r="M654" s="88"/>
      <c r="N654" s="88"/>
      <c r="O654" s="88"/>
      <c r="P654" s="88"/>
      <c r="Q654" s="88"/>
      <c r="R654" s="88"/>
      <c r="S654" s="88"/>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88"/>
      <c r="M659" s="80"/>
      <c r="N659" s="88"/>
      <c r="O659" s="88"/>
      <c r="P659" s="80"/>
      <c r="Q659" s="88"/>
      <c r="R659" s="88"/>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90"/>
      <c r="M660" s="80"/>
      <c r="N660" s="88"/>
      <c r="O660" s="88"/>
      <c r="P660" s="80"/>
      <c r="Q660" s="88"/>
      <c r="R660" s="90"/>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8"/>
      <c r="L661" s="88"/>
      <c r="M661" s="80"/>
      <c r="N661" s="88"/>
      <c r="O661" s="88"/>
      <c r="P661" s="80"/>
      <c r="Q661" s="88"/>
      <c r="R661" s="88"/>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80"/>
      <c r="L662" s="80"/>
      <c r="M662" s="80"/>
      <c r="N662" s="90"/>
      <c r="O662" s="90"/>
      <c r="P662" s="80"/>
      <c r="Q662" s="90"/>
      <c r="R662" s="8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90"/>
      <c r="L663" s="90"/>
      <c r="M663" s="80"/>
      <c r="N663" s="88"/>
      <c r="O663" s="88"/>
      <c r="P663" s="80"/>
      <c r="Q663" s="88"/>
      <c r="R663" s="90"/>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88"/>
      <c r="O671" s="88"/>
      <c r="P671" s="80"/>
      <c r="Q671" s="88"/>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88"/>
      <c r="L672" s="88"/>
      <c r="M672" s="80"/>
      <c r="N672" s="90"/>
      <c r="O672" s="90"/>
      <c r="P672" s="80"/>
      <c r="Q672" s="90"/>
      <c r="R672" s="88"/>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90"/>
      <c r="L673" s="90"/>
      <c r="M673" s="80"/>
      <c r="N673" s="88"/>
      <c r="O673" s="88"/>
      <c r="P673" s="80"/>
      <c r="Q673" s="88"/>
      <c r="R673" s="90"/>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8"/>
      <c r="O686" s="88"/>
      <c r="P686" s="80"/>
      <c r="Q686" s="88"/>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80"/>
      <c r="O687" s="80"/>
      <c r="P687" s="80"/>
      <c r="Q687" s="8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8"/>
      <c r="L688" s="88"/>
      <c r="M688" s="80"/>
      <c r="N688" s="90"/>
      <c r="O688" s="90"/>
      <c r="P688" s="80"/>
      <c r="Q688" s="90"/>
      <c r="R688" s="88"/>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80"/>
      <c r="L689" s="80"/>
      <c r="M689" s="80"/>
      <c r="N689" s="88"/>
      <c r="O689" s="88"/>
      <c r="P689" s="80"/>
      <c r="Q689" s="88"/>
      <c r="R689" s="8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90"/>
      <c r="L690" s="90"/>
      <c r="M690" s="80"/>
      <c r="N690" s="88"/>
      <c r="O690" s="88"/>
      <c r="P690" s="80"/>
      <c r="Q690" s="88"/>
      <c r="R690" s="90"/>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88"/>
      <c r="M696" s="80"/>
      <c r="N696" s="88"/>
      <c r="O696" s="88"/>
      <c r="P696" s="80"/>
      <c r="Q696" s="88"/>
      <c r="R696" s="88"/>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90"/>
      <c r="M697" s="80"/>
      <c r="N697" s="88"/>
      <c r="O697" s="88"/>
      <c r="P697" s="80"/>
      <c r="Q697" s="88"/>
      <c r="R697" s="90"/>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88"/>
      <c r="O699" s="88"/>
      <c r="P699" s="80"/>
      <c r="Q699" s="88"/>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row r="700" spans="2:62" ht="15.75" customHeight="1">
      <c r="B700" s="3"/>
      <c r="C700" s="80"/>
      <c r="D700" s="80"/>
      <c r="E700" s="80"/>
      <c r="F700" s="80"/>
      <c r="G700" s="80"/>
      <c r="H700" s="80"/>
      <c r="I700" s="80"/>
      <c r="J700" s="80"/>
      <c r="K700" s="88"/>
      <c r="L700" s="88"/>
      <c r="M700" s="80"/>
      <c r="N700" s="90"/>
      <c r="O700" s="90"/>
      <c r="P700" s="80"/>
      <c r="Q700" s="90"/>
      <c r="R700" s="88"/>
      <c r="S700" s="80"/>
      <c r="T700" s="80"/>
      <c r="U700" s="80"/>
      <c r="V700" s="80"/>
      <c r="W700" s="80"/>
      <c r="X700" s="80"/>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c r="BC700" s="38"/>
      <c r="BD700" s="38"/>
      <c r="BE700" s="38"/>
      <c r="BF700" s="38"/>
      <c r="BG700" s="38"/>
      <c r="BH700" s="38"/>
      <c r="BI700" s="38"/>
      <c r="BJ700" s="38"/>
    </row>
  </sheetData>
  <mergeCells count="42">
    <mergeCell ref="O171:Q171"/>
    <mergeCell ref="R171:S171"/>
    <mergeCell ref="R3:S3"/>
    <mergeCell ref="D91:F91"/>
    <mergeCell ref="R91:S91"/>
    <mergeCell ref="G91:I91"/>
    <mergeCell ref="J91:L91"/>
    <mergeCell ref="M91:N91"/>
    <mergeCell ref="O91:Q91"/>
    <mergeCell ref="D3:F3"/>
    <mergeCell ref="G3:I3"/>
    <mergeCell ref="J3:L3"/>
    <mergeCell ref="M3:N3"/>
    <mergeCell ref="O3:Q3"/>
    <mergeCell ref="D171:F171"/>
    <mergeCell ref="D239:F239"/>
    <mergeCell ref="G239:I239"/>
    <mergeCell ref="J239:L239"/>
    <mergeCell ref="M239:N239"/>
    <mergeCell ref="G171:I171"/>
    <mergeCell ref="J171:L171"/>
    <mergeCell ref="M171:N171"/>
    <mergeCell ref="O239:Q239"/>
    <mergeCell ref="R239:S239"/>
    <mergeCell ref="G359:I359"/>
    <mergeCell ref="J359:L359"/>
    <mergeCell ref="M359:N359"/>
    <mergeCell ref="O359:Q359"/>
    <mergeCell ref="AM405:AO405"/>
    <mergeCell ref="D294:F294"/>
    <mergeCell ref="G294:I294"/>
    <mergeCell ref="J294:L294"/>
    <mergeCell ref="M294:N294"/>
    <mergeCell ref="O294:Q294"/>
    <mergeCell ref="R294:S294"/>
    <mergeCell ref="D359:F359"/>
    <mergeCell ref="R359:S359"/>
    <mergeCell ref="X405:Z405"/>
    <mergeCell ref="AA405:AC405"/>
    <mergeCell ref="AD405:AF405"/>
    <mergeCell ref="AG405:AI405"/>
    <mergeCell ref="AJ405:AL405"/>
  </mergeCells>
  <conditionalFormatting sqref="F5">
    <cfRule type="expression" dxfId="63" priority="194" stopIfTrue="1">
      <formula>"esterreur(reference)"</formula>
    </cfRule>
  </conditionalFormatting>
  <conditionalFormatting sqref="F109">
    <cfRule type="expression" dxfId="62" priority="27" stopIfTrue="1">
      <formula>"esterreur(reference)"</formula>
    </cfRule>
  </conditionalFormatting>
  <conditionalFormatting sqref="F185">
    <cfRule type="expression" dxfId="61" priority="181" stopIfTrue="1">
      <formula>"esterreur(reference)"</formula>
    </cfRule>
  </conditionalFormatting>
  <conditionalFormatting sqref="G186">
    <cfRule type="expression" dxfId="60" priority="379" stopIfTrue="1">
      <formula>"esterreur(reference)"</formula>
    </cfRule>
  </conditionalFormatting>
  <conditionalFormatting sqref="H361">
    <cfRule type="expression" dxfId="59" priority="363" stopIfTrue="1">
      <formula>"esterreur(reference)"</formula>
    </cfRule>
  </conditionalFormatting>
  <conditionalFormatting sqref="H198:L198">
    <cfRule type="expression" dxfId="58" priority="51" stopIfTrue="1">
      <formula>"esterreur(reference)"</formula>
    </cfRule>
  </conditionalFormatting>
  <conditionalFormatting sqref="H362:L365 J366:K374 H366:H377 H401 J401:K401">
    <cfRule type="expression" dxfId="57" priority="358" stopIfTrue="1">
      <formula>"esterreur(reference)"</formula>
    </cfRule>
  </conditionalFormatting>
  <conditionalFormatting sqref="H397:L400">
    <cfRule type="expression" dxfId="56" priority="360" stopIfTrue="1">
      <formula>"esterreur(reference)"</formula>
    </cfRule>
  </conditionalFormatting>
  <conditionalFormatting sqref="I378:L378 J379:K395 H379:H396">
    <cfRule type="expression" dxfId="55" priority="361" stopIfTrue="1">
      <formula>"esterreur(reference)"</formula>
    </cfRule>
  </conditionalFormatting>
  <conditionalFormatting sqref="J3 L6:L14 I13:J14 I16:I17 I18:J18 I20:J20 J21:J23 I24:J24 H25:L26 I27:J27 L27 H28:K28 H29:L30 J31:K48 H31:H72 J49:L72 F83:F85 H83:L85 H86:K88 L86:L90 H90:I90 K90 J90:J91 K93:L96 P93:Q96 H97:L98 O97:Q98 K99:L101 P99:Q101 I102:L102 H102:H105 O102:Q109 J103:L105 I106:L109 H107:H135 I110:K110 O110:P110 I111:L112 O111:Q154 J113:L122 I123:L123 J124:L135 H136:L136 H137:H153 J137:L153 H154:L154 H157:H158 J157:K158 O157:P158 H165:L165 O165:Q165 H166 J166:K166 O166:P166 H167:K168 L167:L170 H170:I170 K170 J170:J172 H172:I172 K172:L174 H174:J175 L175 K176:L177 H177:J178 L178 K179:L180 H180:J181 L181 K183:L183 H183:I184 J183:J188 L184 K184:K185 H186:I188 K186:L197 H190:I191 J190:J197 H193:I197 H199:H230 J199:K230 H233:L233 H234 J234:K234 H235:K236 L235:L238 H238:I238 K238 J238:J241 H240:I241 K240:L242 H244:L244 H253:L254 H255:H285 J255:K285 L268:L285 H286:L286 H289:L289 H290 J290:K290 H291:K291 L291:L293 H293:K293 M313 L319:L330 H319:H349 J319:K349 H350:L350 H353:L353 H354:H356 J354:K356">
    <cfRule type="expression" dxfId="54" priority="36" stopIfTrue="1">
      <formula>"esterreur(reference)"</formula>
    </cfRule>
  </conditionalFormatting>
  <conditionalFormatting sqref="J16">
    <cfRule type="expression" dxfId="53" priority="19" stopIfTrue="1">
      <formula>"esterreur(reference)"</formula>
    </cfRule>
  </conditionalFormatting>
  <conditionalFormatting sqref="J19">
    <cfRule type="expression" dxfId="52" priority="28" stopIfTrue="1">
      <formula>"esterreur(reference)"</formula>
    </cfRule>
  </conditionalFormatting>
  <conditionalFormatting sqref="J294 H295:I295 K295:L295 K296:K304 H305:I307 K305:L307 K308:K309 H310:I312 K310:L315 H314:I315 H316:L318">
    <cfRule type="expression" dxfId="51" priority="2" stopIfTrue="1">
      <formula>"esterreur(reference)"</formula>
    </cfRule>
  </conditionalFormatting>
  <conditionalFormatting sqref="J296:J315">
    <cfRule type="expression" dxfId="50" priority="1" stopIfTrue="1">
      <formula>"esterreur(reference)"</formula>
    </cfRule>
  </conditionalFormatting>
  <conditionalFormatting sqref="J182:L182">
    <cfRule type="expression" dxfId="49" priority="17" stopIfTrue="1">
      <formula>"esterreur(reference)"</formula>
    </cfRule>
  </conditionalFormatting>
  <conditionalFormatting sqref="J361:L361">
    <cfRule type="expression" dxfId="48" priority="30" stopIfTrue="1">
      <formula>"esterreur(reference)"</formula>
    </cfRule>
  </conditionalFormatting>
  <conditionalFormatting sqref="K288">
    <cfRule type="expression" dxfId="47" priority="183" stopIfTrue="1">
      <formula>"esterreur(reference)"</formula>
    </cfRule>
  </conditionalFormatting>
  <conditionalFormatting sqref="K396">
    <cfRule type="expression" dxfId="46" priority="364" stopIfTrue="1">
      <formula>"esterreur(reference)"</formula>
    </cfRule>
  </conditionalFormatting>
  <conditionalFormatting sqref="K5:L5">
    <cfRule type="expression" dxfId="45" priority="162" stopIfTrue="1">
      <formula>"esterreur(reference)"</formula>
    </cfRule>
  </conditionalFormatting>
  <conditionalFormatting sqref="K245:L245">
    <cfRule type="expression" dxfId="44" priority="136" stopIfTrue="1">
      <formula>"esterreur(reference)"</formula>
    </cfRule>
  </conditionalFormatting>
  <conditionalFormatting sqref="K248:L248">
    <cfRule type="expression" dxfId="43" priority="137" stopIfTrue="1">
      <formula>"esterreur(reference)"</formula>
    </cfRule>
  </conditionalFormatting>
  <conditionalFormatting sqref="L16:L24">
    <cfRule type="expression" dxfId="42" priority="18" stopIfTrue="1">
      <formula>"esterreur(reference)"</formula>
    </cfRule>
  </conditionalFormatting>
  <conditionalFormatting sqref="L43:L48">
    <cfRule type="expression" dxfId="41" priority="65" stopIfTrue="1">
      <formula>"esterreur(reference)"</formula>
    </cfRule>
  </conditionalFormatting>
  <conditionalFormatting sqref="L75:L82">
    <cfRule type="expression" dxfId="40" priority="43" stopIfTrue="1">
      <formula>"esterreur(reference)"</formula>
    </cfRule>
  </conditionalFormatting>
  <conditionalFormatting sqref="L157:L163">
    <cfRule type="expression" dxfId="39" priority="115" stopIfTrue="1">
      <formula>"esterreur(reference)"</formula>
    </cfRule>
  </conditionalFormatting>
  <conditionalFormatting sqref="L199:L210">
    <cfRule type="expression" dxfId="38" priority="92" stopIfTrue="1">
      <formula>"esterreur(reference)"</formula>
    </cfRule>
  </conditionalFormatting>
  <conditionalFormatting sqref="L212:L229">
    <cfRule type="expression" dxfId="37" priority="94" stopIfTrue="1">
      <formula>"esterreur(reference)"</formula>
    </cfRule>
  </conditionalFormatting>
  <conditionalFormatting sqref="L255:L266">
    <cfRule type="expression" dxfId="36" priority="138" stopIfTrue="1">
      <formula>"esterreur(reference)"</formula>
    </cfRule>
  </conditionalFormatting>
  <conditionalFormatting sqref="L332:L349">
    <cfRule type="expression" dxfId="35" priority="58" stopIfTrue="1">
      <formula>"esterreur(reference)"</formula>
    </cfRule>
  </conditionalFormatting>
  <conditionalFormatting sqref="L357:L358 H358:I358 K358 J358:J359 H360:L360">
    <cfRule type="expression" dxfId="34" priority="359" stopIfTrue="1">
      <formula>"esterreur(reference)"</formula>
    </cfRule>
  </conditionalFormatting>
  <conditionalFormatting sqref="L366 J375:L377">
    <cfRule type="expression" dxfId="33" priority="35" stopIfTrue="1">
      <formula>"esterreur(reference)"</formula>
    </cfRule>
  </conditionalFormatting>
  <conditionalFormatting sqref="L379:L380 L385:L395">
    <cfRule type="expression" dxfId="32" priority="31" stopIfTrue="1">
      <formula>"esterreur(reference)"</formula>
    </cfRule>
  </conditionalFormatting>
  <conditionalFormatting sqref="M95:M97">
    <cfRule type="expression" dxfId="31" priority="37" stopIfTrue="1">
      <formula>"esterreur(reference)"</formula>
    </cfRule>
  </conditionalFormatting>
  <conditionalFormatting sqref="N109">
    <cfRule type="expression" dxfId="30" priority="26" stopIfTrue="1">
      <formula>"esterreur(reference)"</formula>
    </cfRule>
  </conditionalFormatting>
  <conditionalFormatting sqref="O16">
    <cfRule type="expression" dxfId="29" priority="7" stopIfTrue="1">
      <formula>"esterreur(reference)"</formula>
    </cfRule>
  </conditionalFormatting>
  <conditionalFormatting sqref="O18:O24">
    <cfRule type="expression" dxfId="28" priority="20" stopIfTrue="1">
      <formula>"esterreur(reference)"</formula>
    </cfRule>
  </conditionalFormatting>
  <conditionalFormatting sqref="O182:Q182">
    <cfRule type="expression" dxfId="27" priority="11" stopIfTrue="1">
      <formula>"esterreur(reference)"</formula>
    </cfRule>
  </conditionalFormatting>
  <conditionalFormatting sqref="O198:Q198">
    <cfRule type="expression" dxfId="26" priority="13" stopIfTrue="1">
      <formula>"esterreur(reference)"</formula>
    </cfRule>
  </conditionalFormatting>
  <conditionalFormatting sqref="O244:Q244 O253:Q254 O255:P285 Q268:Q285 O286:Q286 O289:Q289 O290:P290">
    <cfRule type="expression" dxfId="25" priority="298" stopIfTrue="1">
      <formula>"esterreur(reference)"</formula>
    </cfRule>
  </conditionalFormatting>
  <conditionalFormatting sqref="O296:Q314 O315:P316 O317:Q318 Q319:Q330 O319:P349 O350:Q350 O353:Q353 O354:P354">
    <cfRule type="expression" dxfId="24" priority="9" stopIfTrue="1">
      <formula>"esterreur(reference)"</formula>
    </cfRule>
  </conditionalFormatting>
  <conditionalFormatting sqref="O360:Q395">
    <cfRule type="expression" dxfId="23" priority="368" stopIfTrue="1">
      <formula>"esterreur(reference)"</formula>
    </cfRule>
  </conditionalFormatting>
  <conditionalFormatting sqref="O397:Q400">
    <cfRule type="expression" dxfId="22" priority="371" stopIfTrue="1">
      <formula>"esterreur(reference)"</formula>
    </cfRule>
  </conditionalFormatting>
  <conditionalFormatting sqref="P288">
    <cfRule type="expression" dxfId="21" priority="325" stopIfTrue="1">
      <formula>"esterreur(reference)"</formula>
    </cfRule>
  </conditionalFormatting>
  <conditionalFormatting sqref="P396">
    <cfRule type="expression" dxfId="20" priority="373" stopIfTrue="1">
      <formula>"esterreur(reference)"</formula>
    </cfRule>
  </conditionalFormatting>
  <conditionalFormatting sqref="P5:Q5">
    <cfRule type="expression" dxfId="19" priority="24" stopIfTrue="1">
      <formula>"esterreur(reference)"</formula>
    </cfRule>
  </conditionalFormatting>
  <conditionalFormatting sqref="P173:Q174 O174:O175 Q175 P176:Q177 O177:O178 Q178 P179:Q180 O180:O181 Q181 P183:Q183 O183:O188 Q184 P184:P185 P186:Q197 O190:O197 O199:P230 O233:Q233 O234:P234">
    <cfRule type="expression" dxfId="18" priority="12" stopIfTrue="1">
      <formula>"esterreur(reference)"</formula>
    </cfRule>
  </conditionalFormatting>
  <conditionalFormatting sqref="P242:Q242">
    <cfRule type="expression" dxfId="17" priority="5" stopIfTrue="1">
      <formula>"esterreur(reference)"</formula>
    </cfRule>
  </conditionalFormatting>
  <conditionalFormatting sqref="P245:Q245">
    <cfRule type="expression" dxfId="16" priority="303" stopIfTrue="1">
      <formula>"esterreur(reference)"</formula>
    </cfRule>
  </conditionalFormatting>
  <conditionalFormatting sqref="P248:Q248">
    <cfRule type="expression" dxfId="15" priority="304" stopIfTrue="1">
      <formula>"esterreur(reference)"</formula>
    </cfRule>
  </conditionalFormatting>
  <conditionalFormatting sqref="Q6:Q14 O13:O14 O25:Q26 O27 Q27 O28:P28 O29:Q30 O31:P48 O49:Q72 O83:Q85">
    <cfRule type="expression" dxfId="14" priority="21" stopIfTrue="1">
      <formula>"esterreur(reference)"</formula>
    </cfRule>
  </conditionalFormatting>
  <conditionalFormatting sqref="Q16:Q24">
    <cfRule type="expression" dxfId="13" priority="8" stopIfTrue="1">
      <formula>"esterreur(reference)"</formula>
    </cfRule>
  </conditionalFormatting>
  <conditionalFormatting sqref="Q43:Q48">
    <cfRule type="expression" dxfId="12" priority="23" stopIfTrue="1">
      <formula>"esterreur(reference)"</formula>
    </cfRule>
  </conditionalFormatting>
  <conditionalFormatting sqref="Q75:Q82">
    <cfRule type="expression" dxfId="11" priority="22" stopIfTrue="1">
      <formula>"esterreur(reference)"</formula>
    </cfRule>
  </conditionalFormatting>
  <conditionalFormatting sqref="Q157:Q163">
    <cfRule type="expression" dxfId="10" priority="16" stopIfTrue="1">
      <formula>"esterreur(reference)"</formula>
    </cfRule>
  </conditionalFormatting>
  <conditionalFormatting sqref="Q199:Q210">
    <cfRule type="expression" dxfId="9" priority="14" stopIfTrue="1">
      <formula>"esterreur(reference)"</formula>
    </cfRule>
  </conditionalFormatting>
  <conditionalFormatting sqref="Q212:Q229">
    <cfRule type="expression" dxfId="8" priority="15" stopIfTrue="1">
      <formula>"esterreur(reference)"</formula>
    </cfRule>
  </conditionalFormatting>
  <conditionalFormatting sqref="Q255:Q266">
    <cfRule type="expression" dxfId="7" priority="305" stopIfTrue="1">
      <formula>"esterreur(reference)"</formula>
    </cfRule>
  </conditionalFormatting>
  <conditionalFormatting sqref="Q332:Q349">
    <cfRule type="expression" dxfId="6" priority="10" stopIfTrue="1">
      <formula>"esterreur(reference)"</formula>
    </cfRule>
  </conditionalFormatting>
  <conditionalFormatting sqref="R313">
    <cfRule type="expression" dxfId="5" priority="45" stopIfTrue="1">
      <formula>"esterreur(reference)"</formula>
    </cfRule>
  </conditionalFormatting>
  <conditionalFormatting sqref="S109">
    <cfRule type="expression" dxfId="4" priority="25" stopIfTrue="1">
      <formula>"esterreur(reference)"</formula>
    </cfRule>
  </conditionalFormatting>
  <conditionalFormatting sqref="S187">
    <cfRule type="expression" dxfId="3" priority="182" stopIfTrue="1">
      <formula>"esterreur(reference)"</formula>
    </cfRule>
  </conditionalFormatting>
  <conditionalFormatting sqref="AG410:AI419 AH421:AI432 AG433:AI433 AH435:AI452 AH454:AI461 AH462:AH466 AH468:AI468 AI469 AH492:AI498">
    <cfRule type="cellIs" dxfId="2" priority="46" operator="greaterThan">
      <formula>0</formula>
    </cfRule>
  </conditionalFormatting>
  <conditionalFormatting sqref="AH470:AI481">
    <cfRule type="cellIs" dxfId="1" priority="47" operator="lessThan">
      <formula>0</formula>
    </cfRule>
  </conditionalFormatting>
  <conditionalFormatting sqref="AO410:AO419">
    <cfRule type="cellIs" dxfId="0" priority="184"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8" min="2" max="18" man="1"/>
    <brk id="236" min="2" max="18" man="1"/>
    <brk id="291" min="2" max="18" man="1"/>
    <brk id="354" man="1"/>
    <brk id="291" man="1"/>
    <brk id="484" man="1"/>
    <brk id="356" man="1"/>
    <brk id="485" man="1"/>
    <brk id="85" man="1"/>
    <brk id="168" man="1"/>
    <brk id="88" man="1"/>
    <brk id="236" man="1"/>
    <brk id="400" man="1"/>
  </rowBreaks>
  <ignoredErrors>
    <ignoredError sqref="AF434:AF458" formula="1"/>
  </ignoredError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outlinePr summaryBelow="0"/>
  </sheetPr>
  <dimension ref="A1:AZ792"/>
  <sheetViews>
    <sheetView topLeftCell="AL1" zoomScale="80" zoomScaleNormal="80" workbookViewId="0">
      <selection activeCell="AW3" sqref="AW3:AW792"/>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2" s="832" t="s">
        <v>1117</v>
      </c>
      <c r="B2" s="832" t="s">
        <v>7</v>
      </c>
      <c r="C2" s="832" t="s">
        <v>1118</v>
      </c>
      <c r="D2" s="832" t="s">
        <v>247</v>
      </c>
      <c r="E2" s="832" t="s">
        <v>1119</v>
      </c>
      <c r="F2" s="832" t="s">
        <v>1120</v>
      </c>
      <c r="G2" s="832" t="s">
        <v>1121</v>
      </c>
      <c r="H2" s="832" t="s">
        <v>1122</v>
      </c>
      <c r="I2" s="832" t="s">
        <v>1123</v>
      </c>
      <c r="J2" s="832" t="s">
        <v>1124</v>
      </c>
      <c r="K2" s="832" t="s">
        <v>1125</v>
      </c>
      <c r="L2" s="832" t="s">
        <v>1126</v>
      </c>
      <c r="M2" s="832" t="s">
        <v>1127</v>
      </c>
      <c r="N2" s="832" t="s">
        <v>1128</v>
      </c>
      <c r="O2" s="832" t="s">
        <v>1129</v>
      </c>
      <c r="P2" s="832" t="s">
        <v>1130</v>
      </c>
      <c r="Q2" s="832" t="s">
        <v>1131</v>
      </c>
      <c r="R2" s="832" t="s">
        <v>1132</v>
      </c>
      <c r="S2" s="832" t="s">
        <v>1133</v>
      </c>
      <c r="T2" s="832" t="s">
        <v>1134</v>
      </c>
      <c r="U2" s="832" t="s">
        <v>1135</v>
      </c>
      <c r="V2" s="832" t="s">
        <v>1136</v>
      </c>
      <c r="W2" s="832" t="s">
        <v>1137</v>
      </c>
      <c r="X2" s="832" t="s">
        <v>1138</v>
      </c>
      <c r="Y2" s="832" t="s">
        <v>1139</v>
      </c>
      <c r="Z2" s="832" t="s">
        <v>1140</v>
      </c>
      <c r="AA2" s="832" t="s">
        <v>1141</v>
      </c>
      <c r="AB2" s="832" t="s">
        <v>1142</v>
      </c>
      <c r="AC2" s="832" t="s">
        <v>1143</v>
      </c>
      <c r="AD2" s="832" t="s">
        <v>1144</v>
      </c>
      <c r="AE2" s="832" t="s">
        <v>1145</v>
      </c>
      <c r="AF2" s="832" t="s">
        <v>1146</v>
      </c>
      <c r="AG2" s="832" t="s">
        <v>1147</v>
      </c>
      <c r="AH2" s="832" t="s">
        <v>1148</v>
      </c>
      <c r="AI2" s="832" t="s">
        <v>1149</v>
      </c>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3" s="832" t="s">
        <v>1150</v>
      </c>
      <c r="B3" s="832">
        <v>2025</v>
      </c>
      <c r="C3" s="832" t="s">
        <v>1151</v>
      </c>
      <c r="D3" s="832" t="s">
        <v>1152</v>
      </c>
      <c r="E3" s="832" t="s">
        <v>333</v>
      </c>
      <c r="F3" s="832" t="s">
        <v>1153</v>
      </c>
      <c r="G3" s="832">
        <v>0</v>
      </c>
      <c r="H3" s="832">
        <v>0</v>
      </c>
      <c r="I3" s="832">
        <v>0</v>
      </c>
      <c r="J3" s="832">
        <v>0</v>
      </c>
      <c r="K3" s="832">
        <v>0</v>
      </c>
      <c r="L3" s="832">
        <v>0</v>
      </c>
      <c r="M3" s="832">
        <v>0</v>
      </c>
      <c r="N3" s="832">
        <v>0</v>
      </c>
      <c r="O3" s="832">
        <v>0</v>
      </c>
      <c r="P3" s="832">
        <v>0</v>
      </c>
      <c r="Q3" s="832">
        <v>0</v>
      </c>
      <c r="R3" s="832">
        <v>0</v>
      </c>
      <c r="S3" s="832">
        <v>0</v>
      </c>
      <c r="T3" s="832">
        <v>0</v>
      </c>
      <c r="U3" s="832">
        <v>0</v>
      </c>
      <c r="V3" s="832">
        <v>0</v>
      </c>
      <c r="W3" s="832">
        <v>0</v>
      </c>
      <c r="X3" s="832">
        <v>0</v>
      </c>
      <c r="Y3" s="832">
        <v>0</v>
      </c>
      <c r="Z3" s="832">
        <v>0</v>
      </c>
      <c r="AA3" s="832">
        <v>0</v>
      </c>
      <c r="AB3" s="832">
        <v>0</v>
      </c>
      <c r="AC3" s="832">
        <v>0</v>
      </c>
      <c r="AD3" s="832">
        <v>0</v>
      </c>
      <c r="AE3" s="832">
        <v>0</v>
      </c>
      <c r="AF3" s="832">
        <v>0</v>
      </c>
      <c r="AG3" s="832">
        <v>0</v>
      </c>
      <c r="AH3" s="832">
        <v>0</v>
      </c>
      <c r="AI3" s="832">
        <v>0</v>
      </c>
      <c r="AJ3" s="1030" t="str">
        <f>C3</f>
        <v>HDB120</v>
      </c>
      <c r="AK3" s="1030" t="str">
        <f>D3</f>
        <v>FRAIS DE GESTION</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t="str">
        <f>C3</f>
        <v>HDB120</v>
      </c>
      <c r="AU3" s="599" t="str">
        <f>D3</f>
        <v>FRAIS DE GESTION</v>
      </c>
      <c r="AV3" s="1030">
        <f>IFERROR(INDEX(V3:AG3,1,MATCH(Parametres!$B$3,V$1:AG$1,0)-1)*IF(OR(C3="L",C3="S",C3="I"),-1,1),"")</f>
        <v>0</v>
      </c>
      <c r="AW3" s="1030">
        <f>AX3-N(AV3)</f>
        <v>0</v>
      </c>
      <c r="AX3" s="1030">
        <f>INDEX(V3:AG3,1,MATCH(Parametres!$B$3,V$1:AG$1,0))*IF(OR(C3="L",C3="S",C3="I"),-1,1)</f>
        <v>0</v>
      </c>
      <c r="AY3" s="598" t="s">
        <v>337</v>
      </c>
      <c r="AZ3" s="598" t="e">
        <f>+VLOOKUP($AJ3,Data_Validation!$A:$E,5,0)</f>
        <v>#N/A</v>
      </c>
    </row>
    <row r="4" spans="1:52" ht="15" customHeight="1">
      <c r="A4" s="832" t="s">
        <v>1150</v>
      </c>
      <c r="B4" s="832">
        <v>2025</v>
      </c>
      <c r="C4" s="832" t="s">
        <v>1154</v>
      </c>
      <c r="D4" s="832" t="s">
        <v>1155</v>
      </c>
      <c r="E4" s="832" t="s">
        <v>333</v>
      </c>
      <c r="F4" s="832" t="s">
        <v>1153</v>
      </c>
      <c r="G4" s="832">
        <v>0</v>
      </c>
      <c r="H4" s="832">
        <v>0</v>
      </c>
      <c r="I4" s="832">
        <v>0</v>
      </c>
      <c r="J4" s="832">
        <v>0</v>
      </c>
      <c r="K4" s="832">
        <v>0</v>
      </c>
      <c r="L4" s="832">
        <v>0</v>
      </c>
      <c r="M4" s="832">
        <v>0</v>
      </c>
      <c r="N4" s="832">
        <v>0</v>
      </c>
      <c r="O4" s="832">
        <v>0</v>
      </c>
      <c r="P4" s="832">
        <v>0</v>
      </c>
      <c r="Q4" s="832">
        <v>0</v>
      </c>
      <c r="R4" s="832">
        <v>0</v>
      </c>
      <c r="S4" s="832">
        <v>0</v>
      </c>
      <c r="T4" s="832">
        <v>0</v>
      </c>
      <c r="U4" s="832">
        <v>0</v>
      </c>
      <c r="V4" s="832">
        <v>0</v>
      </c>
      <c r="W4" s="832">
        <v>0</v>
      </c>
      <c r="X4" s="832">
        <v>0</v>
      </c>
      <c r="Y4" s="832">
        <v>0</v>
      </c>
      <c r="Z4" s="832">
        <v>0</v>
      </c>
      <c r="AA4" s="832">
        <v>0</v>
      </c>
      <c r="AB4" s="832">
        <v>0</v>
      </c>
      <c r="AC4" s="832">
        <v>0</v>
      </c>
      <c r="AD4" s="832">
        <v>0</v>
      </c>
      <c r="AE4" s="832">
        <v>0</v>
      </c>
      <c r="AF4" s="832">
        <v>0</v>
      </c>
      <c r="AG4" s="832">
        <v>0</v>
      </c>
      <c r="AH4" s="832">
        <v>0</v>
      </c>
      <c r="AI4" s="832">
        <v>0</v>
      </c>
      <c r="AJ4" s="1030" t="str">
        <f t="shared" ref="AJ4:AJ67" si="0">C4</f>
        <v>HDB134</v>
      </c>
      <c r="AK4" s="1030" t="str">
        <f t="shared" ref="AK4:AK67" si="1">D4</f>
        <v>PROV.POUR MAUVAIS.CREANCE</v>
      </c>
      <c r="AL4" s="1030">
        <f>IFERROR(INDEX(G4:R4,1,MATCH(Parametres!$B$3,G$1:R$1,0)-1)*IF(OR(F4="L",F4="S",F4="I"),-1,1),"")</f>
        <v>0</v>
      </c>
      <c r="AM4" s="1030">
        <f t="shared" ref="AM4:AM67" si="2">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t="str">
        <f t="shared" ref="AT4:AT67" si="3">C4</f>
        <v>HDB134</v>
      </c>
      <c r="AU4" s="599" t="str">
        <f t="shared" ref="AU4:AU67" si="4">D4</f>
        <v>PROV.POUR MAUVAIS.CREANCE</v>
      </c>
      <c r="AV4" s="1030">
        <f>IFERROR(INDEX(V4:AG4,1,MATCH(Parametres!$B$3,V$1:AG$1,0)-1)*IF(OR(C4="L",C4="S",C4="I"),-1,1),"")</f>
        <v>0</v>
      </c>
      <c r="AW4" s="1030">
        <f t="shared" ref="AW4:AW67" si="5">AX4-N(AV4)</f>
        <v>0</v>
      </c>
      <c r="AX4" s="1030">
        <f>INDEX(V4:AG4,1,MATCH(Parametres!$B$3,V$1:AG$1,0))*IF(OR(C4="L",C4="S",C4="I"),-1,1)</f>
        <v>0</v>
      </c>
      <c r="AY4" s="598" t="s">
        <v>337</v>
      </c>
      <c r="AZ4" s="598" t="e">
        <f>+VLOOKUP($AJ4,Data_Validation!$A:$E,5,0)</f>
        <v>#N/A</v>
      </c>
    </row>
    <row r="5" spans="1:52" ht="15.75" customHeight="1">
      <c r="A5" s="832" t="s">
        <v>1150</v>
      </c>
      <c r="B5" s="832">
        <v>2025</v>
      </c>
      <c r="C5" s="832" t="s">
        <v>1156</v>
      </c>
      <c r="D5" s="832" t="s">
        <v>1157</v>
      </c>
      <c r="E5" s="832" t="s">
        <v>333</v>
      </c>
      <c r="F5" s="832" t="s">
        <v>1153</v>
      </c>
      <c r="G5" s="832">
        <v>0</v>
      </c>
      <c r="H5" s="832">
        <v>0</v>
      </c>
      <c r="I5" s="832">
        <v>0</v>
      </c>
      <c r="J5" s="832">
        <v>0</v>
      </c>
      <c r="K5" s="832">
        <v>0</v>
      </c>
      <c r="L5" s="832">
        <v>0</v>
      </c>
      <c r="M5" s="832">
        <v>0</v>
      </c>
      <c r="N5" s="832">
        <v>0</v>
      </c>
      <c r="O5" s="832">
        <v>0</v>
      </c>
      <c r="P5" s="832">
        <v>0</v>
      </c>
      <c r="Q5" s="832">
        <v>0</v>
      </c>
      <c r="R5" s="832">
        <v>0</v>
      </c>
      <c r="S5" s="832">
        <v>0</v>
      </c>
      <c r="T5" s="832">
        <v>0</v>
      </c>
      <c r="U5" s="832">
        <v>0</v>
      </c>
      <c r="V5" s="832">
        <v>0</v>
      </c>
      <c r="W5" s="832">
        <v>0</v>
      </c>
      <c r="X5" s="832">
        <v>0</v>
      </c>
      <c r="Y5" s="832">
        <v>0</v>
      </c>
      <c r="Z5" s="832">
        <v>0</v>
      </c>
      <c r="AA5" s="832">
        <v>0</v>
      </c>
      <c r="AB5" s="832">
        <v>0</v>
      </c>
      <c r="AC5" s="832">
        <v>0</v>
      </c>
      <c r="AD5" s="832">
        <v>0</v>
      </c>
      <c r="AE5" s="832">
        <v>0</v>
      </c>
      <c r="AF5" s="832">
        <v>0</v>
      </c>
      <c r="AG5" s="832">
        <v>0</v>
      </c>
      <c r="AH5" s="832">
        <v>0</v>
      </c>
      <c r="AI5" s="832">
        <v>0</v>
      </c>
      <c r="AJ5" s="1030" t="str">
        <f t="shared" si="0"/>
        <v>HDB137</v>
      </c>
      <c r="AK5" s="1030" t="str">
        <f t="shared" si="1"/>
        <v>AVAN.FIDUCIE TESTAMENTAIR</v>
      </c>
      <c r="AL5" s="1030">
        <f>IFERROR(INDEX(G5:R5,1,MATCH(Parametres!$B$3,G$1:R$1,0)-1)*IF(OR(F5="L",F5="S",F5="I"),-1,1),"")</f>
        <v>0</v>
      </c>
      <c r="AM5" s="1030">
        <f t="shared" si="2"/>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t="str">
        <f t="shared" si="3"/>
        <v>HDB137</v>
      </c>
      <c r="AU5" s="599" t="str">
        <f t="shared" si="4"/>
        <v>AVAN.FIDUCIE TESTAMENTAIR</v>
      </c>
      <c r="AV5" s="1030">
        <f>IFERROR(INDEX(V5:AG5,1,MATCH(Parametres!$B$3,V$1:AG$1,0)-1)*IF(OR(C5="L",C5="S",C5="I"),-1,1),"")</f>
        <v>0</v>
      </c>
      <c r="AW5" s="1030">
        <f t="shared" si="5"/>
        <v>0</v>
      </c>
      <c r="AX5" s="1030">
        <f>INDEX(V5:AG5,1,MATCH(Parametres!$B$3,V$1:AG$1,0))*IF(OR(C5="L",C5="S",C5="I"),-1,1)</f>
        <v>0</v>
      </c>
      <c r="AY5" s="598" t="s">
        <v>337</v>
      </c>
      <c r="AZ5" s="598" t="e">
        <f>+VLOOKUP($AJ5,Data_Validation!$A:$E,5,0)</f>
        <v>#N/A</v>
      </c>
    </row>
    <row r="6" spans="1:52" ht="15.75" customHeight="1">
      <c r="A6" s="832" t="s">
        <v>1150</v>
      </c>
      <c r="B6" s="832">
        <v>2025</v>
      </c>
      <c r="C6" s="832" t="s">
        <v>1158</v>
      </c>
      <c r="D6" s="832" t="s">
        <v>1159</v>
      </c>
      <c r="E6" s="832" t="s">
        <v>333</v>
      </c>
      <c r="F6" s="832" t="s">
        <v>1153</v>
      </c>
      <c r="G6" s="832">
        <v>-16305</v>
      </c>
      <c r="H6" s="832">
        <v>-16305</v>
      </c>
      <c r="I6" s="832">
        <v>-16305</v>
      </c>
      <c r="J6" s="832">
        <v>-16305</v>
      </c>
      <c r="K6" s="832">
        <v>-16305</v>
      </c>
      <c r="L6" s="832">
        <v>-16305</v>
      </c>
      <c r="M6" s="832">
        <v>-16305</v>
      </c>
      <c r="N6" s="832">
        <v>0</v>
      </c>
      <c r="O6" s="832">
        <v>0</v>
      </c>
      <c r="P6" s="832">
        <v>0</v>
      </c>
      <c r="Q6" s="832">
        <v>0</v>
      </c>
      <c r="R6" s="832">
        <v>0</v>
      </c>
      <c r="S6" s="832">
        <v>0</v>
      </c>
      <c r="T6" s="832">
        <v>0</v>
      </c>
      <c r="U6" s="832">
        <v>0</v>
      </c>
      <c r="V6" s="832">
        <v>0</v>
      </c>
      <c r="W6" s="832">
        <v>0</v>
      </c>
      <c r="X6" s="832">
        <v>0</v>
      </c>
      <c r="Y6" s="832">
        <v>0</v>
      </c>
      <c r="Z6" s="832">
        <v>0</v>
      </c>
      <c r="AA6" s="832">
        <v>0</v>
      </c>
      <c r="AB6" s="832">
        <v>0</v>
      </c>
      <c r="AC6" s="832">
        <v>0</v>
      </c>
      <c r="AD6" s="832">
        <v>0</v>
      </c>
      <c r="AE6" s="832">
        <v>0</v>
      </c>
      <c r="AF6" s="832">
        <v>0</v>
      </c>
      <c r="AG6" s="832">
        <v>0</v>
      </c>
      <c r="AH6" s="832">
        <v>0</v>
      </c>
      <c r="AI6" s="832">
        <v>0</v>
      </c>
      <c r="AJ6" s="1030" t="str">
        <f t="shared" si="0"/>
        <v>HDB15</v>
      </c>
      <c r="AK6" s="1030" t="str">
        <f t="shared" si="1"/>
        <v>IMRTD(COMPTE BNR)</v>
      </c>
      <c r="AL6" s="1030">
        <f>IFERROR(INDEX(G6:R6,1,MATCH(Parametres!$B$3,G$1:R$1,0)-1)*IF(OR(F6="L",F6="S",F6="I"),-1,1),"")</f>
        <v>16305</v>
      </c>
      <c r="AM6" s="1030">
        <f t="shared" si="2"/>
        <v>0</v>
      </c>
      <c r="AN6" s="1030">
        <f>INDEX(G6:R6,1,MATCH(Parametres!$B$3,G$1:R$1,0))*IF(OR(F6="L",F6="S",F6="I"),-1,1)</f>
        <v>16305</v>
      </c>
      <c r="AO6" s="598" t="e">
        <f>+VLOOKUP($AJ6,Data_Validation!$A:$D,1,0)</f>
        <v>#N/A</v>
      </c>
      <c r="AP6" s="598" t="e">
        <f>+VLOOKUP($AJ6,Data_Validation!$A:$D,3,0)</f>
        <v>#N/A</v>
      </c>
      <c r="AQ6" s="598" t="e">
        <f>+VLOOKUP($AJ6,Data_Validation!$A:$D,4,0)</f>
        <v>#N/A</v>
      </c>
      <c r="AR6" s="598" t="s">
        <v>299</v>
      </c>
      <c r="AS6" s="598" t="e">
        <f>+VLOOKUP($AJ6,Data_Validation!$A:$E,5,0)</f>
        <v>#N/A</v>
      </c>
      <c r="AT6" s="1036" t="str">
        <f t="shared" si="3"/>
        <v>HDB15</v>
      </c>
      <c r="AU6" s="599" t="str">
        <f t="shared" si="4"/>
        <v>IMRTD(COMPTE BNR)</v>
      </c>
      <c r="AV6" s="1030">
        <f>IFERROR(INDEX(V6:AG6,1,MATCH(Parametres!$B$3,V$1:AG$1,0)-1)*IF(OR(C6="L",C6="S",C6="I"),-1,1),"")</f>
        <v>0</v>
      </c>
      <c r="AW6" s="1030">
        <f t="shared" si="5"/>
        <v>0</v>
      </c>
      <c r="AX6" s="1030">
        <f>INDEX(V6:AG6,1,MATCH(Parametres!$B$3,V$1:AG$1,0))*IF(OR(C6="L",C6="S",C6="I"),-1,1)</f>
        <v>0</v>
      </c>
      <c r="AY6" s="598" t="s">
        <v>337</v>
      </c>
      <c r="AZ6" s="598" t="e">
        <f>+VLOOKUP($AJ6,Data_Validation!$A:$E,5,0)</f>
        <v>#N/A</v>
      </c>
    </row>
    <row r="7" spans="1:52" ht="15" customHeight="1">
      <c r="A7" s="832" t="s">
        <v>1150</v>
      </c>
      <c r="B7" s="832">
        <v>2025</v>
      </c>
      <c r="C7" s="832" t="s">
        <v>1160</v>
      </c>
      <c r="D7" s="832" t="s">
        <v>1161</v>
      </c>
      <c r="E7" s="832" t="s">
        <v>333</v>
      </c>
      <c r="F7" s="832" t="s">
        <v>1153</v>
      </c>
      <c r="G7" s="832">
        <v>16305</v>
      </c>
      <c r="H7" s="832">
        <v>16305</v>
      </c>
      <c r="I7" s="832">
        <v>16305</v>
      </c>
      <c r="J7" s="832">
        <v>16305</v>
      </c>
      <c r="K7" s="832">
        <v>16305</v>
      </c>
      <c r="L7" s="832">
        <v>16305</v>
      </c>
      <c r="M7" s="832">
        <v>16305</v>
      </c>
      <c r="N7" s="832">
        <v>0</v>
      </c>
      <c r="O7" s="832">
        <v>0</v>
      </c>
      <c r="P7" s="832">
        <v>0</v>
      </c>
      <c r="Q7" s="832">
        <v>0</v>
      </c>
      <c r="R7" s="832">
        <v>0</v>
      </c>
      <c r="S7" s="832">
        <v>0</v>
      </c>
      <c r="T7" s="832">
        <v>0</v>
      </c>
      <c r="U7" s="832">
        <v>0</v>
      </c>
      <c r="V7" s="832">
        <v>0</v>
      </c>
      <c r="W7" s="832">
        <v>0</v>
      </c>
      <c r="X7" s="832">
        <v>0</v>
      </c>
      <c r="Y7" s="832">
        <v>0</v>
      </c>
      <c r="Z7" s="832">
        <v>0</v>
      </c>
      <c r="AA7" s="832">
        <v>0</v>
      </c>
      <c r="AB7" s="832">
        <v>0</v>
      </c>
      <c r="AC7" s="832">
        <v>0</v>
      </c>
      <c r="AD7" s="832">
        <v>0</v>
      </c>
      <c r="AE7" s="832">
        <v>0</v>
      </c>
      <c r="AF7" s="832">
        <v>0</v>
      </c>
      <c r="AG7" s="832">
        <v>0</v>
      </c>
      <c r="AH7" s="832">
        <v>0</v>
      </c>
      <c r="AI7" s="832">
        <v>0</v>
      </c>
      <c r="AJ7" s="1030" t="str">
        <f t="shared" si="0"/>
        <v>HDB16</v>
      </c>
      <c r="AK7" s="1030" t="str">
        <f t="shared" si="1"/>
        <v>RTD (COMPTE BNR)</v>
      </c>
      <c r="AL7" s="1030">
        <f>IFERROR(INDEX(G7:R7,1,MATCH(Parametres!$B$3,G$1:R$1,0)-1)*IF(OR(F7="L",F7="S",F7="I"),-1,1),"")</f>
        <v>-16305</v>
      </c>
      <c r="AM7" s="1030">
        <f t="shared" si="2"/>
        <v>0</v>
      </c>
      <c r="AN7" s="1030">
        <f>INDEX(G7:R7,1,MATCH(Parametres!$B$3,G$1:R$1,0))*IF(OR(F7="L",F7="S",F7="I"),-1,1)</f>
        <v>-16305</v>
      </c>
      <c r="AO7" s="598" t="e">
        <f>+VLOOKUP($AJ7,Data_Validation!$A:$D,1,0)</f>
        <v>#N/A</v>
      </c>
      <c r="AP7" s="598" t="e">
        <f>+VLOOKUP($AJ7,Data_Validation!$A:$D,3,0)</f>
        <v>#N/A</v>
      </c>
      <c r="AQ7" s="598" t="e">
        <f>+VLOOKUP($AJ7,Data_Validation!$A:$D,4,0)</f>
        <v>#N/A</v>
      </c>
      <c r="AR7" s="598" t="s">
        <v>299</v>
      </c>
      <c r="AS7" s="598" t="e">
        <f>+VLOOKUP($AJ7,Data_Validation!$A:$E,5,0)</f>
        <v>#N/A</v>
      </c>
      <c r="AT7" s="1036" t="str">
        <f t="shared" si="3"/>
        <v>HDB16</v>
      </c>
      <c r="AU7" s="599" t="str">
        <f t="shared" si="4"/>
        <v>RTD (COMPTE BNR)</v>
      </c>
      <c r="AV7" s="1030">
        <f>IFERROR(INDEX(V7:AG7,1,MATCH(Parametres!$B$3,V$1:AG$1,0)-1)*IF(OR(C7="L",C7="S",C7="I"),-1,1),"")</f>
        <v>0</v>
      </c>
      <c r="AW7" s="1030">
        <f t="shared" si="5"/>
        <v>0</v>
      </c>
      <c r="AX7" s="1030">
        <f>INDEX(V7:AG7,1,MATCH(Parametres!$B$3,V$1:AG$1,0))*IF(OR(C7="L",C7="S",C7="I"),-1,1)</f>
        <v>0</v>
      </c>
      <c r="AY7" s="598" t="s">
        <v>337</v>
      </c>
      <c r="AZ7" s="598" t="e">
        <f>+VLOOKUP($AJ7,Data_Validation!$A:$E,5,0)</f>
        <v>#N/A</v>
      </c>
    </row>
    <row r="8" spans="1:52" ht="15" customHeight="1">
      <c r="A8" s="832" t="s">
        <v>1150</v>
      </c>
      <c r="B8" s="832">
        <v>2025</v>
      </c>
      <c r="C8" s="832" t="s">
        <v>1162</v>
      </c>
      <c r="D8" s="832" t="s">
        <v>1163</v>
      </c>
      <c r="E8" s="832" t="s">
        <v>333</v>
      </c>
      <c r="F8" s="832" t="s">
        <v>1119</v>
      </c>
      <c r="G8" s="832">
        <v>24606.94</v>
      </c>
      <c r="H8" s="832">
        <v>38928.14</v>
      </c>
      <c r="I8" s="832">
        <v>54853.35</v>
      </c>
      <c r="J8" s="832">
        <v>100472.11</v>
      </c>
      <c r="K8" s="832">
        <v>133384.93</v>
      </c>
      <c r="L8" s="832">
        <v>148586.32999999999</v>
      </c>
      <c r="M8" s="832">
        <v>168426.75</v>
      </c>
      <c r="N8" s="832">
        <v>205337.99</v>
      </c>
      <c r="O8" s="832">
        <v>229199.18</v>
      </c>
      <c r="P8" s="832">
        <v>252831.62</v>
      </c>
      <c r="Q8" s="832">
        <v>272797.73</v>
      </c>
      <c r="R8" s="832">
        <v>284320.37</v>
      </c>
      <c r="S8" s="832">
        <v>24799.79</v>
      </c>
      <c r="T8" s="832">
        <v>24799.79</v>
      </c>
      <c r="U8" s="832">
        <v>0</v>
      </c>
      <c r="V8" s="832">
        <v>0</v>
      </c>
      <c r="W8" s="832">
        <v>0</v>
      </c>
      <c r="X8" s="832">
        <v>0</v>
      </c>
      <c r="Y8" s="832">
        <v>0</v>
      </c>
      <c r="Z8" s="832">
        <v>0</v>
      </c>
      <c r="AA8" s="832">
        <v>0</v>
      </c>
      <c r="AB8" s="832">
        <v>0</v>
      </c>
      <c r="AC8" s="832">
        <v>0</v>
      </c>
      <c r="AD8" s="832">
        <v>0</v>
      </c>
      <c r="AE8" s="832">
        <v>0</v>
      </c>
      <c r="AF8" s="832">
        <v>0</v>
      </c>
      <c r="AG8" s="832">
        <v>0</v>
      </c>
      <c r="AH8" s="832">
        <v>0</v>
      </c>
      <c r="AI8" s="832">
        <v>0</v>
      </c>
      <c r="AJ8" s="1030" t="str">
        <f t="shared" si="0"/>
        <v>H01201</v>
      </c>
      <c r="AK8" s="1030" t="str">
        <f t="shared" si="1"/>
        <v>NF SALAIRES-VENTES DIR</v>
      </c>
      <c r="AL8" s="1030">
        <f>IFERROR(INDEX(G8:R8,1,MATCH(Parametres!$B$3,G$1:R$1,0)-1)*IF(OR(F8="L",F8="S",F8="I"),-1,1),"")</f>
        <v>100472.11</v>
      </c>
      <c r="AM8" s="1030">
        <f t="shared" si="2"/>
        <v>32912.819999999992</v>
      </c>
      <c r="AN8" s="1030">
        <f>INDEX(G8:R8,1,MATCH(Parametres!$B$3,G$1:R$1,0))*IF(OR(F8="L",F8="S",F8="I"),-1,1)</f>
        <v>133384.93</v>
      </c>
      <c r="AO8" s="598" t="str">
        <f>+VLOOKUP($AJ8,Data_Validation!$A:$D,1,0)</f>
        <v>H01201</v>
      </c>
      <c r="AP8" s="598" t="str">
        <f>+VLOOKUP($AJ8,Data_Validation!$A:$D,3,0)</f>
        <v>Véhicules neufs</v>
      </c>
      <c r="AQ8" s="598" t="str">
        <f>+VLOOKUP($AJ8,Data_Validation!$A:$D,4,0)</f>
        <v>Salaires cadres</v>
      </c>
      <c r="AR8" s="598" t="s">
        <v>299</v>
      </c>
      <c r="AS8" s="598">
        <f>+VLOOKUP($AJ8,Data_Validation!$A:$E,5,0)</f>
        <v>0</v>
      </c>
      <c r="AT8" s="1036" t="str">
        <f t="shared" si="3"/>
        <v>H01201</v>
      </c>
      <c r="AU8" s="599" t="str">
        <f t="shared" si="4"/>
        <v>NF SALAIRES-VENTES DIR</v>
      </c>
      <c r="AV8" s="1030">
        <f>IFERROR(INDEX(V8:AG8,1,MATCH(Parametres!$B$3,V$1:AG$1,0)-1)*IF(OR(C8="L",C8="S",C8="I"),-1,1),"")</f>
        <v>0</v>
      </c>
      <c r="AW8" s="1030">
        <f t="shared" si="5"/>
        <v>0</v>
      </c>
      <c r="AX8" s="1030">
        <f>INDEX(V8:AG8,1,MATCH(Parametres!$B$3,V$1:AG$1,0))*IF(OR(C8="L",C8="S",C8="I"),-1,1)</f>
        <v>0</v>
      </c>
      <c r="AY8" s="598" t="s">
        <v>337</v>
      </c>
      <c r="AZ8" s="598">
        <f>+VLOOKUP($AJ8,Data_Validation!$A:$E,5,0)</f>
        <v>0</v>
      </c>
    </row>
    <row r="9" spans="1:52" ht="15" customHeight="1">
      <c r="A9" s="832" t="s">
        <v>1150</v>
      </c>
      <c r="B9" s="832">
        <v>2025</v>
      </c>
      <c r="C9" s="832" t="s">
        <v>1164</v>
      </c>
      <c r="D9" s="832" t="s">
        <v>1165</v>
      </c>
      <c r="E9" s="832" t="s">
        <v>333</v>
      </c>
      <c r="F9" s="832" t="s">
        <v>1119</v>
      </c>
      <c r="G9" s="832">
        <v>59450.03</v>
      </c>
      <c r="H9" s="832">
        <v>95282.52</v>
      </c>
      <c r="I9" s="832">
        <v>144795.96</v>
      </c>
      <c r="J9" s="832">
        <v>233545.2</v>
      </c>
      <c r="K9" s="832">
        <v>318230.55</v>
      </c>
      <c r="L9" s="832">
        <v>377240.11</v>
      </c>
      <c r="M9" s="832">
        <v>439660.1</v>
      </c>
      <c r="N9" s="832">
        <v>519627.24</v>
      </c>
      <c r="O9" s="832">
        <v>572249.31999999995</v>
      </c>
      <c r="P9" s="832">
        <v>637939.47</v>
      </c>
      <c r="Q9" s="832">
        <v>685959</v>
      </c>
      <c r="R9" s="832">
        <v>739376.66</v>
      </c>
      <c r="S9" s="832">
        <v>62359.91</v>
      </c>
      <c r="T9" s="832">
        <v>62359.91</v>
      </c>
      <c r="U9" s="832">
        <v>0</v>
      </c>
      <c r="V9" s="832">
        <v>0</v>
      </c>
      <c r="W9" s="832">
        <v>0</v>
      </c>
      <c r="X9" s="832">
        <v>0</v>
      </c>
      <c r="Y9" s="832">
        <v>0</v>
      </c>
      <c r="Z9" s="832">
        <v>0</v>
      </c>
      <c r="AA9" s="832">
        <v>0</v>
      </c>
      <c r="AB9" s="832">
        <v>0</v>
      </c>
      <c r="AC9" s="832">
        <v>0</v>
      </c>
      <c r="AD9" s="832">
        <v>0</v>
      </c>
      <c r="AE9" s="832">
        <v>0</v>
      </c>
      <c r="AF9" s="832">
        <v>0</v>
      </c>
      <c r="AG9" s="832">
        <v>0</v>
      </c>
      <c r="AH9" s="832">
        <v>0</v>
      </c>
      <c r="AI9" s="832">
        <v>0</v>
      </c>
      <c r="AJ9" s="1030" t="str">
        <f t="shared" si="0"/>
        <v>H01202</v>
      </c>
      <c r="AK9" s="1030" t="str">
        <f t="shared" si="1"/>
        <v>NF SALAIRE &amp; COMM VENDEUR</v>
      </c>
      <c r="AL9" s="1030">
        <f>IFERROR(INDEX(G9:R9,1,MATCH(Parametres!$B$3,G$1:R$1,0)-1)*IF(OR(F9="L",F9="S",F9="I"),-1,1),"")</f>
        <v>233545.2</v>
      </c>
      <c r="AM9" s="1030">
        <f t="shared" si="2"/>
        <v>84685.349999999977</v>
      </c>
      <c r="AN9" s="1030">
        <f>INDEX(G9:R9,1,MATCH(Parametres!$B$3,G$1:R$1,0))*IF(OR(F9="L",F9="S",F9="I"),-1,1)</f>
        <v>318230.55</v>
      </c>
      <c r="AO9" s="598" t="str">
        <f>+VLOOKUP($AJ9,Data_Validation!$A:$D,1,0)</f>
        <v>H01202</v>
      </c>
      <c r="AP9" s="598" t="str">
        <f>+VLOOKUP($AJ9,Data_Validation!$A:$D,3,0)</f>
        <v>Véhicules neufs</v>
      </c>
      <c r="AQ9" s="598" t="str">
        <f>+VLOOKUP($AJ9,Data_Validation!$A:$D,4,0)</f>
        <v>Comm. vendeurs</v>
      </c>
      <c r="AR9" s="598" t="s">
        <v>299</v>
      </c>
      <c r="AS9" s="598">
        <f>+VLOOKUP($AJ9,Data_Validation!$A:$E,5,0)</f>
        <v>0</v>
      </c>
      <c r="AT9" s="1036" t="str">
        <f t="shared" si="3"/>
        <v>H01202</v>
      </c>
      <c r="AU9" s="599" t="str">
        <f t="shared" si="4"/>
        <v>NF SALAIRE &amp; COMM VENDEUR</v>
      </c>
      <c r="AV9" s="1030">
        <f>IFERROR(INDEX(V9:AG9,1,MATCH(Parametres!$B$3,V$1:AG$1,0)-1)*IF(OR(C9="L",C9="S",C9="I"),-1,1),"")</f>
        <v>0</v>
      </c>
      <c r="AW9" s="1030">
        <f t="shared" si="5"/>
        <v>0</v>
      </c>
      <c r="AX9" s="1030">
        <f>INDEX(V9:AG9,1,MATCH(Parametres!$B$3,V$1:AG$1,0))*IF(OR(C9="L",C9="S",C9="I"),-1,1)</f>
        <v>0</v>
      </c>
      <c r="AY9" s="598" t="s">
        <v>337</v>
      </c>
      <c r="AZ9" s="598">
        <f>+VLOOKUP($AJ9,Data_Validation!$A:$E,5,0)</f>
        <v>0</v>
      </c>
    </row>
    <row r="10" spans="1:52" ht="15" customHeight="1">
      <c r="A10" s="832" t="s">
        <v>1150</v>
      </c>
      <c r="B10" s="832">
        <v>2025</v>
      </c>
      <c r="C10" s="832" t="s">
        <v>1166</v>
      </c>
      <c r="D10" s="832" t="s">
        <v>1167</v>
      </c>
      <c r="E10" s="832" t="s">
        <v>333</v>
      </c>
      <c r="F10" s="832" t="s">
        <v>1119</v>
      </c>
      <c r="G10" s="832">
        <v>31176.01</v>
      </c>
      <c r="H10" s="832">
        <v>48943.3</v>
      </c>
      <c r="I10" s="832">
        <v>71040.600000000006</v>
      </c>
      <c r="J10" s="832">
        <v>119235.99</v>
      </c>
      <c r="K10" s="832">
        <v>156744.67000000001</v>
      </c>
      <c r="L10" s="832">
        <v>194791.75</v>
      </c>
      <c r="M10" s="832">
        <v>232080.8</v>
      </c>
      <c r="N10" s="832">
        <v>274203.53999999998</v>
      </c>
      <c r="O10" s="832">
        <v>304452.82</v>
      </c>
      <c r="P10" s="832">
        <v>345543.53</v>
      </c>
      <c r="Q10" s="832">
        <v>372392.07</v>
      </c>
      <c r="R10" s="832">
        <v>399482.87</v>
      </c>
      <c r="S10" s="832">
        <v>33853.82</v>
      </c>
      <c r="T10" s="832">
        <v>33853.82</v>
      </c>
      <c r="U10" s="832">
        <v>0</v>
      </c>
      <c r="V10" s="832">
        <v>0</v>
      </c>
      <c r="W10" s="832">
        <v>0</v>
      </c>
      <c r="X10" s="832">
        <v>0</v>
      </c>
      <c r="Y10" s="832">
        <v>0</v>
      </c>
      <c r="Z10" s="832">
        <v>0</v>
      </c>
      <c r="AA10" s="832">
        <v>0</v>
      </c>
      <c r="AB10" s="832">
        <v>0</v>
      </c>
      <c r="AC10" s="832">
        <v>0</v>
      </c>
      <c r="AD10" s="832">
        <v>0</v>
      </c>
      <c r="AE10" s="832">
        <v>0</v>
      </c>
      <c r="AF10" s="832">
        <v>0</v>
      </c>
      <c r="AG10" s="832">
        <v>0</v>
      </c>
      <c r="AH10" s="832">
        <v>0</v>
      </c>
      <c r="AI10" s="832">
        <v>0</v>
      </c>
      <c r="AJ10" s="1030" t="str">
        <f t="shared" si="0"/>
        <v>H01203</v>
      </c>
      <c r="AK10" s="1030" t="str">
        <f t="shared" si="1"/>
        <v>NF SALAIRE &amp; COMM F&amp;I</v>
      </c>
      <c r="AL10" s="1030">
        <f>IFERROR(INDEX(G10:R10,1,MATCH(Parametres!$B$3,G$1:R$1,0)-1)*IF(OR(F10="L",F10="S",F10="I"),-1,1),"")</f>
        <v>119235.99</v>
      </c>
      <c r="AM10" s="1030">
        <f t="shared" si="2"/>
        <v>37508.680000000008</v>
      </c>
      <c r="AN10" s="1030">
        <f>INDEX(G10:R10,1,MATCH(Parametres!$B$3,G$1:R$1,0))*IF(OR(F10="L",F10="S",F10="I"),-1,1)</f>
        <v>156744.67000000001</v>
      </c>
      <c r="AO10" s="598" t="str">
        <f>+VLOOKUP($AJ10,Data_Validation!$A:$D,1,0)</f>
        <v>H01203</v>
      </c>
      <c r="AP10" s="598" t="str">
        <f>+VLOOKUP($AJ10,Data_Validation!$A:$D,3,0)</f>
        <v>Véhicules neufs</v>
      </c>
      <c r="AQ10" s="598" t="str">
        <f>+VLOOKUP($AJ10,Data_Validation!$A:$D,4,0)</f>
        <v>Comm. F&amp;I</v>
      </c>
      <c r="AR10" s="598" t="s">
        <v>299</v>
      </c>
      <c r="AS10" s="598">
        <f>+VLOOKUP($AJ10,Data_Validation!$A:$E,5,0)</f>
        <v>0</v>
      </c>
      <c r="AT10" s="1036" t="str">
        <f t="shared" si="3"/>
        <v>H01203</v>
      </c>
      <c r="AU10" s="599" t="str">
        <f t="shared" si="4"/>
        <v>NF SALAIRE &amp; COMM F&amp;I</v>
      </c>
      <c r="AV10" s="1030">
        <f>IFERROR(INDEX(V10:AG10,1,MATCH(Parametres!$B$3,V$1:AG$1,0)-1)*IF(OR(C10="L",C10="S",C10="I"),-1,1),"")</f>
        <v>0</v>
      </c>
      <c r="AW10" s="1030">
        <f t="shared" si="5"/>
        <v>0</v>
      </c>
      <c r="AX10" s="1030">
        <f>INDEX(V10:AG10,1,MATCH(Parametres!$B$3,V$1:AG$1,0))*IF(OR(C10="L",C10="S",C10="I"),-1,1)</f>
        <v>0</v>
      </c>
      <c r="AY10" s="598" t="s">
        <v>337</v>
      </c>
      <c r="AZ10" s="598">
        <f>+VLOOKUP($AJ10,Data_Validation!$A:$E,5,0)</f>
        <v>0</v>
      </c>
    </row>
    <row r="11" spans="1:52" ht="15" customHeight="1">
      <c r="A11" s="832" t="s">
        <v>1150</v>
      </c>
      <c r="B11" s="832">
        <v>2025</v>
      </c>
      <c r="C11" s="832" t="s">
        <v>1168</v>
      </c>
      <c r="D11" s="832" t="s">
        <v>1169</v>
      </c>
      <c r="E11" s="832" t="s">
        <v>333</v>
      </c>
      <c r="F11" s="832" t="s">
        <v>1119</v>
      </c>
      <c r="G11" s="832">
        <v>4053.38</v>
      </c>
      <c r="H11" s="832">
        <v>6870.04</v>
      </c>
      <c r="I11" s="832">
        <v>2052.12</v>
      </c>
      <c r="J11" s="832">
        <v>3973.88</v>
      </c>
      <c r="K11" s="832">
        <v>7142.75</v>
      </c>
      <c r="L11" s="832">
        <v>7795.53</v>
      </c>
      <c r="M11" s="832">
        <v>6832.01</v>
      </c>
      <c r="N11" s="832">
        <v>5260.8</v>
      </c>
      <c r="O11" s="832">
        <v>3223.62</v>
      </c>
      <c r="P11" s="832">
        <v>11354.4</v>
      </c>
      <c r="Q11" s="832">
        <v>10038.370000000001</v>
      </c>
      <c r="R11" s="832">
        <v>19992.89</v>
      </c>
      <c r="S11" s="832">
        <v>912.58</v>
      </c>
      <c r="T11" s="832">
        <v>912.58</v>
      </c>
      <c r="U11" s="832">
        <v>0</v>
      </c>
      <c r="V11" s="832">
        <v>0</v>
      </c>
      <c r="W11" s="832">
        <v>0</v>
      </c>
      <c r="X11" s="832">
        <v>0</v>
      </c>
      <c r="Y11" s="832">
        <v>0</v>
      </c>
      <c r="Z11" s="832">
        <v>0</v>
      </c>
      <c r="AA11" s="832">
        <v>0</v>
      </c>
      <c r="AB11" s="832">
        <v>0</v>
      </c>
      <c r="AC11" s="832">
        <v>0</v>
      </c>
      <c r="AD11" s="832">
        <v>0</v>
      </c>
      <c r="AE11" s="832">
        <v>0</v>
      </c>
      <c r="AF11" s="832">
        <v>0</v>
      </c>
      <c r="AG11" s="832">
        <v>0</v>
      </c>
      <c r="AH11" s="832">
        <v>0</v>
      </c>
      <c r="AI11" s="832">
        <v>0</v>
      </c>
      <c r="AJ11" s="1030" t="str">
        <f t="shared" si="0"/>
        <v>H01204</v>
      </c>
      <c r="AK11" s="1030" t="str">
        <f t="shared" si="1"/>
        <v>NF PREP A LA ROUTE</v>
      </c>
      <c r="AL11" s="1030">
        <f>IFERROR(INDEX(G11:R11,1,MATCH(Parametres!$B$3,G$1:R$1,0)-1)*IF(OR(F11="L",F11="S",F11="I"),-1,1),"")</f>
        <v>3973.88</v>
      </c>
      <c r="AM11" s="1030">
        <f t="shared" si="2"/>
        <v>3168.87</v>
      </c>
      <c r="AN11" s="1030">
        <f>INDEX(G11:R11,1,MATCH(Parametres!$B$3,G$1:R$1,0))*IF(OR(F11="L",F11="S",F11="I"),-1,1)</f>
        <v>7142.75</v>
      </c>
      <c r="AO11" s="598" t="str">
        <f>+VLOOKUP($AJ11,Data_Validation!$A:$D,1,0)</f>
        <v>H01204</v>
      </c>
      <c r="AP11" s="598" t="str">
        <f>+VLOOKUP($AJ11,Data_Validation!$A:$D,3,0)</f>
        <v>Véhicules neufs</v>
      </c>
      <c r="AQ11" s="598" t="str">
        <f>+VLOOKUP($AJ11,Data_Validation!$A:$D,4,0)</f>
        <v>Frais de livraison</v>
      </c>
      <c r="AR11" s="598" t="s">
        <v>299</v>
      </c>
      <c r="AS11" s="598">
        <f>+VLOOKUP($AJ11,Data_Validation!$A:$E,5,0)</f>
        <v>0</v>
      </c>
      <c r="AT11" s="1036" t="str">
        <f t="shared" si="3"/>
        <v>H01204</v>
      </c>
      <c r="AU11" s="599" t="str">
        <f t="shared" si="4"/>
        <v>NF PREP A LA ROUTE</v>
      </c>
      <c r="AV11" s="1030">
        <f>IFERROR(INDEX(V11:AG11,1,MATCH(Parametres!$B$3,V$1:AG$1,0)-1)*IF(OR(C11="L",C11="S",C11="I"),-1,1),"")</f>
        <v>0</v>
      </c>
      <c r="AW11" s="1030">
        <f t="shared" si="5"/>
        <v>0</v>
      </c>
      <c r="AX11" s="1030">
        <f>INDEX(V11:AG11,1,MATCH(Parametres!$B$3,V$1:AG$1,0))*IF(OR(C11="L",C11="S",C11="I"),-1,1)</f>
        <v>0</v>
      </c>
      <c r="AY11" s="598" t="s">
        <v>337</v>
      </c>
      <c r="AZ11" s="598">
        <f>+VLOOKUP($AJ11,Data_Validation!$A:$E,5,0)</f>
        <v>0</v>
      </c>
    </row>
    <row r="12" spans="1:52" ht="15" customHeight="1">
      <c r="A12" s="832" t="s">
        <v>1150</v>
      </c>
      <c r="B12" s="832">
        <v>2025</v>
      </c>
      <c r="C12" s="832" t="s">
        <v>1170</v>
      </c>
      <c r="D12" s="832" t="s">
        <v>1171</v>
      </c>
      <c r="E12" s="832" t="s">
        <v>333</v>
      </c>
      <c r="F12" s="832" t="s">
        <v>1119</v>
      </c>
      <c r="G12" s="832">
        <v>288.5</v>
      </c>
      <c r="H12" s="832">
        <v>706.94</v>
      </c>
      <c r="I12" s="832">
        <v>749.34</v>
      </c>
      <c r="J12" s="832">
        <v>1233.1199999999999</v>
      </c>
      <c r="K12" s="832">
        <v>1519.87</v>
      </c>
      <c r="L12" s="832">
        <v>1535.87</v>
      </c>
      <c r="M12" s="832">
        <v>2300.83</v>
      </c>
      <c r="N12" s="832">
        <v>2356.2399999999998</v>
      </c>
      <c r="O12" s="832">
        <v>2664.73</v>
      </c>
      <c r="P12" s="832">
        <v>3413.83</v>
      </c>
      <c r="Q12" s="832">
        <v>3605.46</v>
      </c>
      <c r="R12" s="832">
        <v>4544.3999999999996</v>
      </c>
      <c r="S12" s="832">
        <v>327.77</v>
      </c>
      <c r="T12" s="832">
        <v>327.77</v>
      </c>
      <c r="U12" s="832">
        <v>0</v>
      </c>
      <c r="V12" s="832">
        <v>0</v>
      </c>
      <c r="W12" s="832">
        <v>0</v>
      </c>
      <c r="X12" s="832">
        <v>0</v>
      </c>
      <c r="Y12" s="832">
        <v>0</v>
      </c>
      <c r="Z12" s="832">
        <v>0</v>
      </c>
      <c r="AA12" s="832">
        <v>0</v>
      </c>
      <c r="AB12" s="832">
        <v>0</v>
      </c>
      <c r="AC12" s="832">
        <v>0</v>
      </c>
      <c r="AD12" s="832">
        <v>0</v>
      </c>
      <c r="AE12" s="832">
        <v>0</v>
      </c>
      <c r="AF12" s="832">
        <v>0</v>
      </c>
      <c r="AG12" s="832">
        <v>0</v>
      </c>
      <c r="AH12" s="832">
        <v>0</v>
      </c>
      <c r="AI12" s="832">
        <v>0</v>
      </c>
      <c r="AJ12" s="1030" t="str">
        <f t="shared" si="0"/>
        <v>H01205</v>
      </c>
      <c r="AK12" s="1030" t="str">
        <f t="shared" si="1"/>
        <v>NF PRATIQUES DE GARANTIE</v>
      </c>
      <c r="AL12" s="1030">
        <f>IFERROR(INDEX(G12:R12,1,MATCH(Parametres!$B$3,G$1:R$1,0)-1)*IF(OR(F12="L",F12="S",F12="I"),-1,1),"")</f>
        <v>1233.1199999999999</v>
      </c>
      <c r="AM12" s="1030">
        <f t="shared" si="2"/>
        <v>286.75</v>
      </c>
      <c r="AN12" s="1030">
        <f>INDEX(G12:R12,1,MATCH(Parametres!$B$3,G$1:R$1,0))*IF(OR(F12="L",F12="S",F12="I"),-1,1)</f>
        <v>1519.87</v>
      </c>
      <c r="AO12" s="598" t="str">
        <f>+VLOOKUP($AJ12,Data_Validation!$A:$D,1,0)</f>
        <v>H01205</v>
      </c>
      <c r="AP12" s="598" t="str">
        <f>+VLOOKUP($AJ12,Data_Validation!$A:$D,3,0)</f>
        <v>Véhicules neufs</v>
      </c>
      <c r="AQ12" s="598" t="str">
        <f>+VLOOKUP($AJ12,Data_Validation!$A:$D,4,0)</f>
        <v>Entretien stock</v>
      </c>
      <c r="AR12" s="598" t="s">
        <v>299</v>
      </c>
      <c r="AS12" s="598">
        <f>+VLOOKUP($AJ12,Data_Validation!$A:$E,5,0)</f>
        <v>0</v>
      </c>
      <c r="AT12" s="1036" t="str">
        <f t="shared" si="3"/>
        <v>H01205</v>
      </c>
      <c r="AU12" s="599" t="str">
        <f t="shared" si="4"/>
        <v>NF PRATIQUES DE GARANTIE</v>
      </c>
      <c r="AV12" s="1030">
        <f>IFERROR(INDEX(V12:AG12,1,MATCH(Parametres!$B$3,V$1:AG$1,0)-1)*IF(OR(C12="L",C12="S",C12="I"),-1,1),"")</f>
        <v>0</v>
      </c>
      <c r="AW12" s="1030">
        <f t="shared" si="5"/>
        <v>0</v>
      </c>
      <c r="AX12" s="1030">
        <f>INDEX(V12:AG12,1,MATCH(Parametres!$B$3,V$1:AG$1,0))*IF(OR(C12="L",C12="S",C12="I"),-1,1)</f>
        <v>0</v>
      </c>
      <c r="AY12" s="598" t="s">
        <v>337</v>
      </c>
      <c r="AZ12" s="598">
        <f>+VLOOKUP($AJ12,Data_Validation!$A:$E,5,0)</f>
        <v>0</v>
      </c>
    </row>
    <row r="13" spans="1:52" ht="15" customHeight="1">
      <c r="A13" s="832" t="s">
        <v>1150</v>
      </c>
      <c r="B13" s="832">
        <v>2025</v>
      </c>
      <c r="C13" s="832" t="s">
        <v>1172</v>
      </c>
      <c r="D13" s="832" t="s">
        <v>1173</v>
      </c>
      <c r="E13" s="832" t="s">
        <v>333</v>
      </c>
      <c r="F13" s="832" t="s">
        <v>1119</v>
      </c>
      <c r="G13" s="832">
        <v>19803.04</v>
      </c>
      <c r="H13" s="832">
        <v>30847.42</v>
      </c>
      <c r="I13" s="832">
        <v>55466.64</v>
      </c>
      <c r="J13" s="832">
        <v>56446.64</v>
      </c>
      <c r="K13" s="832">
        <v>97451.02</v>
      </c>
      <c r="L13" s="832">
        <v>147236.63</v>
      </c>
      <c r="M13" s="832">
        <v>173594.72</v>
      </c>
      <c r="N13" s="832">
        <v>210840.66</v>
      </c>
      <c r="O13" s="832">
        <v>234186.46</v>
      </c>
      <c r="P13" s="832">
        <v>248685.64</v>
      </c>
      <c r="Q13" s="832">
        <v>286544.18</v>
      </c>
      <c r="R13" s="832">
        <v>303601.58</v>
      </c>
      <c r="S13" s="832">
        <v>26049.47</v>
      </c>
      <c r="T13" s="832">
        <v>26049.47</v>
      </c>
      <c r="U13" s="832">
        <v>0</v>
      </c>
      <c r="V13" s="832">
        <v>0</v>
      </c>
      <c r="W13" s="832">
        <v>0</v>
      </c>
      <c r="X13" s="832">
        <v>0</v>
      </c>
      <c r="Y13" s="832">
        <v>0</v>
      </c>
      <c r="Z13" s="832">
        <v>0</v>
      </c>
      <c r="AA13" s="832">
        <v>0</v>
      </c>
      <c r="AB13" s="832">
        <v>0</v>
      </c>
      <c r="AC13" s="832">
        <v>0</v>
      </c>
      <c r="AD13" s="832">
        <v>0</v>
      </c>
      <c r="AE13" s="832">
        <v>0</v>
      </c>
      <c r="AF13" s="832">
        <v>0</v>
      </c>
      <c r="AG13" s="832">
        <v>0</v>
      </c>
      <c r="AH13" s="832">
        <v>0</v>
      </c>
      <c r="AI13" s="832">
        <v>0</v>
      </c>
      <c r="AJ13" s="1030" t="str">
        <f t="shared" si="0"/>
        <v>H01206</v>
      </c>
      <c r="AK13" s="1030" t="str">
        <f t="shared" si="1"/>
        <v>NF TOT PUB &amp; PROMO VENTES</v>
      </c>
      <c r="AL13" s="1030">
        <f>IFERROR(INDEX(G13:R13,1,MATCH(Parametres!$B$3,G$1:R$1,0)-1)*IF(OR(F13="L",F13="S",F13="I"),-1,1),"")</f>
        <v>56446.64</v>
      </c>
      <c r="AM13" s="1030">
        <f t="shared" si="2"/>
        <v>41004.380000000005</v>
      </c>
      <c r="AN13" s="1030">
        <f>INDEX(G13:R13,1,MATCH(Parametres!$B$3,G$1:R$1,0))*IF(OR(F13="L",F13="S",F13="I"),-1,1)</f>
        <v>97451.02</v>
      </c>
      <c r="AO13" s="598" t="str">
        <f>+VLOOKUP($AJ13,Data_Validation!$A:$D,1,0)</f>
        <v>H01206</v>
      </c>
      <c r="AP13" s="598" t="str">
        <f>+VLOOKUP($AJ13,Data_Validation!$A:$D,3,0)</f>
        <v>Véhicules neufs</v>
      </c>
      <c r="AQ13" s="598" t="str">
        <f>+VLOOKUP($AJ13,Data_Validation!$A:$D,4,0)</f>
        <v>Publicité 1</v>
      </c>
      <c r="AR13" s="598" t="s">
        <v>299</v>
      </c>
      <c r="AS13" s="598">
        <f>+VLOOKUP($AJ13,Data_Validation!$A:$E,5,0)</f>
        <v>0</v>
      </c>
      <c r="AT13" s="1036" t="str">
        <f t="shared" si="3"/>
        <v>H01206</v>
      </c>
      <c r="AU13" s="599" t="str">
        <f t="shared" si="4"/>
        <v>NF TOT PUB &amp; PROMO VENTES</v>
      </c>
      <c r="AV13" s="1030">
        <f>IFERROR(INDEX(V13:AG13,1,MATCH(Parametres!$B$3,V$1:AG$1,0)-1)*IF(OR(C13="L",C13="S",C13="I"),-1,1),"")</f>
        <v>0</v>
      </c>
      <c r="AW13" s="1030">
        <f t="shared" si="5"/>
        <v>0</v>
      </c>
      <c r="AX13" s="1030">
        <f>INDEX(V13:AG13,1,MATCH(Parametres!$B$3,V$1:AG$1,0))*IF(OR(C13="L",C13="S",C13="I"),-1,1)</f>
        <v>0</v>
      </c>
      <c r="AY13" s="598" t="s">
        <v>337</v>
      </c>
      <c r="AZ13" s="598">
        <f>+VLOOKUP($AJ13,Data_Validation!$A:$E,5,0)</f>
        <v>0</v>
      </c>
    </row>
    <row r="14" spans="1:52" ht="15" customHeight="1">
      <c r="A14" s="832" t="s">
        <v>1150</v>
      </c>
      <c r="B14" s="832">
        <v>2025</v>
      </c>
      <c r="C14" s="832" t="s">
        <v>1174</v>
      </c>
      <c r="D14" s="832" t="s">
        <v>1175</v>
      </c>
      <c r="E14" s="832" t="s">
        <v>333</v>
      </c>
      <c r="F14" s="832" t="s">
        <v>1119</v>
      </c>
      <c r="G14" s="832">
        <v>-6419.04</v>
      </c>
      <c r="H14" s="832">
        <v>-9340.5400000000009</v>
      </c>
      <c r="I14" s="832">
        <v>-17610.43</v>
      </c>
      <c r="J14" s="832">
        <v>-28200.43</v>
      </c>
      <c r="K14" s="832">
        <v>-36072.97</v>
      </c>
      <c r="L14" s="832">
        <v>-43670.27</v>
      </c>
      <c r="M14" s="832">
        <v>-55081.73</v>
      </c>
      <c r="N14" s="832">
        <v>-69485.47</v>
      </c>
      <c r="O14" s="832">
        <v>-75858.5</v>
      </c>
      <c r="P14" s="832">
        <v>-81190.080000000002</v>
      </c>
      <c r="Q14" s="832">
        <v>-95008.65</v>
      </c>
      <c r="R14" s="832">
        <v>-100418.65</v>
      </c>
      <c r="S14" s="832">
        <v>-8637.15</v>
      </c>
      <c r="T14" s="832">
        <v>-8637.15</v>
      </c>
      <c r="U14" s="832">
        <v>0</v>
      </c>
      <c r="V14" s="832">
        <v>0</v>
      </c>
      <c r="W14" s="832">
        <v>0</v>
      </c>
      <c r="X14" s="832">
        <v>0</v>
      </c>
      <c r="Y14" s="832">
        <v>0</v>
      </c>
      <c r="Z14" s="832">
        <v>0</v>
      </c>
      <c r="AA14" s="832">
        <v>0</v>
      </c>
      <c r="AB14" s="832">
        <v>0</v>
      </c>
      <c r="AC14" s="832">
        <v>0</v>
      </c>
      <c r="AD14" s="832">
        <v>0</v>
      </c>
      <c r="AE14" s="832">
        <v>0</v>
      </c>
      <c r="AF14" s="832">
        <v>0</v>
      </c>
      <c r="AG14" s="832">
        <v>0</v>
      </c>
      <c r="AH14" s="832">
        <v>0</v>
      </c>
      <c r="AI14" s="832">
        <v>0</v>
      </c>
      <c r="AJ14" s="1030" t="str">
        <f t="shared" si="0"/>
        <v>H01207</v>
      </c>
      <c r="AK14" s="1030" t="str">
        <f t="shared" si="1"/>
        <v>NF COOP RABAIS PUBLICITE</v>
      </c>
      <c r="AL14" s="1030">
        <f>IFERROR(INDEX(G14:R14,1,MATCH(Parametres!$B$3,G$1:R$1,0)-1)*IF(OR(F14="L",F14="S",F14="I"),-1,1),"")</f>
        <v>-28200.43</v>
      </c>
      <c r="AM14" s="1030">
        <f t="shared" si="2"/>
        <v>-7872.5400000000009</v>
      </c>
      <c r="AN14" s="1030">
        <f>INDEX(G14:R14,1,MATCH(Parametres!$B$3,G$1:R$1,0))*IF(OR(F14="L",F14="S",F14="I"),-1,1)</f>
        <v>-36072.97</v>
      </c>
      <c r="AO14" s="598" t="str">
        <f>+VLOOKUP($AJ14,Data_Validation!$A:$D,1,0)</f>
        <v>H01207</v>
      </c>
      <c r="AP14" s="598" t="str">
        <f>+VLOOKUP($AJ14,Data_Validation!$A:$D,3,0)</f>
        <v>Véhicules neufs</v>
      </c>
      <c r="AQ14" s="598" t="str">
        <f>+VLOOKUP($AJ14,Data_Validation!$A:$D,4,0)</f>
        <v>Publicité 1</v>
      </c>
      <c r="AR14" s="598" t="s">
        <v>299</v>
      </c>
      <c r="AS14" s="598">
        <f>+VLOOKUP($AJ14,Data_Validation!$A:$E,5,0)</f>
        <v>0</v>
      </c>
      <c r="AT14" s="1036" t="str">
        <f t="shared" si="3"/>
        <v>H01207</v>
      </c>
      <c r="AU14" s="599" t="str">
        <f t="shared" si="4"/>
        <v>NF COOP RABAIS PUBLICITE</v>
      </c>
      <c r="AV14" s="1030">
        <f>IFERROR(INDEX(V14:AG14,1,MATCH(Parametres!$B$3,V$1:AG$1,0)-1)*IF(OR(C14="L",C14="S",C14="I"),-1,1),"")</f>
        <v>0</v>
      </c>
      <c r="AW14" s="1030">
        <f t="shared" si="5"/>
        <v>0</v>
      </c>
      <c r="AX14" s="1030">
        <f>INDEX(V14:AG14,1,MATCH(Parametres!$B$3,V$1:AG$1,0))*IF(OR(C14="L",C14="S",C14="I"),-1,1)</f>
        <v>0</v>
      </c>
      <c r="AY14" s="598" t="s">
        <v>337</v>
      </c>
      <c r="AZ14" s="598">
        <f>+VLOOKUP($AJ14,Data_Validation!$A:$E,5,0)</f>
        <v>0</v>
      </c>
    </row>
    <row r="15" spans="1:52" ht="15" customHeight="1">
      <c r="A15" s="832" t="s">
        <v>1150</v>
      </c>
      <c r="B15" s="832">
        <v>2025</v>
      </c>
      <c r="C15" s="832" t="s">
        <v>1176</v>
      </c>
      <c r="D15" s="832" t="s">
        <v>1177</v>
      </c>
      <c r="E15" s="832" t="s">
        <v>333</v>
      </c>
      <c r="F15" s="832" t="s">
        <v>1119</v>
      </c>
      <c r="G15" s="832">
        <v>0</v>
      </c>
      <c r="H15" s="832">
        <v>0</v>
      </c>
      <c r="I15" s="832">
        <v>0</v>
      </c>
      <c r="J15" s="832">
        <v>0</v>
      </c>
      <c r="K15" s="832">
        <v>0</v>
      </c>
      <c r="L15" s="832">
        <v>0</v>
      </c>
      <c r="M15" s="832">
        <v>0</v>
      </c>
      <c r="N15" s="832">
        <v>0</v>
      </c>
      <c r="O15" s="832">
        <v>0</v>
      </c>
      <c r="P15" s="832">
        <v>0</v>
      </c>
      <c r="Q15" s="832">
        <v>0</v>
      </c>
      <c r="R15" s="832">
        <v>0</v>
      </c>
      <c r="S15" s="832">
        <v>0</v>
      </c>
      <c r="T15" s="832">
        <v>0</v>
      </c>
      <c r="U15" s="832">
        <v>0</v>
      </c>
      <c r="V15" s="832">
        <v>0</v>
      </c>
      <c r="W15" s="832">
        <v>0</v>
      </c>
      <c r="X15" s="832">
        <v>0</v>
      </c>
      <c r="Y15" s="832">
        <v>0</v>
      </c>
      <c r="Z15" s="832">
        <v>0</v>
      </c>
      <c r="AA15" s="832">
        <v>0</v>
      </c>
      <c r="AB15" s="832">
        <v>0</v>
      </c>
      <c r="AC15" s="832">
        <v>0</v>
      </c>
      <c r="AD15" s="832">
        <v>0</v>
      </c>
      <c r="AE15" s="832">
        <v>0</v>
      </c>
      <c r="AF15" s="832">
        <v>0</v>
      </c>
      <c r="AG15" s="832">
        <v>0</v>
      </c>
      <c r="AH15" s="832">
        <v>0</v>
      </c>
      <c r="AI15" s="832">
        <v>0</v>
      </c>
      <c r="AJ15" s="1030" t="str">
        <f t="shared" si="0"/>
        <v>H01208</v>
      </c>
      <c r="AK15" s="1030" t="str">
        <f t="shared" si="1"/>
        <v>NF DEMONSTRATEURS</v>
      </c>
      <c r="AL15" s="1030">
        <f>IFERROR(INDEX(G15:R15,1,MATCH(Parametres!$B$3,G$1:R$1,0)-1)*IF(OR(F15="L",F15="S",F15="I"),-1,1),"")</f>
        <v>0</v>
      </c>
      <c r="AM15" s="1030">
        <f t="shared" si="2"/>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t="str">
        <f t="shared" si="3"/>
        <v>H01208</v>
      </c>
      <c r="AU15" s="599" t="str">
        <f t="shared" si="4"/>
        <v>NF DEMONSTRATEURS</v>
      </c>
      <c r="AV15" s="1030">
        <f>IFERROR(INDEX(V15:AG15,1,MATCH(Parametres!$B$3,V$1:AG$1,0)-1)*IF(OR(C15="L",C15="S",C15="I"),-1,1),"")</f>
        <v>0</v>
      </c>
      <c r="AW15" s="1030">
        <f t="shared" si="5"/>
        <v>0</v>
      </c>
      <c r="AX15" s="1030">
        <f>INDEX(V15:AG15,1,MATCH(Parametres!$B$3,V$1:AG$1,0))*IF(OR(C15="L",C15="S",C15="I"),-1,1)</f>
        <v>0</v>
      </c>
      <c r="AY15" s="598" t="s">
        <v>337</v>
      </c>
      <c r="AZ15" s="598" t="e">
        <f>+VLOOKUP($AJ15,Data_Validation!$A:$E,5,0)</f>
        <v>#N/A</v>
      </c>
    </row>
    <row r="16" spans="1:52" ht="15" customHeight="1">
      <c r="A16" s="832" t="s">
        <v>1150</v>
      </c>
      <c r="B16" s="832">
        <v>2025</v>
      </c>
      <c r="C16" s="832" t="s">
        <v>1178</v>
      </c>
      <c r="D16" s="832" t="s">
        <v>1179</v>
      </c>
      <c r="E16" s="832" t="s">
        <v>333</v>
      </c>
      <c r="F16" s="832" t="s">
        <v>1119</v>
      </c>
      <c r="G16" s="832">
        <v>0</v>
      </c>
      <c r="H16" s="832">
        <v>1888.57</v>
      </c>
      <c r="I16" s="832">
        <v>1716.09</v>
      </c>
      <c r="J16" s="832">
        <v>2176.09</v>
      </c>
      <c r="K16" s="832">
        <v>2621.09</v>
      </c>
      <c r="L16" s="832">
        <v>5917.19</v>
      </c>
      <c r="M16" s="832">
        <v>11269.16</v>
      </c>
      <c r="N16" s="832">
        <v>13480.15</v>
      </c>
      <c r="O16" s="832">
        <v>13480.15</v>
      </c>
      <c r="P16" s="832">
        <v>13480.15</v>
      </c>
      <c r="Q16" s="832">
        <v>13480.15</v>
      </c>
      <c r="R16" s="832">
        <v>13480.15</v>
      </c>
      <c r="S16" s="832">
        <v>1225.47</v>
      </c>
      <c r="T16" s="832">
        <v>1225.47</v>
      </c>
      <c r="U16" s="832">
        <v>0</v>
      </c>
      <c r="V16" s="832">
        <v>0</v>
      </c>
      <c r="W16" s="832">
        <v>0</v>
      </c>
      <c r="X16" s="832">
        <v>0</v>
      </c>
      <c r="Y16" s="832">
        <v>0</v>
      </c>
      <c r="Z16" s="832">
        <v>0</v>
      </c>
      <c r="AA16" s="832">
        <v>0</v>
      </c>
      <c r="AB16" s="832">
        <v>0</v>
      </c>
      <c r="AC16" s="832">
        <v>0</v>
      </c>
      <c r="AD16" s="832">
        <v>0</v>
      </c>
      <c r="AE16" s="832">
        <v>0</v>
      </c>
      <c r="AF16" s="832">
        <v>0</v>
      </c>
      <c r="AG16" s="832">
        <v>0</v>
      </c>
      <c r="AH16" s="832">
        <v>0</v>
      </c>
      <c r="AI16" s="832">
        <v>0</v>
      </c>
      <c r="AJ16" s="1030" t="str">
        <f t="shared" si="0"/>
        <v>H01209</v>
      </c>
      <c r="AK16" s="1030" t="str">
        <f t="shared" si="1"/>
        <v>NF ENT VEH EN STOCK</v>
      </c>
      <c r="AL16" s="1030">
        <f>IFERROR(INDEX(G16:R16,1,MATCH(Parametres!$B$3,G$1:R$1,0)-1)*IF(OR(F16="L",F16="S",F16="I"),-1,1),"")</f>
        <v>2176.09</v>
      </c>
      <c r="AM16" s="1030">
        <f t="shared" si="2"/>
        <v>445</v>
      </c>
      <c r="AN16" s="1030">
        <f>INDEX(G16:R16,1,MATCH(Parametres!$B$3,G$1:R$1,0))*IF(OR(F16="L",F16="S",F16="I"),-1,1)</f>
        <v>2621.09</v>
      </c>
      <c r="AO16" s="598" t="str">
        <f>+VLOOKUP($AJ16,Data_Validation!$A:$D,1,0)</f>
        <v>H01209</v>
      </c>
      <c r="AP16" s="598" t="str">
        <f>+VLOOKUP($AJ16,Data_Validation!$A:$D,3,0)</f>
        <v>Véhicules neufs</v>
      </c>
      <c r="AQ16" s="598" t="str">
        <f>+VLOOKUP($AJ16,Data_Validation!$A:$D,4,0)</f>
        <v>Entretien stock</v>
      </c>
      <c r="AR16" s="598" t="s">
        <v>299</v>
      </c>
      <c r="AS16" s="598">
        <f>+VLOOKUP($AJ16,Data_Validation!$A:$E,5,0)</f>
        <v>0</v>
      </c>
      <c r="AT16" s="1036" t="str">
        <f t="shared" si="3"/>
        <v>H01209</v>
      </c>
      <c r="AU16" s="599" t="str">
        <f t="shared" si="4"/>
        <v>NF ENT VEH EN STOCK</v>
      </c>
      <c r="AV16" s="1030">
        <f>IFERROR(INDEX(V16:AG16,1,MATCH(Parametres!$B$3,V$1:AG$1,0)-1)*IF(OR(C16="L",C16="S",C16="I"),-1,1),"")</f>
        <v>0</v>
      </c>
      <c r="AW16" s="1030">
        <f t="shared" si="5"/>
        <v>0</v>
      </c>
      <c r="AX16" s="1030">
        <f>INDEX(V16:AG16,1,MATCH(Parametres!$B$3,V$1:AG$1,0))*IF(OR(C16="L",C16="S",C16="I"),-1,1)</f>
        <v>0</v>
      </c>
      <c r="AY16" s="598" t="s">
        <v>337</v>
      </c>
      <c r="AZ16" s="598">
        <f>+VLOOKUP($AJ16,Data_Validation!$A:$E,5,0)</f>
        <v>0</v>
      </c>
    </row>
    <row r="17" spans="1:52" ht="15" customHeight="1">
      <c r="A17" s="832" t="s">
        <v>1150</v>
      </c>
      <c r="B17" s="832">
        <v>2025</v>
      </c>
      <c r="C17" s="832" t="s">
        <v>1180</v>
      </c>
      <c r="D17" s="832" t="s">
        <v>1181</v>
      </c>
      <c r="E17" s="832" t="s">
        <v>333</v>
      </c>
      <c r="F17" s="832" t="s">
        <v>1119</v>
      </c>
      <c r="G17" s="832">
        <v>34682.21</v>
      </c>
      <c r="H17" s="832">
        <v>64921.31</v>
      </c>
      <c r="I17" s="832">
        <v>101848.87</v>
      </c>
      <c r="J17" s="832">
        <v>137365.74</v>
      </c>
      <c r="K17" s="832">
        <v>166203.06</v>
      </c>
      <c r="L17" s="832">
        <v>192075.42</v>
      </c>
      <c r="M17" s="832">
        <v>221925.54</v>
      </c>
      <c r="N17" s="832">
        <v>258239.66</v>
      </c>
      <c r="O17" s="832">
        <v>293085.83</v>
      </c>
      <c r="P17" s="832">
        <v>329985.13</v>
      </c>
      <c r="Q17" s="832">
        <v>361440.18</v>
      </c>
      <c r="R17" s="832">
        <v>390252.59</v>
      </c>
      <c r="S17" s="832">
        <v>32858.199999999997</v>
      </c>
      <c r="T17" s="832">
        <v>32858.199999999997</v>
      </c>
      <c r="U17" s="832">
        <v>0</v>
      </c>
      <c r="V17" s="832">
        <v>0</v>
      </c>
      <c r="W17" s="832">
        <v>0</v>
      </c>
      <c r="X17" s="832">
        <v>0</v>
      </c>
      <c r="Y17" s="832">
        <v>0</v>
      </c>
      <c r="Z17" s="832">
        <v>0</v>
      </c>
      <c r="AA17" s="832">
        <v>0</v>
      </c>
      <c r="AB17" s="832">
        <v>0</v>
      </c>
      <c r="AC17" s="832">
        <v>0</v>
      </c>
      <c r="AD17" s="832">
        <v>0</v>
      </c>
      <c r="AE17" s="832">
        <v>0</v>
      </c>
      <c r="AF17" s="832">
        <v>0</v>
      </c>
      <c r="AG17" s="832">
        <v>0</v>
      </c>
      <c r="AH17" s="832">
        <v>0</v>
      </c>
      <c r="AI17" s="832">
        <v>0</v>
      </c>
      <c r="AJ17" s="1030" t="str">
        <f t="shared" si="0"/>
        <v>H01210</v>
      </c>
      <c r="AK17" s="1030" t="str">
        <f t="shared" si="1"/>
        <v>NF FRAIS FINANCEMENT</v>
      </c>
      <c r="AL17" s="1030">
        <f>IFERROR(INDEX(G17:R17,1,MATCH(Parametres!$B$3,G$1:R$1,0)-1)*IF(OR(F17="L",F17="S",F17="I"),-1,1),"")</f>
        <v>137365.74</v>
      </c>
      <c r="AM17" s="1030">
        <f t="shared" si="2"/>
        <v>28837.320000000007</v>
      </c>
      <c r="AN17" s="1030">
        <f>INDEX(G17:R17,1,MATCH(Parametres!$B$3,G$1:R$1,0))*IF(OR(F17="L",F17="S",F17="I"),-1,1)</f>
        <v>166203.06</v>
      </c>
      <c r="AO17" s="598" t="str">
        <f>+VLOOKUP($AJ17,Data_Validation!$A:$D,1,0)</f>
        <v>H01210</v>
      </c>
      <c r="AP17" s="598" t="str">
        <f>+VLOOKUP($AJ17,Data_Validation!$A:$D,3,0)</f>
        <v>Véhicules neufs</v>
      </c>
      <c r="AQ17" s="598" t="str">
        <f>+VLOOKUP($AJ17,Data_Validation!$A:$D,4,0)</f>
        <v>Intérêt de gros</v>
      </c>
      <c r="AR17" s="598" t="s">
        <v>299</v>
      </c>
      <c r="AS17" s="598">
        <f>+VLOOKUP($AJ17,Data_Validation!$A:$E,5,0)</f>
        <v>0</v>
      </c>
      <c r="AT17" s="1036" t="str">
        <f t="shared" si="3"/>
        <v>H01210</v>
      </c>
      <c r="AU17" s="599" t="str">
        <f t="shared" si="4"/>
        <v>NF FRAIS FINANCEMENT</v>
      </c>
      <c r="AV17" s="1030">
        <f>IFERROR(INDEX(V17:AG17,1,MATCH(Parametres!$B$3,V$1:AG$1,0)-1)*IF(OR(C17="L",C17="S",C17="I"),-1,1),"")</f>
        <v>0</v>
      </c>
      <c r="AW17" s="1030">
        <f t="shared" si="5"/>
        <v>0</v>
      </c>
      <c r="AX17" s="1030">
        <f>INDEX(V17:AG17,1,MATCH(Parametres!$B$3,V$1:AG$1,0))*IF(OR(C17="L",C17="S",C17="I"),-1,1)</f>
        <v>0</v>
      </c>
      <c r="AY17" s="598" t="s">
        <v>337</v>
      </c>
      <c r="AZ17" s="598">
        <f>+VLOOKUP($AJ17,Data_Validation!$A:$E,5,0)</f>
        <v>0</v>
      </c>
    </row>
    <row r="18" spans="1:52" ht="15" customHeight="1">
      <c r="A18" s="832" t="s">
        <v>1150</v>
      </c>
      <c r="B18" s="832">
        <v>2025</v>
      </c>
      <c r="C18" s="832" t="s">
        <v>1182</v>
      </c>
      <c r="D18" s="832" t="s">
        <v>1183</v>
      </c>
      <c r="E18" s="832" t="s">
        <v>333</v>
      </c>
      <c r="F18" s="832" t="s">
        <v>1119</v>
      </c>
      <c r="G18" s="832">
        <v>0</v>
      </c>
      <c r="H18" s="832">
        <v>0</v>
      </c>
      <c r="I18" s="832">
        <v>0</v>
      </c>
      <c r="J18" s="832">
        <v>0</v>
      </c>
      <c r="K18" s="832">
        <v>0</v>
      </c>
      <c r="L18" s="832">
        <v>0</v>
      </c>
      <c r="M18" s="832">
        <v>0</v>
      </c>
      <c r="N18" s="832">
        <v>0</v>
      </c>
      <c r="O18" s="832">
        <v>0</v>
      </c>
      <c r="P18" s="832">
        <v>0</v>
      </c>
      <c r="Q18" s="832">
        <v>0</v>
      </c>
      <c r="R18" s="832">
        <v>0</v>
      </c>
      <c r="S18" s="832">
        <v>0</v>
      </c>
      <c r="T18" s="832">
        <v>0</v>
      </c>
      <c r="U18" s="832">
        <v>0</v>
      </c>
      <c r="V18" s="832">
        <v>0</v>
      </c>
      <c r="W18" s="832">
        <v>0</v>
      </c>
      <c r="X18" s="832">
        <v>0</v>
      </c>
      <c r="Y18" s="832">
        <v>0</v>
      </c>
      <c r="Z18" s="832">
        <v>0</v>
      </c>
      <c r="AA18" s="832">
        <v>0</v>
      </c>
      <c r="AB18" s="832">
        <v>0</v>
      </c>
      <c r="AC18" s="832">
        <v>0</v>
      </c>
      <c r="AD18" s="832">
        <v>0</v>
      </c>
      <c r="AE18" s="832">
        <v>0</v>
      </c>
      <c r="AF18" s="832">
        <v>0</v>
      </c>
      <c r="AG18" s="832">
        <v>0</v>
      </c>
      <c r="AH18" s="832">
        <v>0</v>
      </c>
      <c r="AI18" s="832">
        <v>0</v>
      </c>
      <c r="AJ18" s="1030" t="str">
        <f t="shared" si="0"/>
        <v>H01211</v>
      </c>
      <c r="AK18" s="1030" t="str">
        <f t="shared" si="1"/>
        <v>NF ASSIST FLOOR PLAN HAC</v>
      </c>
      <c r="AL18" s="1030">
        <f>IFERROR(INDEX(G18:R18,1,MATCH(Parametres!$B$3,G$1:R$1,0)-1)*IF(OR(F18="L",F18="S",F18="I"),-1,1),"")</f>
        <v>0</v>
      </c>
      <c r="AM18" s="1030">
        <f t="shared" si="2"/>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t="str">
        <f t="shared" si="3"/>
        <v>H01211</v>
      </c>
      <c r="AU18" s="599" t="str">
        <f t="shared" si="4"/>
        <v>NF ASSIST FLOOR PLAN HAC</v>
      </c>
      <c r="AV18" s="1030">
        <f>IFERROR(INDEX(V18:AG18,1,MATCH(Parametres!$B$3,V$1:AG$1,0)-1)*IF(OR(C18="L",C18="S",C18="I"),-1,1),"")</f>
        <v>0</v>
      </c>
      <c r="AW18" s="1030">
        <f t="shared" si="5"/>
        <v>0</v>
      </c>
      <c r="AX18" s="1030">
        <f>INDEX(V18:AG18,1,MATCH(Parametres!$B$3,V$1:AG$1,0))*IF(OR(C18="L",C18="S",C18="I"),-1,1)</f>
        <v>0</v>
      </c>
      <c r="AY18" s="598" t="s">
        <v>337</v>
      </c>
      <c r="AZ18" s="598" t="e">
        <f>+VLOOKUP($AJ18,Data_Validation!$A:$E,5,0)</f>
        <v>#N/A</v>
      </c>
    </row>
    <row r="19" spans="1:52" ht="15" customHeight="1">
      <c r="A19" s="832" t="s">
        <v>1150</v>
      </c>
      <c r="B19" s="832">
        <v>2025</v>
      </c>
      <c r="C19" s="832" t="s">
        <v>1184</v>
      </c>
      <c r="D19" s="832" t="s">
        <v>1185</v>
      </c>
      <c r="E19" s="832" t="s">
        <v>333</v>
      </c>
      <c r="F19" s="832" t="s">
        <v>1119</v>
      </c>
      <c r="G19" s="832">
        <v>0</v>
      </c>
      <c r="H19" s="832">
        <v>0</v>
      </c>
      <c r="I19" s="832">
        <v>0</v>
      </c>
      <c r="J19" s="832">
        <v>0</v>
      </c>
      <c r="K19" s="832">
        <v>0</v>
      </c>
      <c r="L19" s="832">
        <v>0</v>
      </c>
      <c r="M19" s="832">
        <v>0</v>
      </c>
      <c r="N19" s="832">
        <v>0</v>
      </c>
      <c r="O19" s="832">
        <v>0</v>
      </c>
      <c r="P19" s="832">
        <v>0</v>
      </c>
      <c r="Q19" s="832">
        <v>0</v>
      </c>
      <c r="R19" s="832">
        <v>0</v>
      </c>
      <c r="S19" s="832">
        <v>0</v>
      </c>
      <c r="T19" s="832">
        <v>0</v>
      </c>
      <c r="U19" s="832">
        <v>0</v>
      </c>
      <c r="V19" s="832">
        <v>0</v>
      </c>
      <c r="W19" s="832">
        <v>0</v>
      </c>
      <c r="X19" s="832">
        <v>0</v>
      </c>
      <c r="Y19" s="832">
        <v>0</v>
      </c>
      <c r="Z19" s="832">
        <v>0</v>
      </c>
      <c r="AA19" s="832">
        <v>0</v>
      </c>
      <c r="AB19" s="832">
        <v>0</v>
      </c>
      <c r="AC19" s="832">
        <v>0</v>
      </c>
      <c r="AD19" s="832">
        <v>0</v>
      </c>
      <c r="AE19" s="832">
        <v>0</v>
      </c>
      <c r="AF19" s="832">
        <v>0</v>
      </c>
      <c r="AG19" s="832">
        <v>0</v>
      </c>
      <c r="AH19" s="832">
        <v>0</v>
      </c>
      <c r="AI19" s="832">
        <v>0</v>
      </c>
      <c r="AJ19" s="1030" t="str">
        <f t="shared" si="0"/>
        <v>H01212</v>
      </c>
      <c r="AK19" s="1030" t="str">
        <f t="shared" si="1"/>
        <v>NF FRAIS DE FINANCE</v>
      </c>
      <c r="AL19" s="1030">
        <f>IFERROR(INDEX(G19:R19,1,MATCH(Parametres!$B$3,G$1:R$1,0)-1)*IF(OR(F19="L",F19="S",F19="I"),-1,1),"")</f>
        <v>0</v>
      </c>
      <c r="AM19" s="1030">
        <f t="shared" si="2"/>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t="str">
        <f t="shared" si="3"/>
        <v>H01212</v>
      </c>
      <c r="AU19" s="599" t="str">
        <f t="shared" si="4"/>
        <v>NF FRAIS DE FINANCE</v>
      </c>
      <c r="AV19" s="1030">
        <f>IFERROR(INDEX(V19:AG19,1,MATCH(Parametres!$B$3,V$1:AG$1,0)-1)*IF(OR(C19="L",C19="S",C19="I"),-1,1),"")</f>
        <v>0</v>
      </c>
      <c r="AW19" s="1030">
        <f t="shared" si="5"/>
        <v>0</v>
      </c>
      <c r="AX19" s="1030">
        <f>INDEX(V19:AG19,1,MATCH(Parametres!$B$3,V$1:AG$1,0))*IF(OR(C19="L",C19="S",C19="I"),-1,1)</f>
        <v>0</v>
      </c>
      <c r="AY19" s="598" t="s">
        <v>337</v>
      </c>
      <c r="AZ19" s="598" t="e">
        <f>+VLOOKUP($AJ19,Data_Validation!$A:$E,5,0)</f>
        <v>#N/A</v>
      </c>
    </row>
    <row r="20" spans="1:52" ht="15" customHeight="1">
      <c r="A20" s="832" t="s">
        <v>1150</v>
      </c>
      <c r="B20" s="832">
        <v>2025</v>
      </c>
      <c r="C20" s="832" t="s">
        <v>1186</v>
      </c>
      <c r="D20" s="832" t="s">
        <v>1187</v>
      </c>
      <c r="E20" s="832" t="s">
        <v>333</v>
      </c>
      <c r="F20" s="832" t="s">
        <v>1119</v>
      </c>
      <c r="G20" s="832">
        <v>3653.9</v>
      </c>
      <c r="H20" s="832">
        <v>6633.82</v>
      </c>
      <c r="I20" s="832">
        <v>10059.89</v>
      </c>
      <c r="J20" s="832">
        <v>13486.04</v>
      </c>
      <c r="K20" s="832">
        <v>16979.849999999999</v>
      </c>
      <c r="L20" s="832">
        <v>20323.61</v>
      </c>
      <c r="M20" s="832">
        <v>23790.84</v>
      </c>
      <c r="N20" s="832">
        <v>25982.41</v>
      </c>
      <c r="O20" s="832">
        <v>28497.43</v>
      </c>
      <c r="P20" s="832">
        <v>33093.01</v>
      </c>
      <c r="Q20" s="832">
        <v>35791.01</v>
      </c>
      <c r="R20" s="832">
        <v>38355.769999999997</v>
      </c>
      <c r="S20" s="832">
        <v>3253.73</v>
      </c>
      <c r="T20" s="832">
        <v>3253.73</v>
      </c>
      <c r="U20" s="832">
        <v>0</v>
      </c>
      <c r="V20" s="832">
        <v>0</v>
      </c>
      <c r="W20" s="832">
        <v>0</v>
      </c>
      <c r="X20" s="832">
        <v>0</v>
      </c>
      <c r="Y20" s="832">
        <v>0</v>
      </c>
      <c r="Z20" s="832">
        <v>0</v>
      </c>
      <c r="AA20" s="832">
        <v>0</v>
      </c>
      <c r="AB20" s="832">
        <v>0</v>
      </c>
      <c r="AC20" s="832">
        <v>0</v>
      </c>
      <c r="AD20" s="832">
        <v>0</v>
      </c>
      <c r="AE20" s="832">
        <v>0</v>
      </c>
      <c r="AF20" s="832">
        <v>0</v>
      </c>
      <c r="AG20" s="832">
        <v>0</v>
      </c>
      <c r="AH20" s="832">
        <v>0</v>
      </c>
      <c r="AI20" s="832">
        <v>0</v>
      </c>
      <c r="AJ20" s="1030" t="str">
        <f t="shared" si="0"/>
        <v>H01221</v>
      </c>
      <c r="AK20" s="1030" t="str">
        <f t="shared" si="1"/>
        <v>NF SALAIRES -AUTRES</v>
      </c>
      <c r="AL20" s="1030">
        <f>IFERROR(INDEX(G20:R20,1,MATCH(Parametres!$B$3,G$1:R$1,0)-1)*IF(OR(F20="L",F20="S",F20="I"),-1,1),"")</f>
        <v>13486.04</v>
      </c>
      <c r="AM20" s="1030">
        <f t="shared" si="2"/>
        <v>3493.8099999999977</v>
      </c>
      <c r="AN20" s="1030">
        <f>INDEX(G20:R20,1,MATCH(Parametres!$B$3,G$1:R$1,0))*IF(OR(F20="L",F20="S",F20="I"),-1,1)</f>
        <v>16979.849999999999</v>
      </c>
      <c r="AO20" s="598" t="str">
        <f>+VLOOKUP($AJ20,Data_Validation!$A:$D,1,0)</f>
        <v>H01221</v>
      </c>
      <c r="AP20" s="598" t="str">
        <f>+VLOOKUP($AJ20,Data_Validation!$A:$D,3,0)</f>
        <v>Véhicules neufs</v>
      </c>
      <c r="AQ20" s="598" t="str">
        <f>+VLOOKUP($AJ20,Data_Validation!$A:$D,4,0)</f>
        <v>Salaires autres</v>
      </c>
      <c r="AR20" s="598" t="s">
        <v>299</v>
      </c>
      <c r="AS20" s="598">
        <f>+VLOOKUP($AJ20,Data_Validation!$A:$E,5,0)</f>
        <v>0</v>
      </c>
      <c r="AT20" s="1036" t="str">
        <f t="shared" si="3"/>
        <v>H01221</v>
      </c>
      <c r="AU20" s="599" t="str">
        <f t="shared" si="4"/>
        <v>NF SALAIRES -AUTRES</v>
      </c>
      <c r="AV20" s="1030">
        <f>IFERROR(INDEX(V20:AG20,1,MATCH(Parametres!$B$3,V$1:AG$1,0)-1)*IF(OR(C20="L",C20="S",C20="I"),-1,1),"")</f>
        <v>0</v>
      </c>
      <c r="AW20" s="1030">
        <f t="shared" si="5"/>
        <v>0</v>
      </c>
      <c r="AX20" s="1030">
        <f>INDEX(V20:AG20,1,MATCH(Parametres!$B$3,V$1:AG$1,0))*IF(OR(C20="L",C20="S",C20="I"),-1,1)</f>
        <v>0</v>
      </c>
      <c r="AY20" s="598" t="s">
        <v>337</v>
      </c>
      <c r="AZ20" s="598">
        <f>+VLOOKUP($AJ20,Data_Validation!$A:$E,5,0)</f>
        <v>0</v>
      </c>
    </row>
    <row r="21" spans="1:52" ht="15" customHeight="1">
      <c r="A21" s="832" t="s">
        <v>1150</v>
      </c>
      <c r="B21" s="832">
        <v>2025</v>
      </c>
      <c r="C21" s="832" t="s">
        <v>1188</v>
      </c>
      <c r="D21" s="832" t="s">
        <v>1189</v>
      </c>
      <c r="E21" s="832" t="s">
        <v>333</v>
      </c>
      <c r="F21" s="832" t="s">
        <v>1119</v>
      </c>
      <c r="G21" s="832">
        <v>13085.27</v>
      </c>
      <c r="H21" s="832">
        <v>22238.34</v>
      </c>
      <c r="I21" s="832">
        <v>27173.69</v>
      </c>
      <c r="J21" s="832">
        <v>32515.599999999999</v>
      </c>
      <c r="K21" s="832">
        <v>41374.44</v>
      </c>
      <c r="L21" s="832">
        <v>49806.22</v>
      </c>
      <c r="M21" s="832">
        <v>54906.94</v>
      </c>
      <c r="N21" s="832">
        <v>61399.9</v>
      </c>
      <c r="O21" s="832">
        <v>67402.09</v>
      </c>
      <c r="P21" s="832">
        <v>74952.570000000007</v>
      </c>
      <c r="Q21" s="832">
        <v>78785.16</v>
      </c>
      <c r="R21" s="832">
        <v>87106.240000000005</v>
      </c>
      <c r="S21" s="832">
        <v>7162.29</v>
      </c>
      <c r="T21" s="832">
        <v>7162.29</v>
      </c>
      <c r="U21" s="832">
        <v>0</v>
      </c>
      <c r="V21" s="832">
        <v>0</v>
      </c>
      <c r="W21" s="832">
        <v>0</v>
      </c>
      <c r="X21" s="832">
        <v>0</v>
      </c>
      <c r="Y21" s="832">
        <v>0</v>
      </c>
      <c r="Z21" s="832">
        <v>0</v>
      </c>
      <c r="AA21" s="832">
        <v>0</v>
      </c>
      <c r="AB21" s="832">
        <v>0</v>
      </c>
      <c r="AC21" s="832">
        <v>0</v>
      </c>
      <c r="AD21" s="832">
        <v>0</v>
      </c>
      <c r="AE21" s="832">
        <v>0</v>
      </c>
      <c r="AF21" s="832">
        <v>0</v>
      </c>
      <c r="AG21" s="832">
        <v>0</v>
      </c>
      <c r="AH21" s="832">
        <v>0</v>
      </c>
      <c r="AI21" s="832">
        <v>0</v>
      </c>
      <c r="AJ21" s="1030" t="str">
        <f t="shared" si="0"/>
        <v>H01223</v>
      </c>
      <c r="AK21" s="1030" t="str">
        <f t="shared" si="1"/>
        <v>NF ABS. &amp; CONGES PAYES</v>
      </c>
      <c r="AL21" s="1030">
        <f>IFERROR(INDEX(G21:R21,1,MATCH(Parametres!$B$3,G$1:R$1,0)-1)*IF(OR(F21="L",F21="S",F21="I"),-1,1),"")</f>
        <v>32515.599999999999</v>
      </c>
      <c r="AM21" s="1030">
        <f t="shared" si="2"/>
        <v>8858.8400000000038</v>
      </c>
      <c r="AN21" s="1030">
        <f>INDEX(G21:R21,1,MATCH(Parametres!$B$3,G$1:R$1,0))*IF(OR(F21="L",F21="S",F21="I"),-1,1)</f>
        <v>41374.44</v>
      </c>
      <c r="AO21" s="598" t="str">
        <f>+VLOOKUP($AJ21,Data_Validation!$A:$D,1,0)</f>
        <v>H01223</v>
      </c>
      <c r="AP21" s="598" t="str">
        <f>+VLOOKUP($AJ21,Data_Validation!$A:$D,3,0)</f>
        <v>Véhicules neufs</v>
      </c>
      <c r="AQ21" s="598" t="str">
        <f>+VLOOKUP($AJ21,Data_Validation!$A:$D,4,0)</f>
        <v>Salaires en absences</v>
      </c>
      <c r="AR21" s="598" t="s">
        <v>299</v>
      </c>
      <c r="AS21" s="598">
        <f>+VLOOKUP($AJ21,Data_Validation!$A:$E,5,0)</f>
        <v>0</v>
      </c>
      <c r="AT21" s="1036" t="str">
        <f t="shared" si="3"/>
        <v>H01223</v>
      </c>
      <c r="AU21" s="599" t="str">
        <f t="shared" si="4"/>
        <v>NF ABS. &amp; CONGES PAYES</v>
      </c>
      <c r="AV21" s="1030">
        <f>IFERROR(INDEX(V21:AG21,1,MATCH(Parametres!$B$3,V$1:AG$1,0)-1)*IF(OR(C21="L",C21="S",C21="I"),-1,1),"")</f>
        <v>0</v>
      </c>
      <c r="AW21" s="1030">
        <f t="shared" si="5"/>
        <v>0</v>
      </c>
      <c r="AX21" s="1030">
        <f>INDEX(V21:AG21,1,MATCH(Parametres!$B$3,V$1:AG$1,0))*IF(OR(C21="L",C21="S",C21="I"),-1,1)</f>
        <v>0</v>
      </c>
      <c r="AY21" s="598" t="s">
        <v>337</v>
      </c>
      <c r="AZ21" s="598">
        <f>+VLOOKUP($AJ21,Data_Validation!$A:$E,5,0)</f>
        <v>0</v>
      </c>
    </row>
    <row r="22" spans="1:52" ht="15" customHeight="1">
      <c r="A22" s="832" t="s">
        <v>1150</v>
      </c>
      <c r="B22" s="832">
        <v>2025</v>
      </c>
      <c r="C22" s="832" t="s">
        <v>1190</v>
      </c>
      <c r="D22" s="832" t="s">
        <v>1191</v>
      </c>
      <c r="E22" s="832" t="s">
        <v>333</v>
      </c>
      <c r="F22" s="832" t="s">
        <v>1119</v>
      </c>
      <c r="G22" s="832">
        <v>0</v>
      </c>
      <c r="H22" s="832">
        <v>0</v>
      </c>
      <c r="I22" s="832">
        <v>0</v>
      </c>
      <c r="J22" s="832">
        <v>0</v>
      </c>
      <c r="K22" s="832">
        <v>0</v>
      </c>
      <c r="L22" s="832">
        <v>0</v>
      </c>
      <c r="M22" s="832">
        <v>0</v>
      </c>
      <c r="N22" s="832">
        <v>0</v>
      </c>
      <c r="O22" s="832">
        <v>0</v>
      </c>
      <c r="P22" s="832">
        <v>0</v>
      </c>
      <c r="Q22" s="832">
        <v>0</v>
      </c>
      <c r="R22" s="832">
        <v>0</v>
      </c>
      <c r="S22" s="832">
        <v>0</v>
      </c>
      <c r="T22" s="832">
        <v>0</v>
      </c>
      <c r="U22" s="832">
        <v>0</v>
      </c>
      <c r="V22" s="832">
        <v>0</v>
      </c>
      <c r="W22" s="832">
        <v>0</v>
      </c>
      <c r="X22" s="832">
        <v>0</v>
      </c>
      <c r="Y22" s="832">
        <v>0</v>
      </c>
      <c r="Z22" s="832">
        <v>0</v>
      </c>
      <c r="AA22" s="832">
        <v>0</v>
      </c>
      <c r="AB22" s="832">
        <v>0</v>
      </c>
      <c r="AC22" s="832">
        <v>0</v>
      </c>
      <c r="AD22" s="832">
        <v>0</v>
      </c>
      <c r="AE22" s="832">
        <v>0</v>
      </c>
      <c r="AF22" s="832">
        <v>0</v>
      </c>
      <c r="AG22" s="832">
        <v>0</v>
      </c>
      <c r="AH22" s="832">
        <v>0</v>
      </c>
      <c r="AI22" s="832">
        <v>0</v>
      </c>
      <c r="AJ22" s="1030" t="str">
        <f t="shared" si="0"/>
        <v>H01224</v>
      </c>
      <c r="AK22" s="1030" t="str">
        <f t="shared" si="1"/>
        <v>NF CSST</v>
      </c>
      <c r="AL22" s="1030">
        <f>IFERROR(INDEX(G22:R22,1,MATCH(Parametres!$B$3,G$1:R$1,0)-1)*IF(OR(F22="L",F22="S",F22="I"),-1,1),"")</f>
        <v>0</v>
      </c>
      <c r="AM22" s="1030">
        <f t="shared" si="2"/>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t="str">
        <f t="shared" si="3"/>
        <v>H01224</v>
      </c>
      <c r="AU22" s="599" t="str">
        <f t="shared" si="4"/>
        <v>NF CSST</v>
      </c>
      <c r="AV22" s="1030">
        <f>IFERROR(INDEX(V22:AG22,1,MATCH(Parametres!$B$3,V$1:AG$1,0)-1)*IF(OR(C22="L",C22="S",C22="I"),-1,1),"")</f>
        <v>0</v>
      </c>
      <c r="AW22" s="1030">
        <f t="shared" si="5"/>
        <v>0</v>
      </c>
      <c r="AX22" s="1030">
        <f>INDEX(V22:AG22,1,MATCH(Parametres!$B$3,V$1:AG$1,0))*IF(OR(C22="L",C22="S",C22="I"),-1,1)</f>
        <v>0</v>
      </c>
      <c r="AY22" s="598" t="s">
        <v>337</v>
      </c>
      <c r="AZ22" s="598" t="e">
        <f>+VLOOKUP($AJ22,Data_Validation!$A:$E,5,0)</f>
        <v>#N/A</v>
      </c>
    </row>
    <row r="23" spans="1:52" ht="15" customHeight="1">
      <c r="A23" s="832" t="s">
        <v>1150</v>
      </c>
      <c r="B23" s="832">
        <v>2025</v>
      </c>
      <c r="C23" s="832" t="s">
        <v>1192</v>
      </c>
      <c r="D23" s="832" t="s">
        <v>1193</v>
      </c>
      <c r="E23" s="832" t="s">
        <v>333</v>
      </c>
      <c r="F23" s="832" t="s">
        <v>1119</v>
      </c>
      <c r="G23" s="832">
        <v>0</v>
      </c>
      <c r="H23" s="832">
        <v>0</v>
      </c>
      <c r="I23" s="832">
        <v>0</v>
      </c>
      <c r="J23" s="832">
        <v>0</v>
      </c>
      <c r="K23" s="832">
        <v>0</v>
      </c>
      <c r="L23" s="832">
        <v>0</v>
      </c>
      <c r="M23" s="832">
        <v>0</v>
      </c>
      <c r="N23" s="832">
        <v>0</v>
      </c>
      <c r="O23" s="832">
        <v>0</v>
      </c>
      <c r="P23" s="832">
        <v>0</v>
      </c>
      <c r="Q23" s="832">
        <v>0</v>
      </c>
      <c r="R23" s="832">
        <v>0</v>
      </c>
      <c r="S23" s="832">
        <v>0</v>
      </c>
      <c r="T23" s="832">
        <v>0</v>
      </c>
      <c r="U23" s="832">
        <v>0</v>
      </c>
      <c r="V23" s="832">
        <v>0</v>
      </c>
      <c r="W23" s="832">
        <v>0</v>
      </c>
      <c r="X23" s="832">
        <v>0</v>
      </c>
      <c r="Y23" s="832">
        <v>0</v>
      </c>
      <c r="Z23" s="832">
        <v>0</v>
      </c>
      <c r="AA23" s="832">
        <v>0</v>
      </c>
      <c r="AB23" s="832">
        <v>0</v>
      </c>
      <c r="AC23" s="832">
        <v>0</v>
      </c>
      <c r="AD23" s="832">
        <v>0</v>
      </c>
      <c r="AE23" s="832">
        <v>0</v>
      </c>
      <c r="AF23" s="832">
        <v>0</v>
      </c>
      <c r="AG23" s="832">
        <v>0</v>
      </c>
      <c r="AH23" s="832">
        <v>0</v>
      </c>
      <c r="AI23" s="832">
        <v>0</v>
      </c>
      <c r="AJ23" s="1030" t="str">
        <f t="shared" si="0"/>
        <v>H01225</v>
      </c>
      <c r="AK23" s="1030" t="str">
        <f t="shared" si="1"/>
        <v>NF ASSURANCE CHOMAGE</v>
      </c>
      <c r="AL23" s="1030">
        <f>IFERROR(INDEX(G23:R23,1,MATCH(Parametres!$B$3,G$1:R$1,0)-1)*IF(OR(F23="L",F23="S",F23="I"),-1,1),"")</f>
        <v>0</v>
      </c>
      <c r="AM23" s="1030">
        <f t="shared" si="2"/>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t="str">
        <f t="shared" si="3"/>
        <v>H01225</v>
      </c>
      <c r="AU23" s="599" t="str">
        <f t="shared" si="4"/>
        <v>NF ASSURANCE CHOMAGE</v>
      </c>
      <c r="AV23" s="1030">
        <f>IFERROR(INDEX(V23:AG23,1,MATCH(Parametres!$B$3,V$1:AG$1,0)-1)*IF(OR(C23="L",C23="S",C23="I"),-1,1),"")</f>
        <v>0</v>
      </c>
      <c r="AW23" s="1030">
        <f t="shared" si="5"/>
        <v>0</v>
      </c>
      <c r="AX23" s="1030">
        <f>INDEX(V23:AG23,1,MATCH(Parametres!$B$3,V$1:AG$1,0))*IF(OR(C23="L",C23="S",C23="I"),-1,1)</f>
        <v>0</v>
      </c>
      <c r="AY23" s="598" t="s">
        <v>337</v>
      </c>
      <c r="AZ23" s="598" t="e">
        <f>+VLOOKUP($AJ23,Data_Validation!$A:$E,5,0)</f>
        <v>#N/A</v>
      </c>
    </row>
    <row r="24" spans="1:52" ht="15" customHeight="1">
      <c r="A24" s="832" t="s">
        <v>1150</v>
      </c>
      <c r="B24" s="832">
        <v>2025</v>
      </c>
      <c r="C24" s="832" t="s">
        <v>1194</v>
      </c>
      <c r="D24" s="832" t="s">
        <v>1195</v>
      </c>
      <c r="E24" s="832" t="s">
        <v>333</v>
      </c>
      <c r="F24" s="832" t="s">
        <v>1119</v>
      </c>
      <c r="G24" s="832">
        <v>1431.35</v>
      </c>
      <c r="H24" s="832">
        <v>2965.45</v>
      </c>
      <c r="I24" s="832">
        <v>4406.83</v>
      </c>
      <c r="J24" s="832">
        <v>5870.59</v>
      </c>
      <c r="K24" s="832">
        <v>7463.75</v>
      </c>
      <c r="L24" s="832">
        <v>9354.2900000000009</v>
      </c>
      <c r="M24" s="832">
        <v>11138.58</v>
      </c>
      <c r="N24" s="832">
        <v>12899.38</v>
      </c>
      <c r="O24" s="832">
        <v>14145</v>
      </c>
      <c r="P24" s="832">
        <v>14411.8</v>
      </c>
      <c r="Q24" s="832">
        <v>15948.96</v>
      </c>
      <c r="R24" s="832">
        <v>17613.919999999998</v>
      </c>
      <c r="S24" s="832">
        <v>1449.91</v>
      </c>
      <c r="T24" s="832">
        <v>1449.91</v>
      </c>
      <c r="U24" s="832">
        <v>0</v>
      </c>
      <c r="V24" s="832">
        <v>0</v>
      </c>
      <c r="W24" s="832">
        <v>0</v>
      </c>
      <c r="X24" s="832">
        <v>0</v>
      </c>
      <c r="Y24" s="832">
        <v>0</v>
      </c>
      <c r="Z24" s="832">
        <v>0</v>
      </c>
      <c r="AA24" s="832">
        <v>0</v>
      </c>
      <c r="AB24" s="832">
        <v>0</v>
      </c>
      <c r="AC24" s="832">
        <v>0</v>
      </c>
      <c r="AD24" s="832">
        <v>0</v>
      </c>
      <c r="AE24" s="832">
        <v>0</v>
      </c>
      <c r="AF24" s="832">
        <v>0</v>
      </c>
      <c r="AG24" s="832">
        <v>0</v>
      </c>
      <c r="AH24" s="832">
        <v>0</v>
      </c>
      <c r="AI24" s="832">
        <v>0</v>
      </c>
      <c r="AJ24" s="1030" t="str">
        <f t="shared" si="0"/>
        <v>H01226</v>
      </c>
      <c r="AK24" s="1030" t="str">
        <f t="shared" si="1"/>
        <v>NF ASSURANCE GROUPE</v>
      </c>
      <c r="AL24" s="1030">
        <f>IFERROR(INDEX(G24:R24,1,MATCH(Parametres!$B$3,G$1:R$1,0)-1)*IF(OR(F24="L",F24="S",F24="I"),-1,1),"")</f>
        <v>5870.59</v>
      </c>
      <c r="AM24" s="1030">
        <f t="shared" si="2"/>
        <v>1593.1599999999999</v>
      </c>
      <c r="AN24" s="1030">
        <f>INDEX(G24:R24,1,MATCH(Parametres!$B$3,G$1:R$1,0))*IF(OR(F24="L",F24="S",F24="I"),-1,1)</f>
        <v>7463.75</v>
      </c>
      <c r="AO24" s="598" t="str">
        <f>+VLOOKUP($AJ24,Data_Validation!$A:$D,1,0)</f>
        <v>H01226</v>
      </c>
      <c r="AP24" s="598" t="str">
        <f>+VLOOKUP($AJ24,Data_Validation!$A:$D,3,0)</f>
        <v>Véhicules neufs</v>
      </c>
      <c r="AQ24" s="598" t="str">
        <f>+VLOOKUP($AJ24,Data_Validation!$A:$D,4,0)</f>
        <v>Bénéfices marginaux</v>
      </c>
      <c r="AR24" s="598" t="s">
        <v>299</v>
      </c>
      <c r="AS24" s="598">
        <f>+VLOOKUP($AJ24,Data_Validation!$A:$E,5,0)</f>
        <v>0</v>
      </c>
      <c r="AT24" s="1036" t="str">
        <f t="shared" si="3"/>
        <v>H01226</v>
      </c>
      <c r="AU24" s="599" t="str">
        <f t="shared" si="4"/>
        <v>NF ASSURANCE GROUPE</v>
      </c>
      <c r="AV24" s="1030">
        <f>IFERROR(INDEX(V24:AG24,1,MATCH(Parametres!$B$3,V$1:AG$1,0)-1)*IF(OR(C24="L",C24="S",C24="I"),-1,1),"")</f>
        <v>0</v>
      </c>
      <c r="AW24" s="1030">
        <f t="shared" si="5"/>
        <v>0</v>
      </c>
      <c r="AX24" s="1030">
        <f>INDEX(V24:AG24,1,MATCH(Parametres!$B$3,V$1:AG$1,0))*IF(OR(C24="L",C24="S",C24="I"),-1,1)</f>
        <v>0</v>
      </c>
      <c r="AY24" s="598" t="s">
        <v>337</v>
      </c>
      <c r="AZ24" s="598">
        <f>+VLOOKUP($AJ24,Data_Validation!$A:$E,5,0)</f>
        <v>0</v>
      </c>
    </row>
    <row r="25" spans="1:52" ht="15" customHeight="1">
      <c r="A25" s="832" t="s">
        <v>1150</v>
      </c>
      <c r="B25" s="832">
        <v>2025</v>
      </c>
      <c r="C25" s="832" t="s">
        <v>1196</v>
      </c>
      <c r="D25" s="832" t="s">
        <v>1197</v>
      </c>
      <c r="E25" s="832" t="s">
        <v>333</v>
      </c>
      <c r="F25" s="832" t="s">
        <v>1119</v>
      </c>
      <c r="G25" s="832">
        <v>23183.05</v>
      </c>
      <c r="H25" s="832">
        <v>40764.42</v>
      </c>
      <c r="I25" s="832">
        <v>55013.58</v>
      </c>
      <c r="J25" s="832">
        <v>72005.97</v>
      </c>
      <c r="K25" s="832">
        <v>93381.91</v>
      </c>
      <c r="L25" s="832">
        <v>109850.35</v>
      </c>
      <c r="M25" s="832">
        <v>125039.05</v>
      </c>
      <c r="N25" s="832">
        <v>137357.94</v>
      </c>
      <c r="O25" s="832">
        <v>147003.53</v>
      </c>
      <c r="P25" s="832">
        <v>158948.29999999999</v>
      </c>
      <c r="Q25" s="832">
        <v>165362.04</v>
      </c>
      <c r="R25" s="832">
        <v>173223.07</v>
      </c>
      <c r="S25" s="832">
        <v>15032.91</v>
      </c>
      <c r="T25" s="832">
        <v>15032.91</v>
      </c>
      <c r="U25" s="832">
        <v>0</v>
      </c>
      <c r="V25" s="832">
        <v>0</v>
      </c>
      <c r="W25" s="832">
        <v>0</v>
      </c>
      <c r="X25" s="832">
        <v>0</v>
      </c>
      <c r="Y25" s="832">
        <v>0</v>
      </c>
      <c r="Z25" s="832">
        <v>0</v>
      </c>
      <c r="AA25" s="832">
        <v>0</v>
      </c>
      <c r="AB25" s="832">
        <v>0</v>
      </c>
      <c r="AC25" s="832">
        <v>0</v>
      </c>
      <c r="AD25" s="832">
        <v>0</v>
      </c>
      <c r="AE25" s="832">
        <v>0</v>
      </c>
      <c r="AF25" s="832">
        <v>0</v>
      </c>
      <c r="AG25" s="832">
        <v>0</v>
      </c>
      <c r="AH25" s="832">
        <v>0</v>
      </c>
      <c r="AI25" s="832">
        <v>0</v>
      </c>
      <c r="AJ25" s="1030" t="str">
        <f t="shared" si="0"/>
        <v>H01227</v>
      </c>
      <c r="AK25" s="1030" t="str">
        <f t="shared" si="1"/>
        <v>NF AUTRES AV. SOCIAUX</v>
      </c>
      <c r="AL25" s="1030">
        <f>IFERROR(INDEX(G25:R25,1,MATCH(Parametres!$B$3,G$1:R$1,0)-1)*IF(OR(F25="L",F25="S",F25="I"),-1,1),"")</f>
        <v>72005.97</v>
      </c>
      <c r="AM25" s="1030">
        <f t="shared" si="2"/>
        <v>21375.940000000002</v>
      </c>
      <c r="AN25" s="1030">
        <f>INDEX(G25:R25,1,MATCH(Parametres!$B$3,G$1:R$1,0))*IF(OR(F25="L",F25="S",F25="I"),-1,1)</f>
        <v>93381.91</v>
      </c>
      <c r="AO25" s="598" t="str">
        <f>+VLOOKUP($AJ25,Data_Validation!$A:$D,1,0)</f>
        <v>H01227</v>
      </c>
      <c r="AP25" s="598" t="str">
        <f>+VLOOKUP($AJ25,Data_Validation!$A:$D,3,0)</f>
        <v>Véhicules neufs</v>
      </c>
      <c r="AQ25" s="598" t="str">
        <f>+VLOOKUP($AJ25,Data_Validation!$A:$D,4,0)</f>
        <v>Déduction à la source</v>
      </c>
      <c r="AR25" s="598" t="s">
        <v>299</v>
      </c>
      <c r="AS25" s="598">
        <f>+VLOOKUP($AJ25,Data_Validation!$A:$E,5,0)</f>
        <v>0</v>
      </c>
      <c r="AT25" s="1036" t="str">
        <f t="shared" si="3"/>
        <v>H01227</v>
      </c>
      <c r="AU25" s="599" t="str">
        <f t="shared" si="4"/>
        <v>NF AUTRES AV. SOCIAUX</v>
      </c>
      <c r="AV25" s="1030">
        <f>IFERROR(INDEX(V25:AG25,1,MATCH(Parametres!$B$3,V$1:AG$1,0)-1)*IF(OR(C25="L",C25="S",C25="I"),-1,1),"")</f>
        <v>0</v>
      </c>
      <c r="AW25" s="1030">
        <f t="shared" si="5"/>
        <v>0</v>
      </c>
      <c r="AX25" s="1030">
        <f>INDEX(V25:AG25,1,MATCH(Parametres!$B$3,V$1:AG$1,0))*IF(OR(C25="L",C25="S",C25="I"),-1,1)</f>
        <v>0</v>
      </c>
      <c r="AY25" s="598" t="s">
        <v>337</v>
      </c>
      <c r="AZ25" s="598">
        <f>+VLOOKUP($AJ25,Data_Validation!$A:$E,5,0)</f>
        <v>0</v>
      </c>
    </row>
    <row r="26" spans="1:52" ht="15.75" customHeight="1">
      <c r="A26" s="832" t="s">
        <v>1150</v>
      </c>
      <c r="B26" s="832">
        <v>2025</v>
      </c>
      <c r="C26" s="832" t="s">
        <v>1198</v>
      </c>
      <c r="D26" s="832" t="s">
        <v>1199</v>
      </c>
      <c r="E26" s="832" t="s">
        <v>333</v>
      </c>
      <c r="F26" s="832" t="s">
        <v>1119</v>
      </c>
      <c r="G26" s="832">
        <v>775</v>
      </c>
      <c r="H26" s="832">
        <v>1550</v>
      </c>
      <c r="I26" s="832">
        <v>2325</v>
      </c>
      <c r="J26" s="832">
        <v>3100</v>
      </c>
      <c r="K26" s="832">
        <v>3875</v>
      </c>
      <c r="L26" s="832">
        <v>4650</v>
      </c>
      <c r="M26" s="832">
        <v>5425</v>
      </c>
      <c r="N26" s="832">
        <v>5425</v>
      </c>
      <c r="O26" s="832">
        <v>6200</v>
      </c>
      <c r="P26" s="832">
        <v>7750</v>
      </c>
      <c r="Q26" s="832">
        <v>7750</v>
      </c>
      <c r="R26" s="832">
        <v>9300</v>
      </c>
      <c r="S26" s="832">
        <v>704.55</v>
      </c>
      <c r="T26" s="832">
        <v>704.55</v>
      </c>
      <c r="U26" s="832">
        <v>0</v>
      </c>
      <c r="V26" s="832">
        <v>0</v>
      </c>
      <c r="W26" s="832">
        <v>0</v>
      </c>
      <c r="X26" s="832">
        <v>0</v>
      </c>
      <c r="Y26" s="832">
        <v>0</v>
      </c>
      <c r="Z26" s="832">
        <v>0</v>
      </c>
      <c r="AA26" s="832">
        <v>0</v>
      </c>
      <c r="AB26" s="832">
        <v>0</v>
      </c>
      <c r="AC26" s="832">
        <v>0</v>
      </c>
      <c r="AD26" s="832">
        <v>0</v>
      </c>
      <c r="AE26" s="832">
        <v>0</v>
      </c>
      <c r="AF26" s="832">
        <v>0</v>
      </c>
      <c r="AG26" s="832">
        <v>0</v>
      </c>
      <c r="AH26" s="832">
        <v>0</v>
      </c>
      <c r="AI26" s="832">
        <v>0</v>
      </c>
      <c r="AJ26" s="1030" t="str">
        <f t="shared" si="0"/>
        <v>H01228</v>
      </c>
      <c r="AK26" s="1030" t="str">
        <f t="shared" si="1"/>
        <v>NF FORMATION</v>
      </c>
      <c r="AL26" s="1030">
        <f>IFERROR(INDEX(G26:R26,1,MATCH(Parametres!$B$3,G$1:R$1,0)-1)*IF(OR(F26="L",F26="S",F26="I"),-1,1),"")</f>
        <v>3100</v>
      </c>
      <c r="AM26" s="1030">
        <f t="shared" si="2"/>
        <v>775</v>
      </c>
      <c r="AN26" s="1030">
        <f>INDEX(G26:R26,1,MATCH(Parametres!$B$3,G$1:R$1,0))*IF(OR(F26="L",F26="S",F26="I"),-1,1)</f>
        <v>3875</v>
      </c>
      <c r="AO26" s="598" t="str">
        <f>+VLOOKUP($AJ26,Data_Validation!$A:$D,1,0)</f>
        <v>H01228</v>
      </c>
      <c r="AP26" s="598" t="str">
        <f>+VLOOKUP($AJ26,Data_Validation!$A:$D,3,0)</f>
        <v>Véhicules neufs</v>
      </c>
      <c r="AQ26" s="598" t="str">
        <f>+VLOOKUP($AJ26,Data_Validation!$A:$D,4,0)</f>
        <v>Formation</v>
      </c>
      <c r="AR26" s="598" t="s">
        <v>299</v>
      </c>
      <c r="AS26" s="598">
        <f>+VLOOKUP($AJ26,Data_Validation!$A:$E,5,0)</f>
        <v>0</v>
      </c>
      <c r="AT26" s="1036" t="str">
        <f t="shared" si="3"/>
        <v>H01228</v>
      </c>
      <c r="AU26" s="599" t="str">
        <f t="shared" si="4"/>
        <v>NF FORMATION</v>
      </c>
      <c r="AV26" s="1030">
        <f>IFERROR(INDEX(V26:AG26,1,MATCH(Parametres!$B$3,V$1:AG$1,0)-1)*IF(OR(C26="L",C26="S",C26="I"),-1,1),"")</f>
        <v>0</v>
      </c>
      <c r="AW26" s="1030">
        <f t="shared" si="5"/>
        <v>0</v>
      </c>
      <c r="AX26" s="1030">
        <f>INDEX(V26:AG26,1,MATCH(Parametres!$B$3,V$1:AG$1,0))*IF(OR(C26="L",C26="S",C26="I"),-1,1)</f>
        <v>0</v>
      </c>
      <c r="AY26" s="598" t="s">
        <v>337</v>
      </c>
      <c r="AZ26" s="598">
        <f>+VLOOKUP($AJ26,Data_Validation!$A:$E,5,0)</f>
        <v>0</v>
      </c>
    </row>
    <row r="27" spans="1:52" ht="15" customHeight="1">
      <c r="A27" s="832" t="s">
        <v>1150</v>
      </c>
      <c r="B27" s="832">
        <v>2025</v>
      </c>
      <c r="C27" s="832" t="s">
        <v>1200</v>
      </c>
      <c r="D27" s="832" t="s">
        <v>1201</v>
      </c>
      <c r="E27" s="832" t="s">
        <v>333</v>
      </c>
      <c r="F27" s="832" t="s">
        <v>1119</v>
      </c>
      <c r="G27" s="832">
        <v>873.95</v>
      </c>
      <c r="H27" s="832">
        <v>1828.01</v>
      </c>
      <c r="I27" s="832">
        <v>2323</v>
      </c>
      <c r="J27" s="832">
        <v>2997.72</v>
      </c>
      <c r="K27" s="832">
        <v>3572.29</v>
      </c>
      <c r="L27" s="832">
        <v>4369.1099999999997</v>
      </c>
      <c r="M27" s="832">
        <v>4899.67</v>
      </c>
      <c r="N27" s="832">
        <v>5790.46</v>
      </c>
      <c r="O27" s="832">
        <v>7148.67</v>
      </c>
      <c r="P27" s="832">
        <v>7592.5</v>
      </c>
      <c r="Q27" s="832">
        <v>7761.94</v>
      </c>
      <c r="R27" s="832">
        <v>8248.68</v>
      </c>
      <c r="S27" s="832">
        <v>705.63</v>
      </c>
      <c r="T27" s="832">
        <v>705.63</v>
      </c>
      <c r="U27" s="832">
        <v>0</v>
      </c>
      <c r="V27" s="832">
        <v>0</v>
      </c>
      <c r="W27" s="832">
        <v>0</v>
      </c>
      <c r="X27" s="832">
        <v>0</v>
      </c>
      <c r="Y27" s="832">
        <v>0</v>
      </c>
      <c r="Z27" s="832">
        <v>0</v>
      </c>
      <c r="AA27" s="832">
        <v>0</v>
      </c>
      <c r="AB27" s="832">
        <v>0</v>
      </c>
      <c r="AC27" s="832">
        <v>0</v>
      </c>
      <c r="AD27" s="832">
        <v>0</v>
      </c>
      <c r="AE27" s="832">
        <v>0</v>
      </c>
      <c r="AF27" s="832">
        <v>0</v>
      </c>
      <c r="AG27" s="832">
        <v>0</v>
      </c>
      <c r="AH27" s="832">
        <v>0</v>
      </c>
      <c r="AI27" s="832">
        <v>0</v>
      </c>
      <c r="AJ27" s="1030" t="str">
        <f t="shared" si="0"/>
        <v>H01230</v>
      </c>
      <c r="AK27" s="1030" t="str">
        <f t="shared" si="1"/>
        <v>NF PAPETRIE-FOUR. BUREAU</v>
      </c>
      <c r="AL27" s="1030">
        <f>IFERROR(INDEX(G27:R27,1,MATCH(Parametres!$B$3,G$1:R$1,0)-1)*IF(OR(F27="L",F27="S",F27="I"),-1,1),"")</f>
        <v>2997.72</v>
      </c>
      <c r="AM27" s="1030">
        <f t="shared" si="2"/>
        <v>574.57000000000016</v>
      </c>
      <c r="AN27" s="1030">
        <f>INDEX(G27:R27,1,MATCH(Parametres!$B$3,G$1:R$1,0))*IF(OR(F27="L",F27="S",F27="I"),-1,1)</f>
        <v>3572.29</v>
      </c>
      <c r="AO27" s="598" t="str">
        <f>+VLOOKUP($AJ27,Data_Validation!$A:$D,1,0)</f>
        <v>H01230</v>
      </c>
      <c r="AP27" s="598" t="str">
        <f>+VLOOKUP($AJ27,Data_Validation!$A:$D,3,0)</f>
        <v>Véhicules neufs</v>
      </c>
      <c r="AQ27" s="598" t="str">
        <f>+VLOOKUP($AJ27,Data_Validation!$A:$D,4,0)</f>
        <v>Papeterie</v>
      </c>
      <c r="AR27" s="598" t="s">
        <v>299</v>
      </c>
      <c r="AS27" s="598">
        <f>+VLOOKUP($AJ27,Data_Validation!$A:$E,5,0)</f>
        <v>0</v>
      </c>
      <c r="AT27" s="1036" t="str">
        <f t="shared" si="3"/>
        <v>H01230</v>
      </c>
      <c r="AU27" s="599" t="str">
        <f t="shared" si="4"/>
        <v>NF PAPETRIE-FOUR. BUREAU</v>
      </c>
      <c r="AV27" s="1030">
        <f>IFERROR(INDEX(V27:AG27,1,MATCH(Parametres!$B$3,V$1:AG$1,0)-1)*IF(OR(C27="L",C27="S",C27="I"),-1,1),"")</f>
        <v>0</v>
      </c>
      <c r="AW27" s="1030">
        <f t="shared" si="5"/>
        <v>0</v>
      </c>
      <c r="AX27" s="1030">
        <f>INDEX(V27:AG27,1,MATCH(Parametres!$B$3,V$1:AG$1,0))*IF(OR(C27="L",C27="S",C27="I"),-1,1)</f>
        <v>0</v>
      </c>
      <c r="AY27" s="598" t="s">
        <v>337</v>
      </c>
      <c r="AZ27" s="598">
        <f>+VLOOKUP($AJ27,Data_Validation!$A:$E,5,0)</f>
        <v>0</v>
      </c>
    </row>
    <row r="28" spans="1:52" ht="15" customHeight="1">
      <c r="A28" s="832" t="s">
        <v>1150</v>
      </c>
      <c r="B28" s="832">
        <v>2025</v>
      </c>
      <c r="C28" s="832" t="s">
        <v>1202</v>
      </c>
      <c r="D28" s="832" t="s">
        <v>1203</v>
      </c>
      <c r="E28" s="832" t="s">
        <v>333</v>
      </c>
      <c r="F28" s="832" t="s">
        <v>1119</v>
      </c>
      <c r="G28" s="832">
        <v>0</v>
      </c>
      <c r="H28" s="832">
        <v>0</v>
      </c>
      <c r="I28" s="832">
        <v>0</v>
      </c>
      <c r="J28" s="832">
        <v>0</v>
      </c>
      <c r="K28" s="832">
        <v>0</v>
      </c>
      <c r="L28" s="832">
        <v>0</v>
      </c>
      <c r="M28" s="832">
        <v>0</v>
      </c>
      <c r="N28" s="832">
        <v>0</v>
      </c>
      <c r="O28" s="832">
        <v>0</v>
      </c>
      <c r="P28" s="832">
        <v>0</v>
      </c>
      <c r="Q28" s="832">
        <v>0</v>
      </c>
      <c r="R28" s="832">
        <v>0</v>
      </c>
      <c r="S28" s="832">
        <v>0</v>
      </c>
      <c r="T28" s="832">
        <v>0</v>
      </c>
      <c r="U28" s="832">
        <v>0</v>
      </c>
      <c r="V28" s="832">
        <v>0</v>
      </c>
      <c r="W28" s="832">
        <v>0</v>
      </c>
      <c r="X28" s="832">
        <v>0</v>
      </c>
      <c r="Y28" s="832">
        <v>0</v>
      </c>
      <c r="Z28" s="832">
        <v>0</v>
      </c>
      <c r="AA28" s="832">
        <v>0</v>
      </c>
      <c r="AB28" s="832">
        <v>0</v>
      </c>
      <c r="AC28" s="832">
        <v>0</v>
      </c>
      <c r="AD28" s="832">
        <v>0</v>
      </c>
      <c r="AE28" s="832">
        <v>0</v>
      </c>
      <c r="AF28" s="832">
        <v>0</v>
      </c>
      <c r="AG28" s="832">
        <v>0</v>
      </c>
      <c r="AH28" s="832">
        <v>0</v>
      </c>
      <c r="AI28" s="832">
        <v>0</v>
      </c>
      <c r="AJ28" s="1030" t="str">
        <f t="shared" si="0"/>
        <v>H01231</v>
      </c>
      <c r="AK28" s="1030" t="str">
        <f t="shared" si="1"/>
        <v>NF OUTILLAGE-FOUR. DIVERS</v>
      </c>
      <c r="AL28" s="1030">
        <f>IFERROR(INDEX(G28:R28,1,MATCH(Parametres!$B$3,G$1:R$1,0)-1)*IF(OR(F28="L",F28="S",F28="I"),-1,1),"")</f>
        <v>0</v>
      </c>
      <c r="AM28" s="1030">
        <f t="shared" si="2"/>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t="str">
        <f t="shared" si="3"/>
        <v>H01231</v>
      </c>
      <c r="AU28" s="599" t="str">
        <f t="shared" si="4"/>
        <v>NF OUTILLAGE-FOUR. DIVERS</v>
      </c>
      <c r="AV28" s="1030">
        <f>IFERROR(INDEX(V28:AG28,1,MATCH(Parametres!$B$3,V$1:AG$1,0)-1)*IF(OR(C28="L",C28="S",C28="I"),-1,1),"")</f>
        <v>0</v>
      </c>
      <c r="AW28" s="1030">
        <f t="shared" si="5"/>
        <v>0</v>
      </c>
      <c r="AX28" s="1030">
        <f>INDEX(V28:AG28,1,MATCH(Parametres!$B$3,V$1:AG$1,0))*IF(OR(C28="L",C28="S",C28="I"),-1,1)</f>
        <v>0</v>
      </c>
      <c r="AY28" s="598" t="s">
        <v>337</v>
      </c>
      <c r="AZ28" s="598" t="e">
        <f>+VLOOKUP($AJ28,Data_Validation!$A:$E,5,0)</f>
        <v>#N/A</v>
      </c>
    </row>
    <row r="29" spans="1:52" ht="15" customHeight="1">
      <c r="A29" s="832" t="s">
        <v>1150</v>
      </c>
      <c r="B29" s="832">
        <v>2025</v>
      </c>
      <c r="C29" s="832" t="s">
        <v>1204</v>
      </c>
      <c r="D29" s="832" t="s">
        <v>1205</v>
      </c>
      <c r="E29" s="832" t="s">
        <v>333</v>
      </c>
      <c r="F29" s="832" t="s">
        <v>1119</v>
      </c>
      <c r="G29" s="832">
        <v>0</v>
      </c>
      <c r="H29" s="832">
        <v>0</v>
      </c>
      <c r="I29" s="832">
        <v>0</v>
      </c>
      <c r="J29" s="832">
        <v>0</v>
      </c>
      <c r="K29" s="832">
        <v>0</v>
      </c>
      <c r="L29" s="832">
        <v>0</v>
      </c>
      <c r="M29" s="832">
        <v>0</v>
      </c>
      <c r="N29" s="832">
        <v>0</v>
      </c>
      <c r="O29" s="832">
        <v>0</v>
      </c>
      <c r="P29" s="832">
        <v>0</v>
      </c>
      <c r="Q29" s="832">
        <v>0</v>
      </c>
      <c r="R29" s="832">
        <v>0</v>
      </c>
      <c r="S29" s="832">
        <v>0</v>
      </c>
      <c r="T29" s="832">
        <v>0</v>
      </c>
      <c r="U29" s="832">
        <v>0</v>
      </c>
      <c r="V29" s="832">
        <v>0</v>
      </c>
      <c r="W29" s="832">
        <v>0</v>
      </c>
      <c r="X29" s="832">
        <v>0</v>
      </c>
      <c r="Y29" s="832">
        <v>0</v>
      </c>
      <c r="Z29" s="832">
        <v>0</v>
      </c>
      <c r="AA29" s="832">
        <v>0</v>
      </c>
      <c r="AB29" s="832">
        <v>0</v>
      </c>
      <c r="AC29" s="832">
        <v>0</v>
      </c>
      <c r="AD29" s="832">
        <v>0</v>
      </c>
      <c r="AE29" s="832">
        <v>0</v>
      </c>
      <c r="AF29" s="832">
        <v>0</v>
      </c>
      <c r="AG29" s="832">
        <v>0</v>
      </c>
      <c r="AH29" s="832">
        <v>0</v>
      </c>
      <c r="AI29" s="832">
        <v>0</v>
      </c>
      <c r="AJ29" s="1030" t="str">
        <f t="shared" si="0"/>
        <v>H01234</v>
      </c>
      <c r="AK29" s="1030" t="str">
        <f t="shared" si="1"/>
        <v>NF UNIFORMES-SALOPETTES</v>
      </c>
      <c r="AL29" s="1030">
        <f>IFERROR(INDEX(G29:R29,1,MATCH(Parametres!$B$3,G$1:R$1,0)-1)*IF(OR(F29="L",F29="S",F29="I"),-1,1),"")</f>
        <v>0</v>
      </c>
      <c r="AM29" s="1030">
        <f t="shared" si="2"/>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t="str">
        <f t="shared" si="3"/>
        <v>H01234</v>
      </c>
      <c r="AU29" s="599" t="str">
        <f t="shared" si="4"/>
        <v>NF UNIFORMES-SALOPETTES</v>
      </c>
      <c r="AV29" s="1030">
        <f>IFERROR(INDEX(V29:AG29,1,MATCH(Parametres!$B$3,V$1:AG$1,0)-1)*IF(OR(C29="L",C29="S",C29="I"),-1,1),"")</f>
        <v>0</v>
      </c>
      <c r="AW29" s="1030">
        <f t="shared" si="5"/>
        <v>0</v>
      </c>
      <c r="AX29" s="1030">
        <f>INDEX(V29:AG29,1,MATCH(Parametres!$B$3,V$1:AG$1,0))*IF(OR(C29="L",C29="S",C29="I"),-1,1)</f>
        <v>0</v>
      </c>
      <c r="AY29" s="598" t="s">
        <v>337</v>
      </c>
      <c r="AZ29" s="598" t="e">
        <f>+VLOOKUP($AJ29,Data_Validation!$A:$E,5,0)</f>
        <v>#N/A</v>
      </c>
    </row>
    <row r="30" spans="1:52" ht="15" customHeight="1">
      <c r="A30" s="832" t="s">
        <v>1150</v>
      </c>
      <c r="B30" s="832">
        <v>2025</v>
      </c>
      <c r="C30" s="832" t="s">
        <v>1206</v>
      </c>
      <c r="D30" s="832" t="s">
        <v>1207</v>
      </c>
      <c r="E30" s="832" t="s">
        <v>333</v>
      </c>
      <c r="F30" s="832" t="s">
        <v>1119</v>
      </c>
      <c r="G30" s="832">
        <v>0</v>
      </c>
      <c r="H30" s="832">
        <v>0</v>
      </c>
      <c r="I30" s="832">
        <v>0</v>
      </c>
      <c r="J30" s="832">
        <v>0</v>
      </c>
      <c r="K30" s="832">
        <v>1365</v>
      </c>
      <c r="L30" s="832">
        <v>2665</v>
      </c>
      <c r="M30" s="832">
        <v>2665</v>
      </c>
      <c r="N30" s="832">
        <v>2665</v>
      </c>
      <c r="O30" s="832">
        <v>4030</v>
      </c>
      <c r="P30" s="832">
        <v>6124.58</v>
      </c>
      <c r="Q30" s="832">
        <v>8186.17</v>
      </c>
      <c r="R30" s="832">
        <v>10397.16</v>
      </c>
      <c r="S30" s="832">
        <v>744.2</v>
      </c>
      <c r="T30" s="832">
        <v>744.2</v>
      </c>
      <c r="U30" s="832">
        <v>0</v>
      </c>
      <c r="V30" s="832">
        <v>0</v>
      </c>
      <c r="W30" s="832">
        <v>0</v>
      </c>
      <c r="X30" s="832">
        <v>0</v>
      </c>
      <c r="Y30" s="832">
        <v>0</v>
      </c>
      <c r="Z30" s="832">
        <v>0</v>
      </c>
      <c r="AA30" s="832">
        <v>0</v>
      </c>
      <c r="AB30" s="832">
        <v>0</v>
      </c>
      <c r="AC30" s="832">
        <v>0</v>
      </c>
      <c r="AD30" s="832">
        <v>0</v>
      </c>
      <c r="AE30" s="832">
        <v>0</v>
      </c>
      <c r="AF30" s="832">
        <v>0</v>
      </c>
      <c r="AG30" s="832">
        <v>0</v>
      </c>
      <c r="AH30" s="832">
        <v>0</v>
      </c>
      <c r="AI30" s="832">
        <v>0</v>
      </c>
      <c r="AJ30" s="1030" t="str">
        <f t="shared" si="0"/>
        <v>H01235</v>
      </c>
      <c r="AK30" s="1030" t="str">
        <f t="shared" si="1"/>
        <v>NF CONCIERGERIE-NETTOYAGE</v>
      </c>
      <c r="AL30" s="1030">
        <f>IFERROR(INDEX(G30:R30,1,MATCH(Parametres!$B$3,G$1:R$1,0)-1)*IF(OR(F30="L",F30="S",F30="I"),-1,1),"")</f>
        <v>0</v>
      </c>
      <c r="AM30" s="1030">
        <f t="shared" si="2"/>
        <v>1365</v>
      </c>
      <c r="AN30" s="1030">
        <f>INDEX(G30:R30,1,MATCH(Parametres!$B$3,G$1:R$1,0))*IF(OR(F30="L",F30="S",F30="I"),-1,1)</f>
        <v>1365</v>
      </c>
      <c r="AO30" s="598" t="str">
        <f>+VLOOKUP($AJ30,Data_Validation!$A:$D,1,0)</f>
        <v>H01235</v>
      </c>
      <c r="AP30" s="598" t="str">
        <f>+VLOOKUP($AJ30,Data_Validation!$A:$D,3,0)</f>
        <v>Véhicules neufs</v>
      </c>
      <c r="AQ30" s="598" t="str">
        <f>+VLOOKUP($AJ30,Data_Validation!$A:$D,4,0)</f>
        <v>Services extérieurs</v>
      </c>
      <c r="AR30" s="598" t="s">
        <v>299</v>
      </c>
      <c r="AS30" s="598">
        <f>+VLOOKUP($AJ30,Data_Validation!$A:$E,5,0)</f>
        <v>0</v>
      </c>
      <c r="AT30" s="1036" t="str">
        <f t="shared" si="3"/>
        <v>H01235</v>
      </c>
      <c r="AU30" s="599" t="str">
        <f t="shared" si="4"/>
        <v>NF CONCIERGERIE-NETTOYAGE</v>
      </c>
      <c r="AV30" s="1030">
        <f>IFERROR(INDEX(V30:AG30,1,MATCH(Parametres!$B$3,V$1:AG$1,0)-1)*IF(OR(C30="L",C30="S",C30="I"),-1,1),"")</f>
        <v>0</v>
      </c>
      <c r="AW30" s="1030">
        <f t="shared" si="5"/>
        <v>0</v>
      </c>
      <c r="AX30" s="1030">
        <f>INDEX(V30:AG30,1,MATCH(Parametres!$B$3,V$1:AG$1,0))*IF(OR(C30="L",C30="S",C30="I"),-1,1)</f>
        <v>0</v>
      </c>
      <c r="AY30" s="598" t="s">
        <v>337</v>
      </c>
      <c r="AZ30" s="598">
        <f>+VLOOKUP($AJ30,Data_Validation!$A:$E,5,0)</f>
        <v>0</v>
      </c>
    </row>
    <row r="31" spans="1:52" ht="15" customHeight="1">
      <c r="A31" s="832" t="s">
        <v>1150</v>
      </c>
      <c r="B31" s="832">
        <v>2025</v>
      </c>
      <c r="C31" s="832" t="s">
        <v>1208</v>
      </c>
      <c r="D31" s="832" t="s">
        <v>1209</v>
      </c>
      <c r="E31" s="832" t="s">
        <v>333</v>
      </c>
      <c r="F31" s="832" t="s">
        <v>1119</v>
      </c>
      <c r="G31" s="832">
        <v>0</v>
      </c>
      <c r="H31" s="832">
        <v>198.99</v>
      </c>
      <c r="I31" s="832">
        <v>238.79</v>
      </c>
      <c r="J31" s="832">
        <v>278.58999999999997</v>
      </c>
      <c r="K31" s="832">
        <v>318.39</v>
      </c>
      <c r="L31" s="832">
        <v>358.19</v>
      </c>
      <c r="M31" s="832">
        <v>397.99</v>
      </c>
      <c r="N31" s="832">
        <v>437.79</v>
      </c>
      <c r="O31" s="832">
        <v>477.59</v>
      </c>
      <c r="P31" s="832">
        <v>518.84</v>
      </c>
      <c r="Q31" s="832">
        <v>559.30999999999995</v>
      </c>
      <c r="R31" s="832">
        <v>805.87</v>
      </c>
      <c r="S31" s="832">
        <v>50.85</v>
      </c>
      <c r="T31" s="832">
        <v>50.85</v>
      </c>
      <c r="U31" s="832">
        <v>0</v>
      </c>
      <c r="V31" s="832">
        <v>0</v>
      </c>
      <c r="W31" s="832">
        <v>0</v>
      </c>
      <c r="X31" s="832">
        <v>0</v>
      </c>
      <c r="Y31" s="832">
        <v>0</v>
      </c>
      <c r="Z31" s="832">
        <v>0</v>
      </c>
      <c r="AA31" s="832">
        <v>0</v>
      </c>
      <c r="AB31" s="832">
        <v>0</v>
      </c>
      <c r="AC31" s="832">
        <v>0</v>
      </c>
      <c r="AD31" s="832">
        <v>0</v>
      </c>
      <c r="AE31" s="832">
        <v>0</v>
      </c>
      <c r="AF31" s="832">
        <v>0</v>
      </c>
      <c r="AG31" s="832">
        <v>0</v>
      </c>
      <c r="AH31" s="832">
        <v>0</v>
      </c>
      <c r="AI31" s="832">
        <v>0</v>
      </c>
      <c r="AJ31" s="1030" t="str">
        <f t="shared" si="0"/>
        <v>H01240</v>
      </c>
      <c r="AK31" s="1030" t="str">
        <f t="shared" si="1"/>
        <v>NF ENT EQUIPMENT</v>
      </c>
      <c r="AL31" s="1030">
        <f>IFERROR(INDEX(G31:R31,1,MATCH(Parametres!$B$3,G$1:R$1,0)-1)*IF(OR(F31="L",F31="S",F31="I"),-1,1),"")</f>
        <v>278.58999999999997</v>
      </c>
      <c r="AM31" s="1030">
        <f t="shared" si="2"/>
        <v>39.800000000000011</v>
      </c>
      <c r="AN31" s="1030">
        <f>INDEX(G31:R31,1,MATCH(Parametres!$B$3,G$1:R$1,0))*IF(OR(F31="L",F31="S",F31="I"),-1,1)</f>
        <v>318.39</v>
      </c>
      <c r="AO31" s="598" t="str">
        <f>+VLOOKUP($AJ31,Data_Validation!$A:$D,1,0)</f>
        <v>H01240</v>
      </c>
      <c r="AP31" s="598" t="str">
        <f>+VLOOKUP($AJ31,Data_Validation!$A:$D,3,0)</f>
        <v>Véhicules neufs</v>
      </c>
      <c r="AQ31" s="598" t="str">
        <f>+VLOOKUP($AJ31,Data_Validation!$A:$D,4,0)</f>
        <v>Services extérieurs</v>
      </c>
      <c r="AR31" s="598" t="s">
        <v>299</v>
      </c>
      <c r="AS31" s="598">
        <f>+VLOOKUP($AJ31,Data_Validation!$A:$E,5,0)</f>
        <v>0</v>
      </c>
      <c r="AT31" s="1036" t="str">
        <f t="shared" si="3"/>
        <v>H01240</v>
      </c>
      <c r="AU31" s="599" t="str">
        <f t="shared" si="4"/>
        <v>NF ENT EQUIPMENT</v>
      </c>
      <c r="AV31" s="1030">
        <f>IFERROR(INDEX(V31:AG31,1,MATCH(Parametres!$B$3,V$1:AG$1,0)-1)*IF(OR(C31="L",C31="S",C31="I"),-1,1),"")</f>
        <v>0</v>
      </c>
      <c r="AW31" s="1030">
        <f t="shared" si="5"/>
        <v>0</v>
      </c>
      <c r="AX31" s="1030">
        <f>INDEX(V31:AG31,1,MATCH(Parametres!$B$3,V$1:AG$1,0))*IF(OR(C31="L",C31="S",C31="I"),-1,1)</f>
        <v>0</v>
      </c>
      <c r="AY31" s="598" t="s">
        <v>337</v>
      </c>
      <c r="AZ31" s="598">
        <f>+VLOOKUP($AJ31,Data_Validation!$A:$E,5,0)</f>
        <v>0</v>
      </c>
    </row>
    <row r="32" spans="1:52" ht="15" customHeight="1">
      <c r="A32" s="832" t="s">
        <v>1150</v>
      </c>
      <c r="B32" s="832">
        <v>2025</v>
      </c>
      <c r="C32" s="832" t="s">
        <v>1210</v>
      </c>
      <c r="D32" s="832" t="s">
        <v>1211</v>
      </c>
      <c r="E32" s="832" t="s">
        <v>333</v>
      </c>
      <c r="F32" s="832" t="s">
        <v>1119</v>
      </c>
      <c r="G32" s="832">
        <v>0</v>
      </c>
      <c r="H32" s="832">
        <v>0</v>
      </c>
      <c r="I32" s="832">
        <v>0</v>
      </c>
      <c r="J32" s="832">
        <v>0</v>
      </c>
      <c r="K32" s="832">
        <v>0</v>
      </c>
      <c r="L32" s="832">
        <v>0</v>
      </c>
      <c r="M32" s="832">
        <v>0</v>
      </c>
      <c r="N32" s="832">
        <v>0</v>
      </c>
      <c r="O32" s="832">
        <v>0</v>
      </c>
      <c r="P32" s="832">
        <v>0</v>
      </c>
      <c r="Q32" s="832">
        <v>0</v>
      </c>
      <c r="R32" s="832">
        <v>0</v>
      </c>
      <c r="S32" s="832">
        <v>0</v>
      </c>
      <c r="T32" s="832">
        <v>0</v>
      </c>
      <c r="U32" s="832">
        <v>0</v>
      </c>
      <c r="V32" s="832">
        <v>0</v>
      </c>
      <c r="W32" s="832">
        <v>0</v>
      </c>
      <c r="X32" s="832">
        <v>0</v>
      </c>
      <c r="Y32" s="832">
        <v>0</v>
      </c>
      <c r="Z32" s="832">
        <v>0</v>
      </c>
      <c r="AA32" s="832">
        <v>0</v>
      </c>
      <c r="AB32" s="832">
        <v>0</v>
      </c>
      <c r="AC32" s="832">
        <v>0</v>
      </c>
      <c r="AD32" s="832">
        <v>0</v>
      </c>
      <c r="AE32" s="832">
        <v>0</v>
      </c>
      <c r="AF32" s="832">
        <v>0</v>
      </c>
      <c r="AG32" s="832">
        <v>0</v>
      </c>
      <c r="AH32" s="832">
        <v>0</v>
      </c>
      <c r="AI32" s="832">
        <v>0</v>
      </c>
      <c r="AJ32" s="1030" t="str">
        <f t="shared" si="0"/>
        <v>H01241</v>
      </c>
      <c r="AK32" s="1030" t="str">
        <f t="shared" si="1"/>
        <v>NF VEH DE SERVITUDES</v>
      </c>
      <c r="AL32" s="1030">
        <f>IFERROR(INDEX(G32:R32,1,MATCH(Parametres!$B$3,G$1:R$1,0)-1)*IF(OR(F32="L",F32="S",F32="I"),-1,1),"")</f>
        <v>0</v>
      </c>
      <c r="AM32" s="1030">
        <f t="shared" si="2"/>
        <v>0</v>
      </c>
      <c r="AN32" s="1030">
        <f>INDEX(G32:R32,1,MATCH(Parametres!$B$3,G$1:R$1,0))*IF(OR(F32="L",F32="S",F32="I"),-1,1)</f>
        <v>0</v>
      </c>
      <c r="AO32" s="598" t="str">
        <f>+VLOOKUP($AJ32,Data_Validation!$A:$D,1,0)</f>
        <v>H01241</v>
      </c>
      <c r="AP32" s="598" t="str">
        <f>+VLOOKUP($AJ32,Data_Validation!$A:$D,3,0)</f>
        <v>Véhicules neufs</v>
      </c>
      <c r="AQ32" s="598" t="str">
        <f>+VLOOKUP($AJ32,Data_Validation!$A:$D,4,0)</f>
        <v>Frais véhicules de cie</v>
      </c>
      <c r="AR32" s="598" t="s">
        <v>299</v>
      </c>
      <c r="AS32" s="598">
        <f>+VLOOKUP($AJ32,Data_Validation!$A:$E,5,0)</f>
        <v>0</v>
      </c>
      <c r="AT32" s="1036" t="str">
        <f t="shared" si="3"/>
        <v>H01241</v>
      </c>
      <c r="AU32" s="599" t="str">
        <f t="shared" si="4"/>
        <v>NF VEH DE SERVITUDES</v>
      </c>
      <c r="AV32" s="1030">
        <f>IFERROR(INDEX(V32:AG32,1,MATCH(Parametres!$B$3,V$1:AG$1,0)-1)*IF(OR(C32="L",C32="S",C32="I"),-1,1),"")</f>
        <v>0</v>
      </c>
      <c r="AW32" s="1030">
        <f t="shared" si="5"/>
        <v>0</v>
      </c>
      <c r="AX32" s="1030">
        <f>INDEX(V32:AG32,1,MATCH(Parametres!$B$3,V$1:AG$1,0))*IF(OR(C32="L",C32="S",C32="I"),-1,1)</f>
        <v>0</v>
      </c>
      <c r="AY32" s="598" t="s">
        <v>337</v>
      </c>
      <c r="AZ32" s="598">
        <f>+VLOOKUP($AJ32,Data_Validation!$A:$E,5,0)</f>
        <v>0</v>
      </c>
    </row>
    <row r="33" spans="1:52" ht="15" customHeight="1">
      <c r="A33" s="832" t="s">
        <v>1150</v>
      </c>
      <c r="B33" s="832">
        <v>2025</v>
      </c>
      <c r="C33" s="832" t="s">
        <v>1212</v>
      </c>
      <c r="D33" s="832" t="s">
        <v>1213</v>
      </c>
      <c r="E33" s="832" t="s">
        <v>333</v>
      </c>
      <c r="F33" s="832" t="s">
        <v>1119</v>
      </c>
      <c r="G33" s="832">
        <v>0</v>
      </c>
      <c r="H33" s="832">
        <v>0</v>
      </c>
      <c r="I33" s="832">
        <v>0</v>
      </c>
      <c r="J33" s="832">
        <v>0</v>
      </c>
      <c r="K33" s="832">
        <v>0</v>
      </c>
      <c r="L33" s="832">
        <v>0</v>
      </c>
      <c r="M33" s="832">
        <v>0</v>
      </c>
      <c r="N33" s="832">
        <v>0</v>
      </c>
      <c r="O33" s="832">
        <v>0</v>
      </c>
      <c r="P33" s="832">
        <v>0</v>
      </c>
      <c r="Q33" s="832">
        <v>0</v>
      </c>
      <c r="R33" s="832">
        <v>0</v>
      </c>
      <c r="S33" s="832">
        <v>0</v>
      </c>
      <c r="T33" s="832">
        <v>0</v>
      </c>
      <c r="U33" s="832">
        <v>0</v>
      </c>
      <c r="V33" s="832">
        <v>0</v>
      </c>
      <c r="W33" s="832">
        <v>0</v>
      </c>
      <c r="X33" s="832">
        <v>0</v>
      </c>
      <c r="Y33" s="832">
        <v>0</v>
      </c>
      <c r="Z33" s="832">
        <v>0</v>
      </c>
      <c r="AA33" s="832">
        <v>0</v>
      </c>
      <c r="AB33" s="832">
        <v>0</v>
      </c>
      <c r="AC33" s="832">
        <v>0</v>
      </c>
      <c r="AD33" s="832">
        <v>0</v>
      </c>
      <c r="AE33" s="832">
        <v>0</v>
      </c>
      <c r="AF33" s="832">
        <v>0</v>
      </c>
      <c r="AG33" s="832">
        <v>0</v>
      </c>
      <c r="AH33" s="832">
        <v>0</v>
      </c>
      <c r="AI33" s="832">
        <v>0</v>
      </c>
      <c r="AJ33" s="1030" t="str">
        <f t="shared" si="0"/>
        <v>H01243</v>
      </c>
      <c r="AK33" s="1030" t="str">
        <f t="shared" si="1"/>
        <v>NF LOCATION EQUIPEMENT</v>
      </c>
      <c r="AL33" s="1030">
        <f>IFERROR(INDEX(G33:R33,1,MATCH(Parametres!$B$3,G$1:R$1,0)-1)*IF(OR(F33="L",F33="S",F33="I"),-1,1),"")</f>
        <v>0</v>
      </c>
      <c r="AM33" s="1030">
        <f t="shared" si="2"/>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t="str">
        <f t="shared" si="3"/>
        <v>H01243</v>
      </c>
      <c r="AU33" s="599" t="str">
        <f t="shared" si="4"/>
        <v>NF LOCATION EQUIPEMENT</v>
      </c>
      <c r="AV33" s="1030">
        <f>IFERROR(INDEX(V33:AG33,1,MATCH(Parametres!$B$3,V$1:AG$1,0)-1)*IF(OR(C33="L",C33="S",C33="I"),-1,1),"")</f>
        <v>0</v>
      </c>
      <c r="AW33" s="1030">
        <f t="shared" si="5"/>
        <v>0</v>
      </c>
      <c r="AX33" s="1030">
        <f>INDEX(V33:AG33,1,MATCH(Parametres!$B$3,V$1:AG$1,0))*IF(OR(C33="L",C33="S",C33="I"),-1,1)</f>
        <v>0</v>
      </c>
      <c r="AY33" s="598" t="s">
        <v>337</v>
      </c>
      <c r="AZ33" s="598" t="e">
        <f>+VLOOKUP($AJ33,Data_Validation!$A:$E,5,0)</f>
        <v>#N/A</v>
      </c>
    </row>
    <row r="34" spans="1:52" ht="15.75" customHeight="1">
      <c r="A34" s="832" t="s">
        <v>1150</v>
      </c>
      <c r="B34" s="832">
        <v>2025</v>
      </c>
      <c r="C34" s="832" t="s">
        <v>1214</v>
      </c>
      <c r="D34" s="832" t="s">
        <v>1215</v>
      </c>
      <c r="E34" s="832" t="s">
        <v>333</v>
      </c>
      <c r="F34" s="832" t="s">
        <v>1119</v>
      </c>
      <c r="G34" s="832">
        <v>1698.72</v>
      </c>
      <c r="H34" s="832">
        <v>3356.61</v>
      </c>
      <c r="I34" s="832">
        <v>5202.08</v>
      </c>
      <c r="J34" s="832">
        <v>7078.78</v>
      </c>
      <c r="K34" s="832">
        <v>8521.58</v>
      </c>
      <c r="L34" s="832">
        <v>10078.299999999999</v>
      </c>
      <c r="M34" s="832">
        <v>11874.62</v>
      </c>
      <c r="N34" s="832">
        <v>13345.81</v>
      </c>
      <c r="O34" s="832">
        <v>14866.22</v>
      </c>
      <c r="P34" s="832">
        <v>16568.8</v>
      </c>
      <c r="Q34" s="832">
        <v>17854.939999999999</v>
      </c>
      <c r="R34" s="832">
        <v>19425.37</v>
      </c>
      <c r="S34" s="832">
        <v>1623.18</v>
      </c>
      <c r="T34" s="832">
        <v>1623.18</v>
      </c>
      <c r="U34" s="832">
        <v>0</v>
      </c>
      <c r="V34" s="832">
        <v>0</v>
      </c>
      <c r="W34" s="832">
        <v>0</v>
      </c>
      <c r="X34" s="832">
        <v>0</v>
      </c>
      <c r="Y34" s="832">
        <v>0</v>
      </c>
      <c r="Z34" s="832">
        <v>0</v>
      </c>
      <c r="AA34" s="832">
        <v>0</v>
      </c>
      <c r="AB34" s="832">
        <v>0</v>
      </c>
      <c r="AC34" s="832">
        <v>0</v>
      </c>
      <c r="AD34" s="832">
        <v>0</v>
      </c>
      <c r="AE34" s="832">
        <v>0</v>
      </c>
      <c r="AF34" s="832">
        <v>0</v>
      </c>
      <c r="AG34" s="832">
        <v>0</v>
      </c>
      <c r="AH34" s="832">
        <v>0</v>
      </c>
      <c r="AI34" s="832">
        <v>0</v>
      </c>
      <c r="AJ34" s="1030" t="str">
        <f t="shared" si="0"/>
        <v>H01244</v>
      </c>
      <c r="AK34" s="1030" t="str">
        <f t="shared" si="1"/>
        <v>NF TRAITEMENT DES DONNEES</v>
      </c>
      <c r="AL34" s="1030">
        <f>IFERROR(INDEX(G34:R34,1,MATCH(Parametres!$B$3,G$1:R$1,0)-1)*IF(OR(F34="L",F34="S",F34="I"),-1,1),"")</f>
        <v>7078.78</v>
      </c>
      <c r="AM34" s="1030">
        <f t="shared" si="2"/>
        <v>1442.8000000000002</v>
      </c>
      <c r="AN34" s="1030">
        <f>INDEX(G34:R34,1,MATCH(Parametres!$B$3,G$1:R$1,0))*IF(OR(F34="L",F34="S",F34="I"),-1,1)</f>
        <v>8521.58</v>
      </c>
      <c r="AO34" s="598" t="str">
        <f>+VLOOKUP($AJ34,Data_Validation!$A:$D,1,0)</f>
        <v>H01244</v>
      </c>
      <c r="AP34" s="598" t="str">
        <f>+VLOOKUP($AJ34,Data_Validation!$A:$D,3,0)</f>
        <v>Véhicules neufs</v>
      </c>
      <c r="AQ34" s="598" t="str">
        <f>+VLOOKUP($AJ34,Data_Validation!$A:$D,4,0)</f>
        <v>Informatique</v>
      </c>
      <c r="AR34" s="598" t="s">
        <v>299</v>
      </c>
      <c r="AS34" s="598">
        <f>+VLOOKUP($AJ34,Data_Validation!$A:$E,5,0)</f>
        <v>0</v>
      </c>
      <c r="AT34" s="1036" t="str">
        <f t="shared" si="3"/>
        <v>H01244</v>
      </c>
      <c r="AU34" s="599" t="str">
        <f t="shared" si="4"/>
        <v>NF TRAITEMENT DES DONNEES</v>
      </c>
      <c r="AV34" s="1030">
        <f>IFERROR(INDEX(V34:AG34,1,MATCH(Parametres!$B$3,V$1:AG$1,0)-1)*IF(OR(C34="L",C34="S",C34="I"),-1,1),"")</f>
        <v>0</v>
      </c>
      <c r="AW34" s="1030">
        <f t="shared" si="5"/>
        <v>0</v>
      </c>
      <c r="AX34" s="1030">
        <f>INDEX(V34:AG34,1,MATCH(Parametres!$B$3,V$1:AG$1,0))*IF(OR(C34="L",C34="S",C34="I"),-1,1)</f>
        <v>0</v>
      </c>
      <c r="AY34" s="598" t="s">
        <v>337</v>
      </c>
      <c r="AZ34" s="598">
        <f>+VLOOKUP($AJ34,Data_Validation!$A:$E,5,0)</f>
        <v>0</v>
      </c>
    </row>
    <row r="35" spans="1:52" ht="15" customHeight="1">
      <c r="A35" s="832" t="s">
        <v>1150</v>
      </c>
      <c r="B35" s="832">
        <v>2025</v>
      </c>
      <c r="C35" s="832" t="s">
        <v>1216</v>
      </c>
      <c r="D35" s="832" t="s">
        <v>1217</v>
      </c>
      <c r="E35" s="832" t="s">
        <v>333</v>
      </c>
      <c r="F35" s="832" t="s">
        <v>1119</v>
      </c>
      <c r="G35" s="832">
        <v>2099.63</v>
      </c>
      <c r="H35" s="832">
        <v>2230.63</v>
      </c>
      <c r="I35" s="832">
        <v>2712.19</v>
      </c>
      <c r="J35" s="832">
        <v>3135.43</v>
      </c>
      <c r="K35" s="832">
        <v>3434.54</v>
      </c>
      <c r="L35" s="832">
        <v>3809.54</v>
      </c>
      <c r="M35" s="832">
        <v>4330.3599999999997</v>
      </c>
      <c r="N35" s="832">
        <v>5882.42</v>
      </c>
      <c r="O35" s="832">
        <v>6366.43</v>
      </c>
      <c r="P35" s="832">
        <v>6957.79</v>
      </c>
      <c r="Q35" s="832">
        <v>7390.46</v>
      </c>
      <c r="R35" s="832">
        <v>7818.09</v>
      </c>
      <c r="S35" s="832">
        <v>671.86</v>
      </c>
      <c r="T35" s="832">
        <v>671.86</v>
      </c>
      <c r="U35" s="832">
        <v>0</v>
      </c>
      <c r="V35" s="832">
        <v>0</v>
      </c>
      <c r="W35" s="832">
        <v>0</v>
      </c>
      <c r="X35" s="832">
        <v>0</v>
      </c>
      <c r="Y35" s="832">
        <v>0</v>
      </c>
      <c r="Z35" s="832">
        <v>0</v>
      </c>
      <c r="AA35" s="832">
        <v>0</v>
      </c>
      <c r="AB35" s="832">
        <v>0</v>
      </c>
      <c r="AC35" s="832">
        <v>0</v>
      </c>
      <c r="AD35" s="832">
        <v>0</v>
      </c>
      <c r="AE35" s="832">
        <v>0</v>
      </c>
      <c r="AF35" s="832">
        <v>0</v>
      </c>
      <c r="AG35" s="832">
        <v>0</v>
      </c>
      <c r="AH35" s="832">
        <v>0</v>
      </c>
      <c r="AI35" s="832">
        <v>0</v>
      </c>
      <c r="AJ35" s="1030" t="str">
        <f t="shared" si="0"/>
        <v>H01245</v>
      </c>
      <c r="AK35" s="1030" t="str">
        <f t="shared" si="1"/>
        <v>NF FRAIS REPRES/REPAS</v>
      </c>
      <c r="AL35" s="1030">
        <f>IFERROR(INDEX(G35:R35,1,MATCH(Parametres!$B$3,G$1:R$1,0)-1)*IF(OR(F35="L",F35="S",F35="I"),-1,1),"")</f>
        <v>3135.43</v>
      </c>
      <c r="AM35" s="1030">
        <f t="shared" si="2"/>
        <v>299.11000000000013</v>
      </c>
      <c r="AN35" s="1030">
        <f>INDEX(G35:R35,1,MATCH(Parametres!$B$3,G$1:R$1,0))*IF(OR(F35="L",F35="S",F35="I"),-1,1)</f>
        <v>3434.54</v>
      </c>
      <c r="AO35" s="598" t="str">
        <f>+VLOOKUP($AJ35,Data_Validation!$A:$D,1,0)</f>
        <v>H01245</v>
      </c>
      <c r="AP35" s="598" t="str">
        <f>+VLOOKUP($AJ35,Data_Validation!$A:$D,3,0)</f>
        <v>Véhicules neufs</v>
      </c>
      <c r="AQ35" s="598" t="str">
        <f>+VLOOKUP($AJ35,Data_Validation!$A:$D,4,0)</f>
        <v>Frais de déplacement</v>
      </c>
      <c r="AR35" s="598" t="s">
        <v>299</v>
      </c>
      <c r="AS35" s="598">
        <f>+VLOOKUP($AJ35,Data_Validation!$A:$E,5,0)</f>
        <v>0</v>
      </c>
      <c r="AT35" s="1036" t="str">
        <f t="shared" si="3"/>
        <v>H01245</v>
      </c>
      <c r="AU35" s="599" t="str">
        <f t="shared" si="4"/>
        <v>NF FRAIS REPRES/REPAS</v>
      </c>
      <c r="AV35" s="1030">
        <f>IFERROR(INDEX(V35:AG35,1,MATCH(Parametres!$B$3,V$1:AG$1,0)-1)*IF(OR(C35="L",C35="S",C35="I"),-1,1),"")</f>
        <v>0</v>
      </c>
      <c r="AW35" s="1030">
        <f t="shared" si="5"/>
        <v>0</v>
      </c>
      <c r="AX35" s="1030">
        <f>INDEX(V35:AG35,1,MATCH(Parametres!$B$3,V$1:AG$1,0))*IF(OR(C35="L",C35="S",C35="I"),-1,1)</f>
        <v>0</v>
      </c>
      <c r="AY35" s="598" t="s">
        <v>337</v>
      </c>
      <c r="AZ35" s="598">
        <f>+VLOOKUP($AJ35,Data_Validation!$A:$E,5,0)</f>
        <v>0</v>
      </c>
    </row>
    <row r="36" spans="1:52" ht="15" customHeight="1">
      <c r="A36" s="832" t="s">
        <v>1150</v>
      </c>
      <c r="B36" s="832">
        <v>2025</v>
      </c>
      <c r="C36" s="832" t="s">
        <v>1218</v>
      </c>
      <c r="D36" s="832" t="s">
        <v>1219</v>
      </c>
      <c r="E36" s="832" t="s">
        <v>333</v>
      </c>
      <c r="F36" s="832" t="s">
        <v>1119</v>
      </c>
      <c r="G36" s="832">
        <v>0</v>
      </c>
      <c r="H36" s="832">
        <v>0</v>
      </c>
      <c r="I36" s="832">
        <v>0</v>
      </c>
      <c r="J36" s="832">
        <v>0</v>
      </c>
      <c r="K36" s="832">
        <v>0</v>
      </c>
      <c r="L36" s="832">
        <v>0</v>
      </c>
      <c r="M36" s="832">
        <v>0</v>
      </c>
      <c r="N36" s="832">
        <v>0</v>
      </c>
      <c r="O36" s="832">
        <v>0</v>
      </c>
      <c r="P36" s="832">
        <v>6377.24</v>
      </c>
      <c r="Q36" s="832">
        <v>6377.24</v>
      </c>
      <c r="R36" s="832">
        <v>6377.24</v>
      </c>
      <c r="S36" s="832">
        <v>579.75</v>
      </c>
      <c r="T36" s="832">
        <v>579.75</v>
      </c>
      <c r="U36" s="832">
        <v>0</v>
      </c>
      <c r="V36" s="832">
        <v>0</v>
      </c>
      <c r="W36" s="832">
        <v>0</v>
      </c>
      <c r="X36" s="832">
        <v>0</v>
      </c>
      <c r="Y36" s="832">
        <v>0</v>
      </c>
      <c r="Z36" s="832">
        <v>0</v>
      </c>
      <c r="AA36" s="832">
        <v>0</v>
      </c>
      <c r="AB36" s="832">
        <v>0</v>
      </c>
      <c r="AC36" s="832">
        <v>0</v>
      </c>
      <c r="AD36" s="832">
        <v>0</v>
      </c>
      <c r="AE36" s="832">
        <v>0</v>
      </c>
      <c r="AF36" s="832">
        <v>0</v>
      </c>
      <c r="AG36" s="832">
        <v>0</v>
      </c>
      <c r="AH36" s="832">
        <v>0</v>
      </c>
      <c r="AI36" s="832">
        <v>0</v>
      </c>
      <c r="AJ36" s="1030" t="str">
        <f t="shared" si="0"/>
        <v>H01246</v>
      </c>
      <c r="AK36" s="1030" t="str">
        <f t="shared" si="1"/>
        <v>NF DEPLACEMENT-REPRESENT.</v>
      </c>
      <c r="AL36" s="1030">
        <f>IFERROR(INDEX(G36:R36,1,MATCH(Parametres!$B$3,G$1:R$1,0)-1)*IF(OR(F36="L",F36="S",F36="I"),-1,1),"")</f>
        <v>0</v>
      </c>
      <c r="AM36" s="1030">
        <f t="shared" si="2"/>
        <v>0</v>
      </c>
      <c r="AN36" s="1030">
        <f>INDEX(G36:R36,1,MATCH(Parametres!$B$3,G$1:R$1,0))*IF(OR(F36="L",F36="S",F36="I"),-1,1)</f>
        <v>0</v>
      </c>
      <c r="AO36" s="598" t="str">
        <f>+VLOOKUP($AJ36,Data_Validation!$A:$D,1,0)</f>
        <v>H01246</v>
      </c>
      <c r="AP36" s="598" t="str">
        <f>+VLOOKUP($AJ36,Data_Validation!$A:$D,3,0)</f>
        <v>Véhicules neufs</v>
      </c>
      <c r="AQ36" s="598" t="str">
        <f>+VLOOKUP($AJ36,Data_Validation!$A:$D,4,0)</f>
        <v>Frais de déplacement</v>
      </c>
      <c r="AR36" s="598" t="s">
        <v>299</v>
      </c>
      <c r="AS36" s="598">
        <f>+VLOOKUP($AJ36,Data_Validation!$A:$E,5,0)</f>
        <v>0</v>
      </c>
      <c r="AT36" s="1036" t="str">
        <f t="shared" si="3"/>
        <v>H01246</v>
      </c>
      <c r="AU36" s="599" t="str">
        <f t="shared" si="4"/>
        <v>NF DEPLACEMENT-REPRESENT.</v>
      </c>
      <c r="AV36" s="1030">
        <f>IFERROR(INDEX(V36:AG36,1,MATCH(Parametres!$B$3,V$1:AG$1,0)-1)*IF(OR(C36="L",C36="S",C36="I"),-1,1),"")</f>
        <v>0</v>
      </c>
      <c r="AW36" s="1030">
        <f t="shared" si="5"/>
        <v>0</v>
      </c>
      <c r="AX36" s="1030">
        <f>INDEX(V36:AG36,1,MATCH(Parametres!$B$3,V$1:AG$1,0))*IF(OR(C36="L",C36="S",C36="I"),-1,1)</f>
        <v>0</v>
      </c>
      <c r="AY36" s="598" t="s">
        <v>337</v>
      </c>
      <c r="AZ36" s="598">
        <f>+VLOOKUP($AJ36,Data_Validation!$A:$E,5,0)</f>
        <v>0</v>
      </c>
    </row>
    <row r="37" spans="1:52" ht="15" customHeight="1">
      <c r="A37" s="832" t="s">
        <v>1150</v>
      </c>
      <c r="B37" s="832">
        <v>2025</v>
      </c>
      <c r="C37" s="832" t="s">
        <v>1220</v>
      </c>
      <c r="D37" s="832" t="s">
        <v>1221</v>
      </c>
      <c r="E37" s="832" t="s">
        <v>333</v>
      </c>
      <c r="F37" s="832" t="s">
        <v>1119</v>
      </c>
      <c r="G37" s="832">
        <v>56.04</v>
      </c>
      <c r="H37" s="832">
        <v>215.83</v>
      </c>
      <c r="I37" s="832">
        <v>292.13</v>
      </c>
      <c r="J37" s="832">
        <v>396.77</v>
      </c>
      <c r="K37" s="832">
        <v>449.12</v>
      </c>
      <c r="L37" s="832">
        <v>501.47</v>
      </c>
      <c r="M37" s="832">
        <v>602.85</v>
      </c>
      <c r="N37" s="832">
        <v>782.17</v>
      </c>
      <c r="O37" s="832">
        <v>858.27</v>
      </c>
      <c r="P37" s="832">
        <v>974.37</v>
      </c>
      <c r="Q37" s="832">
        <v>1074.47</v>
      </c>
      <c r="R37" s="832">
        <v>1153.3900000000001</v>
      </c>
      <c r="S37" s="832">
        <v>97.68</v>
      </c>
      <c r="T37" s="832">
        <v>97.68</v>
      </c>
      <c r="U37" s="832">
        <v>0</v>
      </c>
      <c r="V37" s="832">
        <v>0</v>
      </c>
      <c r="W37" s="832">
        <v>0</v>
      </c>
      <c r="X37" s="832">
        <v>0</v>
      </c>
      <c r="Y37" s="832">
        <v>0</v>
      </c>
      <c r="Z37" s="832">
        <v>0</v>
      </c>
      <c r="AA37" s="832">
        <v>0</v>
      </c>
      <c r="AB37" s="832">
        <v>0</v>
      </c>
      <c r="AC37" s="832">
        <v>0</v>
      </c>
      <c r="AD37" s="832">
        <v>0</v>
      </c>
      <c r="AE37" s="832">
        <v>0</v>
      </c>
      <c r="AF37" s="832">
        <v>0</v>
      </c>
      <c r="AG37" s="832">
        <v>0</v>
      </c>
      <c r="AH37" s="832">
        <v>0</v>
      </c>
      <c r="AI37" s="832">
        <v>0</v>
      </c>
      <c r="AJ37" s="1030" t="str">
        <f t="shared" si="0"/>
        <v>H01247</v>
      </c>
      <c r="AK37" s="1030" t="str">
        <f t="shared" si="1"/>
        <v>NF TELEPHONE-TELEGRAMMES</v>
      </c>
      <c r="AL37" s="1030">
        <f>IFERROR(INDEX(G37:R37,1,MATCH(Parametres!$B$3,G$1:R$1,0)-1)*IF(OR(F37="L",F37="S",F37="I"),-1,1),"")</f>
        <v>396.77</v>
      </c>
      <c r="AM37" s="1030">
        <f t="shared" si="2"/>
        <v>52.350000000000023</v>
      </c>
      <c r="AN37" s="1030">
        <f>INDEX(G37:R37,1,MATCH(Parametres!$B$3,G$1:R$1,0))*IF(OR(F37="L",F37="S",F37="I"),-1,1)</f>
        <v>449.12</v>
      </c>
      <c r="AO37" s="598" t="str">
        <f>+VLOOKUP($AJ37,Data_Validation!$A:$D,1,0)</f>
        <v>H01247</v>
      </c>
      <c r="AP37" s="598" t="str">
        <f>+VLOOKUP($AJ37,Data_Validation!$A:$D,3,0)</f>
        <v>Véhicules neufs</v>
      </c>
      <c r="AQ37" s="598" t="str">
        <f>+VLOOKUP($AJ37,Data_Validation!$A:$D,4,0)</f>
        <v>Téléphone</v>
      </c>
      <c r="AR37" s="598" t="s">
        <v>299</v>
      </c>
      <c r="AS37" s="598">
        <f>+VLOOKUP($AJ37,Data_Validation!$A:$E,5,0)</f>
        <v>0</v>
      </c>
      <c r="AT37" s="1036" t="str">
        <f t="shared" si="3"/>
        <v>H01247</v>
      </c>
      <c r="AU37" s="599" t="str">
        <f t="shared" si="4"/>
        <v>NF TELEPHONE-TELEGRAMMES</v>
      </c>
      <c r="AV37" s="1030">
        <f>IFERROR(INDEX(V37:AG37,1,MATCH(Parametres!$B$3,V$1:AG$1,0)-1)*IF(OR(C37="L",C37="S",C37="I"),-1,1),"")</f>
        <v>0</v>
      </c>
      <c r="AW37" s="1030">
        <f t="shared" si="5"/>
        <v>0</v>
      </c>
      <c r="AX37" s="1030">
        <f>INDEX(V37:AG37,1,MATCH(Parametres!$B$3,V$1:AG$1,0))*IF(OR(C37="L",C37="S",C37="I"),-1,1)</f>
        <v>0</v>
      </c>
      <c r="AY37" s="598" t="s">
        <v>337</v>
      </c>
      <c r="AZ37" s="598">
        <f>+VLOOKUP($AJ37,Data_Validation!$A:$E,5,0)</f>
        <v>0</v>
      </c>
    </row>
    <row r="38" spans="1:52" ht="15" customHeight="1">
      <c r="A38" s="832" t="s">
        <v>1150</v>
      </c>
      <c r="B38" s="832">
        <v>2025</v>
      </c>
      <c r="C38" s="832" t="s">
        <v>1222</v>
      </c>
      <c r="D38" s="832" t="s">
        <v>1223</v>
      </c>
      <c r="E38" s="832" t="s">
        <v>333</v>
      </c>
      <c r="F38" s="832" t="s">
        <v>1119</v>
      </c>
      <c r="G38" s="832">
        <v>0</v>
      </c>
      <c r="H38" s="832">
        <v>0</v>
      </c>
      <c r="I38" s="832">
        <v>0</v>
      </c>
      <c r="J38" s="832">
        <v>0</v>
      </c>
      <c r="K38" s="832">
        <v>0</v>
      </c>
      <c r="L38" s="832">
        <v>0</v>
      </c>
      <c r="M38" s="832">
        <v>0</v>
      </c>
      <c r="N38" s="832">
        <v>0</v>
      </c>
      <c r="O38" s="832">
        <v>0</v>
      </c>
      <c r="P38" s="832">
        <v>0</v>
      </c>
      <c r="Q38" s="832">
        <v>0</v>
      </c>
      <c r="R38" s="832">
        <v>0</v>
      </c>
      <c r="S38" s="832">
        <v>0</v>
      </c>
      <c r="T38" s="832">
        <v>0</v>
      </c>
      <c r="U38" s="832">
        <v>0</v>
      </c>
      <c r="V38" s="832">
        <v>0</v>
      </c>
      <c r="W38" s="832">
        <v>0</v>
      </c>
      <c r="X38" s="832">
        <v>0</v>
      </c>
      <c r="Y38" s="832">
        <v>0</v>
      </c>
      <c r="Z38" s="832">
        <v>0</v>
      </c>
      <c r="AA38" s="832">
        <v>0</v>
      </c>
      <c r="AB38" s="832">
        <v>0</v>
      </c>
      <c r="AC38" s="832">
        <v>0</v>
      </c>
      <c r="AD38" s="832">
        <v>0</v>
      </c>
      <c r="AE38" s="832">
        <v>0</v>
      </c>
      <c r="AF38" s="832">
        <v>0</v>
      </c>
      <c r="AG38" s="832">
        <v>0</v>
      </c>
      <c r="AH38" s="832">
        <v>0</v>
      </c>
      <c r="AI38" s="832">
        <v>0</v>
      </c>
      <c r="AJ38" s="1030" t="str">
        <f t="shared" si="0"/>
        <v>H01248</v>
      </c>
      <c r="AK38" s="1030" t="str">
        <f t="shared" si="1"/>
        <v>NF FRAIS POSTAUX</v>
      </c>
      <c r="AL38" s="1030">
        <f>IFERROR(INDEX(G38:R38,1,MATCH(Parametres!$B$3,G$1:R$1,0)-1)*IF(OR(F38="L",F38="S",F38="I"),-1,1),"")</f>
        <v>0</v>
      </c>
      <c r="AM38" s="1030">
        <f t="shared" si="2"/>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t="str">
        <f t="shared" si="3"/>
        <v>H01248</v>
      </c>
      <c r="AU38" s="599" t="str">
        <f t="shared" si="4"/>
        <v>NF FRAIS POSTAUX</v>
      </c>
      <c r="AV38" s="1030">
        <f>IFERROR(INDEX(V38:AG38,1,MATCH(Parametres!$B$3,V$1:AG$1,0)-1)*IF(OR(C38="L",C38="S",C38="I"),-1,1),"")</f>
        <v>0</v>
      </c>
      <c r="AW38" s="1030">
        <f t="shared" si="5"/>
        <v>0</v>
      </c>
      <c r="AX38" s="1030">
        <f>INDEX(V38:AG38,1,MATCH(Parametres!$B$3,V$1:AG$1,0))*IF(OR(C38="L",C38="S",C38="I"),-1,1)</f>
        <v>0</v>
      </c>
      <c r="AY38" s="598" t="s">
        <v>337</v>
      </c>
      <c r="AZ38" s="598" t="e">
        <f>+VLOOKUP($AJ38,Data_Validation!$A:$E,5,0)</f>
        <v>#N/A</v>
      </c>
    </row>
    <row r="39" spans="1:52" ht="15" customHeight="1">
      <c r="A39" s="832" t="s">
        <v>1150</v>
      </c>
      <c r="B39" s="832">
        <v>2025</v>
      </c>
      <c r="C39" s="832" t="s">
        <v>1224</v>
      </c>
      <c r="D39" s="832" t="s">
        <v>1225</v>
      </c>
      <c r="E39" s="832" t="s">
        <v>333</v>
      </c>
      <c r="F39" s="832" t="s">
        <v>1119</v>
      </c>
      <c r="G39" s="832">
        <v>62.93</v>
      </c>
      <c r="H39" s="832">
        <v>62.93</v>
      </c>
      <c r="I39" s="832">
        <v>62.93</v>
      </c>
      <c r="J39" s="832">
        <v>62.93</v>
      </c>
      <c r="K39" s="832">
        <v>62.93</v>
      </c>
      <c r="L39" s="832">
        <v>74.87</v>
      </c>
      <c r="M39" s="832">
        <v>227.88</v>
      </c>
      <c r="N39" s="832">
        <v>308.5</v>
      </c>
      <c r="O39" s="832">
        <v>441.23</v>
      </c>
      <c r="P39" s="832">
        <v>559.02</v>
      </c>
      <c r="Q39" s="832">
        <v>711.7</v>
      </c>
      <c r="R39" s="832">
        <v>753.66</v>
      </c>
      <c r="S39" s="832">
        <v>64.7</v>
      </c>
      <c r="T39" s="832">
        <v>64.7</v>
      </c>
      <c r="U39" s="832">
        <v>0</v>
      </c>
      <c r="V39" s="832">
        <v>0</v>
      </c>
      <c r="W39" s="832">
        <v>0</v>
      </c>
      <c r="X39" s="832">
        <v>0</v>
      </c>
      <c r="Y39" s="832">
        <v>0</v>
      </c>
      <c r="Z39" s="832">
        <v>0</v>
      </c>
      <c r="AA39" s="832">
        <v>0</v>
      </c>
      <c r="AB39" s="832">
        <v>0</v>
      </c>
      <c r="AC39" s="832">
        <v>0</v>
      </c>
      <c r="AD39" s="832">
        <v>0</v>
      </c>
      <c r="AE39" s="832">
        <v>0</v>
      </c>
      <c r="AF39" s="832">
        <v>0</v>
      </c>
      <c r="AG39" s="832">
        <v>0</v>
      </c>
      <c r="AH39" s="832">
        <v>0</v>
      </c>
      <c r="AI39" s="832">
        <v>0</v>
      </c>
      <c r="AJ39" s="1030" t="str">
        <f t="shared" si="0"/>
        <v>H01249</v>
      </c>
      <c r="AK39" s="1030" t="str">
        <f t="shared" si="1"/>
        <v>NF FRET &amp; MESSAGERIE</v>
      </c>
      <c r="AL39" s="1030">
        <f>IFERROR(INDEX(G39:R39,1,MATCH(Parametres!$B$3,G$1:R$1,0)-1)*IF(OR(F39="L",F39="S",F39="I"),-1,1),"")</f>
        <v>62.93</v>
      </c>
      <c r="AM39" s="1030">
        <f t="shared" si="2"/>
        <v>0</v>
      </c>
      <c r="AN39" s="1030">
        <f>INDEX(G39:R39,1,MATCH(Parametres!$B$3,G$1:R$1,0))*IF(OR(F39="L",F39="S",F39="I"),-1,1)</f>
        <v>62.93</v>
      </c>
      <c r="AO39" s="598" t="str">
        <f>+VLOOKUP($AJ39,Data_Validation!$A:$D,1,0)</f>
        <v>H01249</v>
      </c>
      <c r="AP39" s="598" t="str">
        <f>+VLOOKUP($AJ39,Data_Validation!$A:$D,3,0)</f>
        <v>Véhicules neufs</v>
      </c>
      <c r="AQ39" s="598" t="str">
        <f>+VLOOKUP($AJ39,Data_Validation!$A:$D,4,0)</f>
        <v>Frais postaux</v>
      </c>
      <c r="AR39" s="598" t="s">
        <v>299</v>
      </c>
      <c r="AS39" s="598">
        <f>+VLOOKUP($AJ39,Data_Validation!$A:$E,5,0)</f>
        <v>0</v>
      </c>
      <c r="AT39" s="1036" t="str">
        <f t="shared" si="3"/>
        <v>H01249</v>
      </c>
      <c r="AU39" s="599" t="str">
        <f t="shared" si="4"/>
        <v>NF FRET &amp; MESSAGERIE</v>
      </c>
      <c r="AV39" s="1030">
        <f>IFERROR(INDEX(V39:AG39,1,MATCH(Parametres!$B$3,V$1:AG$1,0)-1)*IF(OR(C39="L",C39="S",C39="I"),-1,1),"")</f>
        <v>0</v>
      </c>
      <c r="AW39" s="1030">
        <f t="shared" si="5"/>
        <v>0</v>
      </c>
      <c r="AX39" s="1030">
        <f>INDEX(V39:AG39,1,MATCH(Parametres!$B$3,V$1:AG$1,0))*IF(OR(C39="L",C39="S",C39="I"),-1,1)</f>
        <v>0</v>
      </c>
      <c r="AY39" s="598" t="s">
        <v>337</v>
      </c>
      <c r="AZ39" s="598">
        <f>+VLOOKUP($AJ39,Data_Validation!$A:$E,5,0)</f>
        <v>0</v>
      </c>
    </row>
    <row r="40" spans="1:52" ht="15.75" customHeight="1">
      <c r="A40" s="832" t="s">
        <v>1150</v>
      </c>
      <c r="B40" s="832">
        <v>2025</v>
      </c>
      <c r="C40" s="832" t="s">
        <v>1226</v>
      </c>
      <c r="D40" s="832" t="s">
        <v>1227</v>
      </c>
      <c r="E40" s="832" t="s">
        <v>333</v>
      </c>
      <c r="F40" s="832" t="s">
        <v>1119</v>
      </c>
      <c r="G40" s="832">
        <v>62.5</v>
      </c>
      <c r="H40" s="832">
        <v>62.5</v>
      </c>
      <c r="I40" s="832">
        <v>62.5</v>
      </c>
      <c r="J40" s="832">
        <v>62.5</v>
      </c>
      <c r="K40" s="832">
        <v>62.5</v>
      </c>
      <c r="L40" s="832">
        <v>62.5</v>
      </c>
      <c r="M40" s="832">
        <v>62.5</v>
      </c>
      <c r="N40" s="832">
        <v>62.5</v>
      </c>
      <c r="O40" s="832">
        <v>62.5</v>
      </c>
      <c r="P40" s="832">
        <v>62.5</v>
      </c>
      <c r="Q40" s="832">
        <v>62.5</v>
      </c>
      <c r="R40" s="832">
        <v>62.5</v>
      </c>
      <c r="S40" s="832">
        <v>5.68</v>
      </c>
      <c r="T40" s="832">
        <v>5.68</v>
      </c>
      <c r="U40" s="832">
        <v>0</v>
      </c>
      <c r="V40" s="832">
        <v>0</v>
      </c>
      <c r="W40" s="832">
        <v>0</v>
      </c>
      <c r="X40" s="832">
        <v>0</v>
      </c>
      <c r="Y40" s="832">
        <v>0</v>
      </c>
      <c r="Z40" s="832">
        <v>0</v>
      </c>
      <c r="AA40" s="832">
        <v>0</v>
      </c>
      <c r="AB40" s="832">
        <v>0</v>
      </c>
      <c r="AC40" s="832">
        <v>0</v>
      </c>
      <c r="AD40" s="832">
        <v>0</v>
      </c>
      <c r="AE40" s="832">
        <v>0</v>
      </c>
      <c r="AF40" s="832">
        <v>0</v>
      </c>
      <c r="AG40" s="832">
        <v>0</v>
      </c>
      <c r="AH40" s="832">
        <v>0</v>
      </c>
      <c r="AI40" s="832">
        <v>0</v>
      </c>
      <c r="AJ40" s="1030" t="str">
        <f t="shared" si="0"/>
        <v>H01252</v>
      </c>
      <c r="AK40" s="1030" t="str">
        <f t="shared" si="1"/>
        <v>NF FRAIS DIVERS</v>
      </c>
      <c r="AL40" s="1030">
        <f>IFERROR(INDEX(G40:R40,1,MATCH(Parametres!$B$3,G$1:R$1,0)-1)*IF(OR(F40="L",F40="S",F40="I"),-1,1),"")</f>
        <v>62.5</v>
      </c>
      <c r="AM40" s="1030">
        <f t="shared" si="2"/>
        <v>0</v>
      </c>
      <c r="AN40" s="1030">
        <f>INDEX(G40:R40,1,MATCH(Parametres!$B$3,G$1:R$1,0))*IF(OR(F40="L",F40="S",F40="I"),-1,1)</f>
        <v>62.5</v>
      </c>
      <c r="AO40" s="598" t="str">
        <f>+VLOOKUP($AJ40,Data_Validation!$A:$D,1,0)</f>
        <v>H01252</v>
      </c>
      <c r="AP40" s="598" t="str">
        <f>+VLOOKUP($AJ40,Data_Validation!$A:$D,3,0)</f>
        <v>Véhicules neufs</v>
      </c>
      <c r="AQ40" s="598" t="str">
        <f>+VLOOKUP($AJ40,Data_Validation!$A:$D,4,0)</f>
        <v>Divers</v>
      </c>
      <c r="AR40" s="598" t="s">
        <v>299</v>
      </c>
      <c r="AS40" s="598">
        <f>+VLOOKUP($AJ40,Data_Validation!$A:$E,5,0)</f>
        <v>0</v>
      </c>
      <c r="AT40" s="1036" t="str">
        <f t="shared" si="3"/>
        <v>H01252</v>
      </c>
      <c r="AU40" s="599" t="str">
        <f t="shared" si="4"/>
        <v>NF FRAIS DIVERS</v>
      </c>
      <c r="AV40" s="1030">
        <f>IFERROR(INDEX(V40:AG40,1,MATCH(Parametres!$B$3,V$1:AG$1,0)-1)*IF(OR(C40="L",C40="S",C40="I"),-1,1),"")</f>
        <v>0</v>
      </c>
      <c r="AW40" s="1030">
        <f t="shared" si="5"/>
        <v>0</v>
      </c>
      <c r="AX40" s="1030">
        <f>INDEX(V40:AG40,1,MATCH(Parametres!$B$3,V$1:AG$1,0))*IF(OR(C40="L",C40="S",C40="I"),-1,1)</f>
        <v>0</v>
      </c>
      <c r="AY40" s="598" t="s">
        <v>337</v>
      </c>
      <c r="AZ40" s="598">
        <f>+VLOOKUP($AJ40,Data_Validation!$A:$E,5,0)</f>
        <v>0</v>
      </c>
    </row>
    <row r="41" spans="1:52" ht="15" customHeight="1">
      <c r="A41" s="832" t="s">
        <v>1150</v>
      </c>
      <c r="B41" s="832">
        <v>2025</v>
      </c>
      <c r="C41" s="832" t="s">
        <v>1228</v>
      </c>
      <c r="D41" s="832" t="s">
        <v>1229</v>
      </c>
      <c r="E41" s="832" t="s">
        <v>333</v>
      </c>
      <c r="F41" s="832" t="s">
        <v>1119</v>
      </c>
      <c r="G41" s="832">
        <v>0</v>
      </c>
      <c r="H41" s="832">
        <v>0</v>
      </c>
      <c r="I41" s="832">
        <v>0</v>
      </c>
      <c r="J41" s="832">
        <v>0</v>
      </c>
      <c r="K41" s="832">
        <v>0</v>
      </c>
      <c r="L41" s="832">
        <v>0</v>
      </c>
      <c r="M41" s="832">
        <v>0</v>
      </c>
      <c r="N41" s="832">
        <v>0</v>
      </c>
      <c r="O41" s="832">
        <v>0</v>
      </c>
      <c r="P41" s="832">
        <v>0</v>
      </c>
      <c r="Q41" s="832">
        <v>0</v>
      </c>
      <c r="R41" s="832">
        <v>0</v>
      </c>
      <c r="S41" s="832">
        <v>0</v>
      </c>
      <c r="T41" s="832">
        <v>0</v>
      </c>
      <c r="U41" s="832">
        <v>0</v>
      </c>
      <c r="V41" s="832">
        <v>0</v>
      </c>
      <c r="W41" s="832">
        <v>0</v>
      </c>
      <c r="X41" s="832">
        <v>0</v>
      </c>
      <c r="Y41" s="832">
        <v>0</v>
      </c>
      <c r="Z41" s="832">
        <v>0</v>
      </c>
      <c r="AA41" s="832">
        <v>0</v>
      </c>
      <c r="AB41" s="832">
        <v>0</v>
      </c>
      <c r="AC41" s="832">
        <v>0</v>
      </c>
      <c r="AD41" s="832">
        <v>0</v>
      </c>
      <c r="AE41" s="832">
        <v>0</v>
      </c>
      <c r="AF41" s="832">
        <v>0</v>
      </c>
      <c r="AG41" s="832">
        <v>0</v>
      </c>
      <c r="AH41" s="832">
        <v>0</v>
      </c>
      <c r="AI41" s="832">
        <v>0</v>
      </c>
      <c r="AJ41" s="1030" t="str">
        <f t="shared" si="0"/>
        <v>H01253</v>
      </c>
      <c r="AK41" s="1030" t="str">
        <f t="shared" si="1"/>
        <v>NF RESERVE DOMMAGE</v>
      </c>
      <c r="AL41" s="1030">
        <f>IFERROR(INDEX(G41:R41,1,MATCH(Parametres!$B$3,G$1:R$1,0)-1)*IF(OR(F41="L",F41="S",F41="I"),-1,1),"")</f>
        <v>0</v>
      </c>
      <c r="AM41" s="1030">
        <f t="shared" si="2"/>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t="str">
        <f t="shared" si="3"/>
        <v>H01253</v>
      </c>
      <c r="AU41" s="599" t="str">
        <f t="shared" si="4"/>
        <v>NF RESERVE DOMMAGE</v>
      </c>
      <c r="AV41" s="1030">
        <f>IFERROR(INDEX(V41:AG41,1,MATCH(Parametres!$B$3,V$1:AG$1,0)-1)*IF(OR(C41="L",C41="S",C41="I"),-1,1),"")</f>
        <v>0</v>
      </c>
      <c r="AW41" s="1030">
        <f t="shared" si="5"/>
        <v>0</v>
      </c>
      <c r="AX41" s="1030">
        <f>INDEX(V41:AG41,1,MATCH(Parametres!$B$3,V$1:AG$1,0))*IF(OR(C41="L",C41="S",C41="I"),-1,1)</f>
        <v>0</v>
      </c>
      <c r="AY41" s="598" t="s">
        <v>337</v>
      </c>
      <c r="AZ41" s="598" t="e">
        <f>+VLOOKUP($AJ41,Data_Validation!$A:$E,5,0)</f>
        <v>#N/A</v>
      </c>
    </row>
    <row r="42" spans="1:52" ht="15" customHeight="1">
      <c r="A42" s="832" t="s">
        <v>1150</v>
      </c>
      <c r="B42" s="832">
        <v>2025</v>
      </c>
      <c r="C42" s="832" t="s">
        <v>1230</v>
      </c>
      <c r="D42" s="832" t="s">
        <v>1231</v>
      </c>
      <c r="E42" s="832" t="s">
        <v>333</v>
      </c>
      <c r="F42" s="832" t="s">
        <v>1119</v>
      </c>
      <c r="G42" s="832">
        <v>32500</v>
      </c>
      <c r="H42" s="832">
        <v>65000</v>
      </c>
      <c r="I42" s="832">
        <v>97500</v>
      </c>
      <c r="J42" s="832">
        <v>130000</v>
      </c>
      <c r="K42" s="832">
        <v>162500</v>
      </c>
      <c r="L42" s="832">
        <v>195000</v>
      </c>
      <c r="M42" s="832">
        <v>227500</v>
      </c>
      <c r="N42" s="832">
        <v>260000</v>
      </c>
      <c r="O42" s="832">
        <v>292500</v>
      </c>
      <c r="P42" s="832">
        <v>325000</v>
      </c>
      <c r="Q42" s="832">
        <v>357500</v>
      </c>
      <c r="R42" s="832">
        <v>381250</v>
      </c>
      <c r="S42" s="832">
        <v>32500</v>
      </c>
      <c r="T42" s="832">
        <v>32500</v>
      </c>
      <c r="U42" s="832">
        <v>0</v>
      </c>
      <c r="V42" s="832">
        <v>0</v>
      </c>
      <c r="W42" s="832">
        <v>0</v>
      </c>
      <c r="X42" s="832">
        <v>0</v>
      </c>
      <c r="Y42" s="832">
        <v>0</v>
      </c>
      <c r="Z42" s="832">
        <v>0</v>
      </c>
      <c r="AA42" s="832">
        <v>0</v>
      </c>
      <c r="AB42" s="832">
        <v>0</v>
      </c>
      <c r="AC42" s="832">
        <v>0</v>
      </c>
      <c r="AD42" s="832">
        <v>0</v>
      </c>
      <c r="AE42" s="832">
        <v>0</v>
      </c>
      <c r="AF42" s="832">
        <v>0</v>
      </c>
      <c r="AG42" s="832">
        <v>0</v>
      </c>
      <c r="AH42" s="832">
        <v>0</v>
      </c>
      <c r="AI42" s="832">
        <v>0</v>
      </c>
      <c r="AJ42" s="1030" t="str">
        <f t="shared" si="0"/>
        <v>H01260</v>
      </c>
      <c r="AK42" s="1030" t="str">
        <f t="shared" si="1"/>
        <v>NF LOYER INT HYPOTH.</v>
      </c>
      <c r="AL42" s="1030">
        <f>IFERROR(INDEX(G42:R42,1,MATCH(Parametres!$B$3,G$1:R$1,0)-1)*IF(OR(F42="L",F42="S",F42="I"),-1,1),"")</f>
        <v>130000</v>
      </c>
      <c r="AM42" s="1030">
        <f t="shared" si="2"/>
        <v>32500</v>
      </c>
      <c r="AN42" s="1030">
        <f>INDEX(G42:R42,1,MATCH(Parametres!$B$3,G$1:R$1,0))*IF(OR(F42="L",F42="S",F42="I"),-1,1)</f>
        <v>162500</v>
      </c>
      <c r="AO42" s="598" t="str">
        <f>+VLOOKUP($AJ42,Data_Validation!$A:$D,1,0)</f>
        <v>H01260</v>
      </c>
      <c r="AP42" s="598" t="str">
        <f>+VLOOKUP($AJ42,Data_Validation!$A:$D,3,0)</f>
        <v>Véhicules neufs</v>
      </c>
      <c r="AQ42" s="598" t="str">
        <f>+VLOOKUP($AJ42,Data_Validation!$A:$D,4,0)</f>
        <v>Loyer</v>
      </c>
      <c r="AR42" s="598" t="s">
        <v>299</v>
      </c>
      <c r="AS42" s="598">
        <f>+VLOOKUP($AJ42,Data_Validation!$A:$E,5,0)</f>
        <v>0</v>
      </c>
      <c r="AT42" s="1036" t="str">
        <f t="shared" si="3"/>
        <v>H01260</v>
      </c>
      <c r="AU42" s="599" t="str">
        <f t="shared" si="4"/>
        <v>NF LOYER INT HYPOTH.</v>
      </c>
      <c r="AV42" s="1030">
        <f>IFERROR(INDEX(V42:AG42,1,MATCH(Parametres!$B$3,V$1:AG$1,0)-1)*IF(OR(C42="L",C42="S",C42="I"),-1,1),"")</f>
        <v>0</v>
      </c>
      <c r="AW42" s="1030">
        <f t="shared" si="5"/>
        <v>0</v>
      </c>
      <c r="AX42" s="1030">
        <f>INDEX(V42:AG42,1,MATCH(Parametres!$B$3,V$1:AG$1,0))*IF(OR(C42="L",C42="S",C42="I"),-1,1)</f>
        <v>0</v>
      </c>
      <c r="AY42" s="598" t="s">
        <v>337</v>
      </c>
      <c r="AZ42" s="598">
        <f>+VLOOKUP($AJ42,Data_Validation!$A:$E,5,0)</f>
        <v>0</v>
      </c>
    </row>
    <row r="43" spans="1:52" ht="15" customHeight="1">
      <c r="A43" s="832" t="s">
        <v>1150</v>
      </c>
      <c r="B43" s="832">
        <v>2025</v>
      </c>
      <c r="C43" s="832" t="s">
        <v>1232</v>
      </c>
      <c r="D43" s="832" t="s">
        <v>1233</v>
      </c>
      <c r="E43" s="832" t="s">
        <v>333</v>
      </c>
      <c r="F43" s="832" t="s">
        <v>1119</v>
      </c>
      <c r="G43" s="832">
        <v>148.16</v>
      </c>
      <c r="H43" s="832">
        <v>296.32</v>
      </c>
      <c r="I43" s="832">
        <v>440.3</v>
      </c>
      <c r="J43" s="832">
        <v>581.4</v>
      </c>
      <c r="K43" s="832">
        <v>752.96</v>
      </c>
      <c r="L43" s="832">
        <v>921.09</v>
      </c>
      <c r="M43" s="832">
        <v>1052.8800000000001</v>
      </c>
      <c r="N43" s="832">
        <v>1182.04</v>
      </c>
      <c r="O43" s="832">
        <v>1308.6099999999999</v>
      </c>
      <c r="P43" s="832">
        <v>1365.55</v>
      </c>
      <c r="Q43" s="832">
        <v>1420.23</v>
      </c>
      <c r="R43" s="832">
        <v>1474.91</v>
      </c>
      <c r="S43" s="832">
        <v>129.11000000000001</v>
      </c>
      <c r="T43" s="832">
        <v>129.11000000000001</v>
      </c>
      <c r="U43" s="832">
        <v>0</v>
      </c>
      <c r="V43" s="832">
        <v>0</v>
      </c>
      <c r="W43" s="832">
        <v>0</v>
      </c>
      <c r="X43" s="832">
        <v>0</v>
      </c>
      <c r="Y43" s="832">
        <v>0</v>
      </c>
      <c r="Z43" s="832">
        <v>0</v>
      </c>
      <c r="AA43" s="832">
        <v>0</v>
      </c>
      <c r="AB43" s="832">
        <v>0</v>
      </c>
      <c r="AC43" s="832">
        <v>0</v>
      </c>
      <c r="AD43" s="832">
        <v>0</v>
      </c>
      <c r="AE43" s="832">
        <v>0</v>
      </c>
      <c r="AF43" s="832">
        <v>0</v>
      </c>
      <c r="AG43" s="832">
        <v>0</v>
      </c>
      <c r="AH43" s="832">
        <v>0</v>
      </c>
      <c r="AI43" s="832">
        <v>0</v>
      </c>
      <c r="AJ43" s="1030" t="str">
        <f t="shared" si="0"/>
        <v>H01261</v>
      </c>
      <c r="AK43" s="1030" t="str">
        <f t="shared" si="1"/>
        <v>NF AMORT AMELIOR  LOC</v>
      </c>
      <c r="AL43" s="1030">
        <f>IFERROR(INDEX(G43:R43,1,MATCH(Parametres!$B$3,G$1:R$1,0)-1)*IF(OR(F43="L",F43="S",F43="I"),-1,1),"")</f>
        <v>581.4</v>
      </c>
      <c r="AM43" s="1030">
        <f t="shared" si="2"/>
        <v>171.56000000000006</v>
      </c>
      <c r="AN43" s="1030">
        <f>INDEX(G43:R43,1,MATCH(Parametres!$B$3,G$1:R$1,0))*IF(OR(F43="L",F43="S",F43="I"),-1,1)</f>
        <v>752.96</v>
      </c>
      <c r="AO43" s="598" t="str">
        <f>+VLOOKUP($AJ43,Data_Validation!$A:$D,1,0)</f>
        <v>H01261</v>
      </c>
      <c r="AP43" s="598" t="str">
        <f>+VLOOKUP($AJ43,Data_Validation!$A:$D,3,0)</f>
        <v>Véhicules neufs</v>
      </c>
      <c r="AQ43" s="598" t="str">
        <f>+VLOOKUP($AJ43,Data_Validation!$A:$D,4,0)</f>
        <v>Amortissement</v>
      </c>
      <c r="AR43" s="598" t="s">
        <v>299</v>
      </c>
      <c r="AS43" s="598">
        <f>+VLOOKUP($AJ43,Data_Validation!$A:$E,5,0)</f>
        <v>0</v>
      </c>
      <c r="AT43" s="1036" t="str">
        <f t="shared" si="3"/>
        <v>H01261</v>
      </c>
      <c r="AU43" s="599" t="str">
        <f t="shared" si="4"/>
        <v>NF AMORT AMELIOR  LOC</v>
      </c>
      <c r="AV43" s="1030">
        <f>IFERROR(INDEX(V43:AG43,1,MATCH(Parametres!$B$3,V$1:AG$1,0)-1)*IF(OR(C43="L",C43="S",C43="I"),-1,1),"")</f>
        <v>0</v>
      </c>
      <c r="AW43" s="1030">
        <f t="shared" si="5"/>
        <v>0</v>
      </c>
      <c r="AX43" s="1030">
        <f>INDEX(V43:AG43,1,MATCH(Parametres!$B$3,V$1:AG$1,0))*IF(OR(C43="L",C43="S",C43="I"),-1,1)</f>
        <v>0</v>
      </c>
      <c r="AY43" s="598" t="s">
        <v>337</v>
      </c>
      <c r="AZ43" s="598">
        <f>+VLOOKUP($AJ43,Data_Validation!$A:$E,5,0)</f>
        <v>0</v>
      </c>
    </row>
    <row r="44" spans="1:52" ht="15.75" customHeight="1">
      <c r="A44" s="832" t="s">
        <v>1150</v>
      </c>
      <c r="B44" s="832">
        <v>2025</v>
      </c>
      <c r="C44" s="832" t="s">
        <v>1234</v>
      </c>
      <c r="D44" s="832" t="s">
        <v>1235</v>
      </c>
      <c r="E44" s="832" t="s">
        <v>333</v>
      </c>
      <c r="F44" s="832" t="s">
        <v>1119</v>
      </c>
      <c r="G44" s="832">
        <v>1759.27</v>
      </c>
      <c r="H44" s="832">
        <v>5011.2299999999996</v>
      </c>
      <c r="I44" s="832">
        <v>10399.879999999999</v>
      </c>
      <c r="J44" s="832">
        <v>13108.81</v>
      </c>
      <c r="K44" s="832">
        <v>14659.46</v>
      </c>
      <c r="L44" s="832">
        <v>16129.8</v>
      </c>
      <c r="M44" s="832">
        <v>19454.169999999998</v>
      </c>
      <c r="N44" s="832">
        <v>21996.73</v>
      </c>
      <c r="O44" s="832">
        <v>23615.759999999998</v>
      </c>
      <c r="P44" s="832">
        <v>25691.17</v>
      </c>
      <c r="Q44" s="832">
        <v>26486.400000000001</v>
      </c>
      <c r="R44" s="832">
        <v>26727.62</v>
      </c>
      <c r="S44" s="832">
        <v>2407.85</v>
      </c>
      <c r="T44" s="832">
        <v>2407.85</v>
      </c>
      <c r="U44" s="832">
        <v>0</v>
      </c>
      <c r="V44" s="832">
        <v>0</v>
      </c>
      <c r="W44" s="832">
        <v>0</v>
      </c>
      <c r="X44" s="832">
        <v>0</v>
      </c>
      <c r="Y44" s="832">
        <v>0</v>
      </c>
      <c r="Z44" s="832">
        <v>0</v>
      </c>
      <c r="AA44" s="832">
        <v>0</v>
      </c>
      <c r="AB44" s="832">
        <v>0</v>
      </c>
      <c r="AC44" s="832">
        <v>0</v>
      </c>
      <c r="AD44" s="832">
        <v>0</v>
      </c>
      <c r="AE44" s="832">
        <v>0</v>
      </c>
      <c r="AF44" s="832">
        <v>0</v>
      </c>
      <c r="AG44" s="832">
        <v>0</v>
      </c>
      <c r="AH44" s="832">
        <v>0</v>
      </c>
      <c r="AI44" s="832">
        <v>0</v>
      </c>
      <c r="AJ44" s="1030" t="str">
        <f t="shared" si="0"/>
        <v>H01262</v>
      </c>
      <c r="AK44" s="1030" t="str">
        <f t="shared" si="1"/>
        <v>NF ENTRERIEN PROPRIÉTÉ</v>
      </c>
      <c r="AL44" s="1030">
        <f>IFERROR(INDEX(G44:R44,1,MATCH(Parametres!$B$3,G$1:R$1,0)-1)*IF(OR(F44="L",F44="S",F44="I"),-1,1),"")</f>
        <v>13108.81</v>
      </c>
      <c r="AM44" s="1030">
        <f t="shared" si="2"/>
        <v>1550.6499999999996</v>
      </c>
      <c r="AN44" s="1030">
        <f>INDEX(G44:R44,1,MATCH(Parametres!$B$3,G$1:R$1,0))*IF(OR(F44="L",F44="S",F44="I"),-1,1)</f>
        <v>14659.46</v>
      </c>
      <c r="AO44" s="598" t="str">
        <f>+VLOOKUP($AJ44,Data_Validation!$A:$D,1,0)</f>
        <v>H01262</v>
      </c>
      <c r="AP44" s="598" t="str">
        <f>+VLOOKUP($AJ44,Data_Validation!$A:$D,3,0)</f>
        <v>Autres</v>
      </c>
      <c r="AQ44" s="598" t="str">
        <f>+VLOOKUP($AJ44,Data_Validation!$A:$D,4,0)</f>
        <v>Services extérieurs</v>
      </c>
      <c r="AR44" s="598" t="s">
        <v>299</v>
      </c>
      <c r="AS44" s="598">
        <f>+VLOOKUP($AJ44,Data_Validation!$A:$E,5,0)</f>
        <v>0</v>
      </c>
      <c r="AT44" s="1036" t="str">
        <f t="shared" si="3"/>
        <v>H01262</v>
      </c>
      <c r="AU44" s="599" t="str">
        <f t="shared" si="4"/>
        <v>NF ENTRERIEN PROPRIÉTÉ</v>
      </c>
      <c r="AV44" s="1030">
        <f>IFERROR(INDEX(V44:AG44,1,MATCH(Parametres!$B$3,V$1:AG$1,0)-1)*IF(OR(C44="L",C44="S",C44="I"),-1,1),"")</f>
        <v>0</v>
      </c>
      <c r="AW44" s="1030">
        <f t="shared" si="5"/>
        <v>0</v>
      </c>
      <c r="AX44" s="1030">
        <f>INDEX(V44:AG44,1,MATCH(Parametres!$B$3,V$1:AG$1,0))*IF(OR(C44="L",C44="S",C44="I"),-1,1)</f>
        <v>0</v>
      </c>
      <c r="AY44" s="598" t="s">
        <v>337</v>
      </c>
      <c r="AZ44" s="598">
        <f>+VLOOKUP($AJ44,Data_Validation!$A:$E,5,0)</f>
        <v>0</v>
      </c>
    </row>
    <row r="45" spans="1:52" ht="15" customHeight="1">
      <c r="A45" s="832" t="s">
        <v>1150</v>
      </c>
      <c r="B45" s="832">
        <v>2025</v>
      </c>
      <c r="C45" s="832" t="s">
        <v>1236</v>
      </c>
      <c r="D45" s="832" t="s">
        <v>1237</v>
      </c>
      <c r="E45" s="832" t="s">
        <v>333</v>
      </c>
      <c r="F45" s="832" t="s">
        <v>1119</v>
      </c>
      <c r="G45" s="832">
        <v>13676.84</v>
      </c>
      <c r="H45" s="832">
        <v>27819.26</v>
      </c>
      <c r="I45" s="832">
        <v>42106.21</v>
      </c>
      <c r="J45" s="832">
        <v>56393.16</v>
      </c>
      <c r="K45" s="832">
        <v>70680.11</v>
      </c>
      <c r="L45" s="832">
        <v>84967.06</v>
      </c>
      <c r="M45" s="832">
        <v>99254.01</v>
      </c>
      <c r="N45" s="832">
        <v>113540.96</v>
      </c>
      <c r="O45" s="832">
        <v>130559.94</v>
      </c>
      <c r="P45" s="832">
        <v>141638.63</v>
      </c>
      <c r="Q45" s="832">
        <v>155925.57999999999</v>
      </c>
      <c r="R45" s="832">
        <v>161833.09</v>
      </c>
      <c r="S45" s="832">
        <v>14175.05</v>
      </c>
      <c r="T45" s="832">
        <v>14175.05</v>
      </c>
      <c r="U45" s="832">
        <v>0</v>
      </c>
      <c r="V45" s="832">
        <v>0</v>
      </c>
      <c r="W45" s="832">
        <v>0</v>
      </c>
      <c r="X45" s="832">
        <v>0</v>
      </c>
      <c r="Y45" s="832">
        <v>0</v>
      </c>
      <c r="Z45" s="832">
        <v>0</v>
      </c>
      <c r="AA45" s="832">
        <v>0</v>
      </c>
      <c r="AB45" s="832">
        <v>0</v>
      </c>
      <c r="AC45" s="832">
        <v>0</v>
      </c>
      <c r="AD45" s="832">
        <v>0</v>
      </c>
      <c r="AE45" s="832">
        <v>0</v>
      </c>
      <c r="AF45" s="832">
        <v>0</v>
      </c>
      <c r="AG45" s="832">
        <v>0</v>
      </c>
      <c r="AH45" s="832">
        <v>0</v>
      </c>
      <c r="AI45" s="832">
        <v>0</v>
      </c>
      <c r="AJ45" s="1030" t="str">
        <f t="shared" si="0"/>
        <v>H01263</v>
      </c>
      <c r="AK45" s="1030" t="str">
        <f t="shared" si="1"/>
        <v>NF TAXES PROPRIÉTÉ</v>
      </c>
      <c r="AL45" s="1030">
        <f>IFERROR(INDEX(G45:R45,1,MATCH(Parametres!$B$3,G$1:R$1,0)-1)*IF(OR(F45="L",F45="S",F45="I"),-1,1),"")</f>
        <v>56393.16</v>
      </c>
      <c r="AM45" s="1030">
        <f t="shared" si="2"/>
        <v>14286.949999999997</v>
      </c>
      <c r="AN45" s="1030">
        <f>INDEX(G45:R45,1,MATCH(Parametres!$B$3,G$1:R$1,0))*IF(OR(F45="L",F45="S",F45="I"),-1,1)</f>
        <v>70680.11</v>
      </c>
      <c r="AO45" s="598" t="str">
        <f>+VLOOKUP($AJ45,Data_Validation!$A:$D,1,0)</f>
        <v>H01263</v>
      </c>
      <c r="AP45" s="598" t="str">
        <f>+VLOOKUP($AJ45,Data_Validation!$A:$D,3,0)</f>
        <v>Véhicules neufs</v>
      </c>
      <c r="AQ45" s="598" t="str">
        <f>+VLOOKUP($AJ45,Data_Validation!$A:$D,4,0)</f>
        <v>Taxes foncières</v>
      </c>
      <c r="AR45" s="598" t="s">
        <v>299</v>
      </c>
      <c r="AS45" s="598">
        <f>+VLOOKUP($AJ45,Data_Validation!$A:$E,5,0)</f>
        <v>0</v>
      </c>
      <c r="AT45" s="1036" t="str">
        <f t="shared" si="3"/>
        <v>H01263</v>
      </c>
      <c r="AU45" s="599" t="str">
        <f t="shared" si="4"/>
        <v>NF TAXES PROPRIÉTÉ</v>
      </c>
      <c r="AV45" s="1030">
        <f>IFERROR(INDEX(V45:AG45,1,MATCH(Parametres!$B$3,V$1:AG$1,0)-1)*IF(OR(C45="L",C45="S",C45="I"),-1,1),"")</f>
        <v>0</v>
      </c>
      <c r="AW45" s="1030">
        <f t="shared" si="5"/>
        <v>0</v>
      </c>
      <c r="AX45" s="1030">
        <f>INDEX(V45:AG45,1,MATCH(Parametres!$B$3,V$1:AG$1,0))*IF(OR(C45="L",C45="S",C45="I"),-1,1)</f>
        <v>0</v>
      </c>
      <c r="AY45" s="598" t="s">
        <v>337</v>
      </c>
      <c r="AZ45" s="598">
        <f>+VLOOKUP($AJ45,Data_Validation!$A:$E,5,0)</f>
        <v>0</v>
      </c>
    </row>
    <row r="46" spans="1:52" ht="15" customHeight="1">
      <c r="A46" s="832" t="s">
        <v>1150</v>
      </c>
      <c r="B46" s="832">
        <v>2025</v>
      </c>
      <c r="C46" s="832" t="s">
        <v>1238</v>
      </c>
      <c r="D46" s="832" t="s">
        <v>1239</v>
      </c>
      <c r="E46" s="832" t="s">
        <v>333</v>
      </c>
      <c r="F46" s="832" t="s">
        <v>1119</v>
      </c>
      <c r="G46" s="832">
        <v>1184.5999999999999</v>
      </c>
      <c r="H46" s="832">
        <v>2369.1999999999998</v>
      </c>
      <c r="I46" s="832">
        <v>3553.8</v>
      </c>
      <c r="J46" s="832">
        <v>4738.3999999999996</v>
      </c>
      <c r="K46" s="832">
        <v>5923</v>
      </c>
      <c r="L46" s="832">
        <v>7107.6</v>
      </c>
      <c r="M46" s="832">
        <v>8292.2000000000007</v>
      </c>
      <c r="N46" s="832">
        <v>9330.68</v>
      </c>
      <c r="O46" s="832">
        <v>10369.16</v>
      </c>
      <c r="P46" s="832">
        <v>11407.64</v>
      </c>
      <c r="Q46" s="832">
        <v>12138.04</v>
      </c>
      <c r="R46" s="832">
        <v>12868.44</v>
      </c>
      <c r="S46" s="832">
        <v>1103.46</v>
      </c>
      <c r="T46" s="832">
        <v>1103.46</v>
      </c>
      <c r="U46" s="832">
        <v>0</v>
      </c>
      <c r="V46" s="832">
        <v>0</v>
      </c>
      <c r="W46" s="832">
        <v>0</v>
      </c>
      <c r="X46" s="832">
        <v>0</v>
      </c>
      <c r="Y46" s="832">
        <v>0</v>
      </c>
      <c r="Z46" s="832">
        <v>0</v>
      </c>
      <c r="AA46" s="832">
        <v>0</v>
      </c>
      <c r="AB46" s="832">
        <v>0</v>
      </c>
      <c r="AC46" s="832">
        <v>0</v>
      </c>
      <c r="AD46" s="832">
        <v>0</v>
      </c>
      <c r="AE46" s="832">
        <v>0</v>
      </c>
      <c r="AF46" s="832">
        <v>0</v>
      </c>
      <c r="AG46" s="832">
        <v>0</v>
      </c>
      <c r="AH46" s="832">
        <v>0</v>
      </c>
      <c r="AI46" s="832">
        <v>0</v>
      </c>
      <c r="AJ46" s="1030" t="str">
        <f t="shared" si="0"/>
        <v>H01264</v>
      </c>
      <c r="AK46" s="1030" t="str">
        <f t="shared" si="1"/>
        <v>NF ASSURANCE BATIMENT</v>
      </c>
      <c r="AL46" s="1030">
        <f>IFERROR(INDEX(G46:R46,1,MATCH(Parametres!$B$3,G$1:R$1,0)-1)*IF(OR(F46="L",F46="S",F46="I"),-1,1),"")</f>
        <v>4738.3999999999996</v>
      </c>
      <c r="AM46" s="1030">
        <f t="shared" si="2"/>
        <v>1184.6000000000004</v>
      </c>
      <c r="AN46" s="1030">
        <f>INDEX(G46:R46,1,MATCH(Parametres!$B$3,G$1:R$1,0))*IF(OR(F46="L",F46="S",F46="I"),-1,1)</f>
        <v>5923</v>
      </c>
      <c r="AO46" s="598" t="str">
        <f>+VLOOKUP($AJ46,Data_Validation!$A:$D,1,0)</f>
        <v>H01264</v>
      </c>
      <c r="AP46" s="598" t="str">
        <f>+VLOOKUP($AJ46,Data_Validation!$A:$D,3,0)</f>
        <v>Véhicules neufs</v>
      </c>
      <c r="AQ46" s="598" t="str">
        <f>+VLOOKUP($AJ46,Data_Validation!$A:$D,4,0)</f>
        <v>Assurances</v>
      </c>
      <c r="AR46" s="598" t="s">
        <v>299</v>
      </c>
      <c r="AS46" s="598">
        <f>+VLOOKUP($AJ46,Data_Validation!$A:$E,5,0)</f>
        <v>0</v>
      </c>
      <c r="AT46" s="1036" t="str">
        <f t="shared" si="3"/>
        <v>H01264</v>
      </c>
      <c r="AU46" s="599" t="str">
        <f t="shared" si="4"/>
        <v>NF ASSURANCE BATIMENT</v>
      </c>
      <c r="AV46" s="1030">
        <f>IFERROR(INDEX(V46:AG46,1,MATCH(Parametres!$B$3,V$1:AG$1,0)-1)*IF(OR(C46="L",C46="S",C46="I"),-1,1),"")</f>
        <v>0</v>
      </c>
      <c r="AW46" s="1030">
        <f t="shared" si="5"/>
        <v>0</v>
      </c>
      <c r="AX46" s="1030">
        <f>INDEX(V46:AG46,1,MATCH(Parametres!$B$3,V$1:AG$1,0))*IF(OR(C46="L",C46="S",C46="I"),-1,1)</f>
        <v>0</v>
      </c>
      <c r="AY46" s="598" t="s">
        <v>337</v>
      </c>
      <c r="AZ46" s="598">
        <f>+VLOOKUP($AJ46,Data_Validation!$A:$E,5,0)</f>
        <v>0</v>
      </c>
    </row>
    <row r="47" spans="1:52" ht="15" customHeight="1">
      <c r="A47" s="832" t="s">
        <v>1150</v>
      </c>
      <c r="B47" s="832">
        <v>2025</v>
      </c>
      <c r="C47" s="832" t="s">
        <v>1240</v>
      </c>
      <c r="D47" s="832" t="s">
        <v>1241</v>
      </c>
      <c r="E47" s="832" t="s">
        <v>333</v>
      </c>
      <c r="F47" s="832" t="s">
        <v>1119</v>
      </c>
      <c r="G47" s="832">
        <v>0</v>
      </c>
      <c r="H47" s="832">
        <v>0</v>
      </c>
      <c r="I47" s="832">
        <v>0</v>
      </c>
      <c r="J47" s="832">
        <v>0</v>
      </c>
      <c r="K47" s="832">
        <v>0</v>
      </c>
      <c r="L47" s="832">
        <v>0</v>
      </c>
      <c r="M47" s="832">
        <v>0</v>
      </c>
      <c r="N47" s="832">
        <v>0</v>
      </c>
      <c r="O47" s="832">
        <v>0</v>
      </c>
      <c r="P47" s="832">
        <v>0</v>
      </c>
      <c r="Q47" s="832">
        <v>0</v>
      </c>
      <c r="R47" s="832">
        <v>0</v>
      </c>
      <c r="S47" s="832">
        <v>0</v>
      </c>
      <c r="T47" s="832">
        <v>0</v>
      </c>
      <c r="U47" s="832">
        <v>0</v>
      </c>
      <c r="V47" s="832">
        <v>0</v>
      </c>
      <c r="W47" s="832">
        <v>0</v>
      </c>
      <c r="X47" s="832">
        <v>0</v>
      </c>
      <c r="Y47" s="832">
        <v>0</v>
      </c>
      <c r="Z47" s="832">
        <v>0</v>
      </c>
      <c r="AA47" s="832">
        <v>0</v>
      </c>
      <c r="AB47" s="832">
        <v>0</v>
      </c>
      <c r="AC47" s="832">
        <v>0</v>
      </c>
      <c r="AD47" s="832">
        <v>0</v>
      </c>
      <c r="AE47" s="832">
        <v>0</v>
      </c>
      <c r="AF47" s="832">
        <v>0</v>
      </c>
      <c r="AG47" s="832">
        <v>0</v>
      </c>
      <c r="AH47" s="832">
        <v>0</v>
      </c>
      <c r="AI47" s="832">
        <v>0</v>
      </c>
      <c r="AJ47" s="1030" t="str">
        <f t="shared" si="0"/>
        <v>H01265</v>
      </c>
      <c r="AK47" s="1030" t="str">
        <f t="shared" si="1"/>
        <v>NF AMORT BATIMENT</v>
      </c>
      <c r="AL47" s="1030">
        <f>IFERROR(INDEX(G47:R47,1,MATCH(Parametres!$B$3,G$1:R$1,0)-1)*IF(OR(F47="L",F47="S",F47="I"),-1,1),"")</f>
        <v>0</v>
      </c>
      <c r="AM47" s="1030">
        <f t="shared" si="2"/>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t="str">
        <f t="shared" si="3"/>
        <v>H01265</v>
      </c>
      <c r="AU47" s="599" t="str">
        <f t="shared" si="4"/>
        <v>NF AMORT BATIMENT</v>
      </c>
      <c r="AV47" s="1030">
        <f>IFERROR(INDEX(V47:AG47,1,MATCH(Parametres!$B$3,V$1:AG$1,0)-1)*IF(OR(C47="L",C47="S",C47="I"),-1,1),"")</f>
        <v>0</v>
      </c>
      <c r="AW47" s="1030">
        <f t="shared" si="5"/>
        <v>0</v>
      </c>
      <c r="AX47" s="1030">
        <f>INDEX(V47:AG47,1,MATCH(Parametres!$B$3,V$1:AG$1,0))*IF(OR(C47="L",C47="S",C47="I"),-1,1)</f>
        <v>0</v>
      </c>
      <c r="AY47" s="598" t="s">
        <v>337</v>
      </c>
      <c r="AZ47" s="598" t="e">
        <f>+VLOOKUP($AJ47,Data_Validation!$A:$E,5,0)</f>
        <v>#N/A</v>
      </c>
    </row>
    <row r="48" spans="1:52" ht="15.75" customHeight="1">
      <c r="A48" s="832" t="s">
        <v>1150</v>
      </c>
      <c r="B48" s="832">
        <v>2025</v>
      </c>
      <c r="C48" s="832" t="s">
        <v>1242</v>
      </c>
      <c r="D48" s="832" t="s">
        <v>1243</v>
      </c>
      <c r="E48" s="832" t="s">
        <v>333</v>
      </c>
      <c r="F48" s="832" t="s">
        <v>1119</v>
      </c>
      <c r="G48" s="832">
        <v>0</v>
      </c>
      <c r="H48" s="832">
        <v>0</v>
      </c>
      <c r="I48" s="832">
        <v>0</v>
      </c>
      <c r="J48" s="832">
        <v>0</v>
      </c>
      <c r="K48" s="832">
        <v>0</v>
      </c>
      <c r="L48" s="832">
        <v>0</v>
      </c>
      <c r="M48" s="832">
        <v>0</v>
      </c>
      <c r="N48" s="832">
        <v>0</v>
      </c>
      <c r="O48" s="832">
        <v>0</v>
      </c>
      <c r="P48" s="832">
        <v>0</v>
      </c>
      <c r="Q48" s="832">
        <v>0</v>
      </c>
      <c r="R48" s="832">
        <v>0</v>
      </c>
      <c r="S48" s="832">
        <v>0</v>
      </c>
      <c r="T48" s="832">
        <v>0</v>
      </c>
      <c r="U48" s="832">
        <v>0</v>
      </c>
      <c r="V48" s="832">
        <v>0</v>
      </c>
      <c r="W48" s="832">
        <v>0</v>
      </c>
      <c r="X48" s="832">
        <v>0</v>
      </c>
      <c r="Y48" s="832">
        <v>0</v>
      </c>
      <c r="Z48" s="832">
        <v>0</v>
      </c>
      <c r="AA48" s="832">
        <v>0</v>
      </c>
      <c r="AB48" s="832">
        <v>0</v>
      </c>
      <c r="AC48" s="832">
        <v>0</v>
      </c>
      <c r="AD48" s="832">
        <v>0</v>
      </c>
      <c r="AE48" s="832">
        <v>0</v>
      </c>
      <c r="AF48" s="832">
        <v>0</v>
      </c>
      <c r="AG48" s="832">
        <v>0</v>
      </c>
      <c r="AH48" s="832">
        <v>0</v>
      </c>
      <c r="AI48" s="832">
        <v>0</v>
      </c>
      <c r="AJ48" s="1030" t="str">
        <f t="shared" si="0"/>
        <v>H01268</v>
      </c>
      <c r="AK48" s="1030" t="str">
        <f t="shared" si="1"/>
        <v>NF TAXES AFFAIRES &amp;AUTRES</v>
      </c>
      <c r="AL48" s="1030">
        <f>IFERROR(INDEX(G48:R48,1,MATCH(Parametres!$B$3,G$1:R$1,0)-1)*IF(OR(F48="L",F48="S",F48="I"),-1,1),"")</f>
        <v>0</v>
      </c>
      <c r="AM48" s="1030">
        <f t="shared" si="2"/>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t="str">
        <f t="shared" si="3"/>
        <v>H01268</v>
      </c>
      <c r="AU48" s="599" t="str">
        <f t="shared" si="4"/>
        <v>NF TAXES AFFAIRES &amp;AUTRES</v>
      </c>
      <c r="AV48" s="1030">
        <f>IFERROR(INDEX(V48:AG48,1,MATCH(Parametres!$B$3,V$1:AG$1,0)-1)*IF(OR(C48="L",C48="S",C48="I"),-1,1),"")</f>
        <v>0</v>
      </c>
      <c r="AW48" s="1030">
        <f t="shared" si="5"/>
        <v>0</v>
      </c>
      <c r="AX48" s="1030">
        <f>INDEX(V48:AG48,1,MATCH(Parametres!$B$3,V$1:AG$1,0))*IF(OR(C48="L",C48="S",C48="I"),-1,1)</f>
        <v>0</v>
      </c>
      <c r="AY48" s="598" t="s">
        <v>337</v>
      </c>
      <c r="AZ48" s="598" t="e">
        <f>+VLOOKUP($AJ48,Data_Validation!$A:$E,5,0)</f>
        <v>#N/A</v>
      </c>
    </row>
    <row r="49" spans="1:52" ht="15" customHeight="1">
      <c r="A49" s="832" t="s">
        <v>1150</v>
      </c>
      <c r="B49" s="832">
        <v>2025</v>
      </c>
      <c r="C49" s="832" t="s">
        <v>1244</v>
      </c>
      <c r="D49" s="832" t="s">
        <v>1245</v>
      </c>
      <c r="E49" s="832" t="s">
        <v>333</v>
      </c>
      <c r="F49" s="832" t="s">
        <v>1119</v>
      </c>
      <c r="G49" s="832">
        <v>876.71</v>
      </c>
      <c r="H49" s="832">
        <v>1753.42</v>
      </c>
      <c r="I49" s="832">
        <v>2656.83</v>
      </c>
      <c r="J49" s="832">
        <v>3551.37</v>
      </c>
      <c r="K49" s="832">
        <v>4427.04</v>
      </c>
      <c r="L49" s="832">
        <v>5284.24</v>
      </c>
      <c r="M49" s="832">
        <v>6140.46</v>
      </c>
      <c r="N49" s="832">
        <v>6978.65</v>
      </c>
      <c r="O49" s="832">
        <v>7799.2</v>
      </c>
      <c r="P49" s="832">
        <v>8729.11</v>
      </c>
      <c r="Q49" s="832">
        <v>9726</v>
      </c>
      <c r="R49" s="832">
        <v>10707.62</v>
      </c>
      <c r="S49" s="832">
        <v>884.18</v>
      </c>
      <c r="T49" s="832">
        <v>884.18</v>
      </c>
      <c r="U49" s="832">
        <v>0</v>
      </c>
      <c r="V49" s="832">
        <v>0</v>
      </c>
      <c r="W49" s="832">
        <v>0</v>
      </c>
      <c r="X49" s="832">
        <v>0</v>
      </c>
      <c r="Y49" s="832">
        <v>0</v>
      </c>
      <c r="Z49" s="832">
        <v>0</v>
      </c>
      <c r="AA49" s="832">
        <v>0</v>
      </c>
      <c r="AB49" s="832">
        <v>0</v>
      </c>
      <c r="AC49" s="832">
        <v>0</v>
      </c>
      <c r="AD49" s="832">
        <v>0</v>
      </c>
      <c r="AE49" s="832">
        <v>0</v>
      </c>
      <c r="AF49" s="832">
        <v>0</v>
      </c>
      <c r="AG49" s="832">
        <v>0</v>
      </c>
      <c r="AH49" s="832">
        <v>0</v>
      </c>
      <c r="AI49" s="832">
        <v>0</v>
      </c>
      <c r="AJ49" s="1030" t="str">
        <f t="shared" si="0"/>
        <v>H01269</v>
      </c>
      <c r="AK49" s="1030" t="str">
        <f t="shared" si="1"/>
        <v>NF AMORT EQUIP &amp; INSTALL.</v>
      </c>
      <c r="AL49" s="1030">
        <f>IFERROR(INDEX(G49:R49,1,MATCH(Parametres!$B$3,G$1:R$1,0)-1)*IF(OR(F49="L",F49="S",F49="I"),-1,1),"")</f>
        <v>3551.37</v>
      </c>
      <c r="AM49" s="1030">
        <f t="shared" si="2"/>
        <v>875.67000000000007</v>
      </c>
      <c r="AN49" s="1030">
        <f>INDEX(G49:R49,1,MATCH(Parametres!$B$3,G$1:R$1,0))*IF(OR(F49="L",F49="S",F49="I"),-1,1)</f>
        <v>4427.04</v>
      </c>
      <c r="AO49" s="598" t="str">
        <f>+VLOOKUP($AJ49,Data_Validation!$A:$D,1,0)</f>
        <v>H01269</v>
      </c>
      <c r="AP49" s="598" t="str">
        <f>+VLOOKUP($AJ49,Data_Validation!$A:$D,3,0)</f>
        <v>Véhicules neufs</v>
      </c>
      <c r="AQ49" s="598" t="str">
        <f>+VLOOKUP($AJ49,Data_Validation!$A:$D,4,0)</f>
        <v>Amortissement</v>
      </c>
      <c r="AR49" s="598" t="s">
        <v>299</v>
      </c>
      <c r="AS49" s="598">
        <f>+VLOOKUP($AJ49,Data_Validation!$A:$E,5,0)</f>
        <v>0</v>
      </c>
      <c r="AT49" s="1036" t="str">
        <f t="shared" si="3"/>
        <v>H01269</v>
      </c>
      <c r="AU49" s="599" t="str">
        <f t="shared" si="4"/>
        <v>NF AMORT EQUIP &amp; INSTALL.</v>
      </c>
      <c r="AV49" s="1030">
        <f>IFERROR(INDEX(V49:AG49,1,MATCH(Parametres!$B$3,V$1:AG$1,0)-1)*IF(OR(C49="L",C49="S",C49="I"),-1,1),"")</f>
        <v>0</v>
      </c>
      <c r="AW49" s="1030">
        <f t="shared" si="5"/>
        <v>0</v>
      </c>
      <c r="AX49" s="1030">
        <f>INDEX(V49:AG49,1,MATCH(Parametres!$B$3,V$1:AG$1,0))*IF(OR(C49="L",C49="S",C49="I"),-1,1)</f>
        <v>0</v>
      </c>
      <c r="AY49" s="598" t="s">
        <v>337</v>
      </c>
      <c r="AZ49" s="598">
        <f>+VLOOKUP($AJ49,Data_Validation!$A:$E,5,0)</f>
        <v>0</v>
      </c>
    </row>
    <row r="50" spans="1:52" ht="15" customHeight="1">
      <c r="A50" s="832" t="s">
        <v>1150</v>
      </c>
      <c r="B50" s="832">
        <v>2025</v>
      </c>
      <c r="C50" s="832" t="s">
        <v>1246</v>
      </c>
      <c r="D50" s="832" t="s">
        <v>1247</v>
      </c>
      <c r="E50" s="832" t="s">
        <v>333</v>
      </c>
      <c r="F50" s="832" t="s">
        <v>1119</v>
      </c>
      <c r="G50" s="832">
        <v>0</v>
      </c>
      <c r="H50" s="832">
        <v>0</v>
      </c>
      <c r="I50" s="832">
        <v>0</v>
      </c>
      <c r="J50" s="832">
        <v>0</v>
      </c>
      <c r="K50" s="832">
        <v>0</v>
      </c>
      <c r="L50" s="832">
        <v>0</v>
      </c>
      <c r="M50" s="832">
        <v>0</v>
      </c>
      <c r="N50" s="832">
        <v>0</v>
      </c>
      <c r="O50" s="832">
        <v>0</v>
      </c>
      <c r="P50" s="832">
        <v>0</v>
      </c>
      <c r="Q50" s="832">
        <v>0</v>
      </c>
      <c r="R50" s="832">
        <v>0</v>
      </c>
      <c r="S50" s="832">
        <v>0</v>
      </c>
      <c r="T50" s="832">
        <v>0</v>
      </c>
      <c r="U50" s="832">
        <v>0</v>
      </c>
      <c r="V50" s="832">
        <v>0</v>
      </c>
      <c r="W50" s="832">
        <v>0</v>
      </c>
      <c r="X50" s="832">
        <v>0</v>
      </c>
      <c r="Y50" s="832">
        <v>0</v>
      </c>
      <c r="Z50" s="832">
        <v>0</v>
      </c>
      <c r="AA50" s="832">
        <v>0</v>
      </c>
      <c r="AB50" s="832">
        <v>0</v>
      </c>
      <c r="AC50" s="832">
        <v>0</v>
      </c>
      <c r="AD50" s="832">
        <v>0</v>
      </c>
      <c r="AE50" s="832">
        <v>0</v>
      </c>
      <c r="AF50" s="832">
        <v>0</v>
      </c>
      <c r="AG50" s="832">
        <v>0</v>
      </c>
      <c r="AH50" s="832">
        <v>0</v>
      </c>
      <c r="AI50" s="832">
        <v>0</v>
      </c>
      <c r="AJ50" s="1030" t="str">
        <f t="shared" si="0"/>
        <v>H01270</v>
      </c>
      <c r="AK50" s="1030" t="str">
        <f t="shared" si="1"/>
        <v>NF ASSURANCE GENERALE</v>
      </c>
      <c r="AL50" s="1030">
        <f>IFERROR(INDEX(G50:R50,1,MATCH(Parametres!$B$3,G$1:R$1,0)-1)*IF(OR(F50="L",F50="S",F50="I"),-1,1),"")</f>
        <v>0</v>
      </c>
      <c r="AM50" s="1030">
        <f t="shared" si="2"/>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t="str">
        <f t="shared" si="3"/>
        <v>H01270</v>
      </c>
      <c r="AU50" s="599" t="str">
        <f t="shared" si="4"/>
        <v>NF ASSURANCE GENERALE</v>
      </c>
      <c r="AV50" s="1030">
        <f>IFERROR(INDEX(V50:AG50,1,MATCH(Parametres!$B$3,V$1:AG$1,0)-1)*IF(OR(C50="L",C50="S",C50="I"),-1,1),"")</f>
        <v>0</v>
      </c>
      <c r="AW50" s="1030">
        <f t="shared" si="5"/>
        <v>0</v>
      </c>
      <c r="AX50" s="1030">
        <f>INDEX(V50:AG50,1,MATCH(Parametres!$B$3,V$1:AG$1,0))*IF(OR(C50="L",C50="S",C50="I"),-1,1)</f>
        <v>0</v>
      </c>
      <c r="AY50" s="598" t="s">
        <v>337</v>
      </c>
      <c r="AZ50" s="598" t="e">
        <f>+VLOOKUP($AJ50,Data_Validation!$A:$E,5,0)</f>
        <v>#N/A</v>
      </c>
    </row>
    <row r="51" spans="1:52" ht="15" customHeight="1">
      <c r="A51" s="832" t="s">
        <v>1150</v>
      </c>
      <c r="B51" s="832">
        <v>2025</v>
      </c>
      <c r="C51" s="832" t="s">
        <v>1248</v>
      </c>
      <c r="D51" s="832" t="s">
        <v>1249</v>
      </c>
      <c r="E51" s="832" t="s">
        <v>333</v>
      </c>
      <c r="F51" s="832" t="s">
        <v>1119</v>
      </c>
      <c r="G51" s="832">
        <v>1906.36</v>
      </c>
      <c r="H51" s="832">
        <v>5997.37</v>
      </c>
      <c r="I51" s="832">
        <v>8530.4599999999991</v>
      </c>
      <c r="J51" s="832">
        <v>12236.89</v>
      </c>
      <c r="K51" s="832">
        <v>13991.2</v>
      </c>
      <c r="L51" s="832">
        <v>15829.17</v>
      </c>
      <c r="M51" s="832">
        <v>17398.77</v>
      </c>
      <c r="N51" s="832">
        <v>19641.669999999998</v>
      </c>
      <c r="O51" s="832">
        <v>21309.599999999999</v>
      </c>
      <c r="P51" s="832">
        <v>22691.49</v>
      </c>
      <c r="Q51" s="832">
        <v>24738.720000000001</v>
      </c>
      <c r="R51" s="832">
        <v>26872.07</v>
      </c>
      <c r="S51" s="832">
        <v>2248.9699999999998</v>
      </c>
      <c r="T51" s="832">
        <v>2248.9699999999998</v>
      </c>
      <c r="U51" s="832">
        <v>0</v>
      </c>
      <c r="V51" s="832">
        <v>0</v>
      </c>
      <c r="W51" s="832">
        <v>0</v>
      </c>
      <c r="X51" s="832">
        <v>0</v>
      </c>
      <c r="Y51" s="832">
        <v>0</v>
      </c>
      <c r="Z51" s="832">
        <v>0</v>
      </c>
      <c r="AA51" s="832">
        <v>0</v>
      </c>
      <c r="AB51" s="832">
        <v>0</v>
      </c>
      <c r="AC51" s="832">
        <v>0</v>
      </c>
      <c r="AD51" s="832">
        <v>0</v>
      </c>
      <c r="AE51" s="832">
        <v>0</v>
      </c>
      <c r="AF51" s="832">
        <v>0</v>
      </c>
      <c r="AG51" s="832">
        <v>0</v>
      </c>
      <c r="AH51" s="832">
        <v>0</v>
      </c>
      <c r="AI51" s="832">
        <v>0</v>
      </c>
      <c r="AJ51" s="1030" t="str">
        <f t="shared" si="0"/>
        <v>H01274</v>
      </c>
      <c r="AK51" s="1030" t="str">
        <f t="shared" si="1"/>
        <v>NF EAU/ELECT./CHAUFFAGE</v>
      </c>
      <c r="AL51" s="1030">
        <f>IFERROR(INDEX(G51:R51,1,MATCH(Parametres!$B$3,G$1:R$1,0)-1)*IF(OR(F51="L",F51="S",F51="I"),-1,1),"")</f>
        <v>12236.89</v>
      </c>
      <c r="AM51" s="1030">
        <f t="shared" si="2"/>
        <v>1754.3100000000013</v>
      </c>
      <c r="AN51" s="1030">
        <f>INDEX(G51:R51,1,MATCH(Parametres!$B$3,G$1:R$1,0))*IF(OR(F51="L",F51="S",F51="I"),-1,1)</f>
        <v>13991.2</v>
      </c>
      <c r="AO51" s="598" t="str">
        <f>+VLOOKUP($AJ51,Data_Validation!$A:$D,1,0)</f>
        <v>H01274</v>
      </c>
      <c r="AP51" s="598" t="str">
        <f>+VLOOKUP($AJ51,Data_Validation!$A:$D,3,0)</f>
        <v>Véhicules neufs</v>
      </c>
      <c r="AQ51" s="598" t="str">
        <f>+VLOOKUP($AJ51,Data_Validation!$A:$D,4,0)</f>
        <v>Chauffage, éclairage</v>
      </c>
      <c r="AR51" s="598" t="s">
        <v>299</v>
      </c>
      <c r="AS51" s="598">
        <f>+VLOOKUP($AJ51,Data_Validation!$A:$E,5,0)</f>
        <v>0</v>
      </c>
      <c r="AT51" s="1036" t="str">
        <f t="shared" si="3"/>
        <v>H01274</v>
      </c>
      <c r="AU51" s="599" t="str">
        <f t="shared" si="4"/>
        <v>NF EAU/ELECT./CHAUFFAGE</v>
      </c>
      <c r="AV51" s="1030">
        <f>IFERROR(INDEX(V51:AG51,1,MATCH(Parametres!$B$3,V$1:AG$1,0)-1)*IF(OR(C51="L",C51="S",C51="I"),-1,1),"")</f>
        <v>0</v>
      </c>
      <c r="AW51" s="1030">
        <f t="shared" si="5"/>
        <v>0</v>
      </c>
      <c r="AX51" s="1030">
        <f>INDEX(V51:AG51,1,MATCH(Parametres!$B$3,V$1:AG$1,0))*IF(OR(C51="L",C51="S",C51="I"),-1,1)</f>
        <v>0</v>
      </c>
      <c r="AY51" s="598" t="s">
        <v>337</v>
      </c>
      <c r="AZ51" s="598">
        <f>+VLOOKUP($AJ51,Data_Validation!$A:$E,5,0)</f>
        <v>0</v>
      </c>
    </row>
    <row r="52" spans="1:52" ht="15.75" customHeight="1">
      <c r="A52" s="832" t="s">
        <v>1150</v>
      </c>
      <c r="B52" s="832">
        <v>2025</v>
      </c>
      <c r="C52" s="832" t="s">
        <v>1250</v>
      </c>
      <c r="D52" s="832" t="s">
        <v>1251</v>
      </c>
      <c r="E52" s="832" t="s">
        <v>333</v>
      </c>
      <c r="F52" s="832" t="s">
        <v>1119</v>
      </c>
      <c r="G52" s="832">
        <v>1000</v>
      </c>
      <c r="H52" s="832">
        <v>2000</v>
      </c>
      <c r="I52" s="832">
        <v>2250</v>
      </c>
      <c r="J52" s="832">
        <v>3500</v>
      </c>
      <c r="K52" s="832">
        <v>3750</v>
      </c>
      <c r="L52" s="832">
        <v>4000</v>
      </c>
      <c r="M52" s="832">
        <v>4250</v>
      </c>
      <c r="N52" s="832">
        <v>4500</v>
      </c>
      <c r="O52" s="832">
        <v>3000</v>
      </c>
      <c r="P52" s="832">
        <v>3368.7</v>
      </c>
      <c r="Q52" s="832">
        <v>3618.7</v>
      </c>
      <c r="R52" s="832">
        <v>3868.7</v>
      </c>
      <c r="S52" s="832">
        <v>328.97</v>
      </c>
      <c r="T52" s="832">
        <v>328.97</v>
      </c>
      <c r="U52" s="832">
        <v>0</v>
      </c>
      <c r="V52" s="832">
        <v>0</v>
      </c>
      <c r="W52" s="832">
        <v>0</v>
      </c>
      <c r="X52" s="832">
        <v>0</v>
      </c>
      <c r="Y52" s="832">
        <v>0</v>
      </c>
      <c r="Z52" s="832">
        <v>0</v>
      </c>
      <c r="AA52" s="832">
        <v>0</v>
      </c>
      <c r="AB52" s="832">
        <v>0</v>
      </c>
      <c r="AC52" s="832">
        <v>0</v>
      </c>
      <c r="AD52" s="832">
        <v>0</v>
      </c>
      <c r="AE52" s="832">
        <v>0</v>
      </c>
      <c r="AF52" s="832">
        <v>0</v>
      </c>
      <c r="AG52" s="832">
        <v>0</v>
      </c>
      <c r="AH52" s="832">
        <v>0</v>
      </c>
      <c r="AI52" s="832">
        <v>0</v>
      </c>
      <c r="AJ52" s="1030" t="str">
        <f t="shared" si="0"/>
        <v>H01276</v>
      </c>
      <c r="AK52" s="1030" t="str">
        <f t="shared" si="1"/>
        <v>NF VERIFICATION COMPTABLE</v>
      </c>
      <c r="AL52" s="1030">
        <f>IFERROR(INDEX(G52:R52,1,MATCH(Parametres!$B$3,G$1:R$1,0)-1)*IF(OR(F52="L",F52="S",F52="I"),-1,1),"")</f>
        <v>3500</v>
      </c>
      <c r="AM52" s="1030">
        <f t="shared" si="2"/>
        <v>250</v>
      </c>
      <c r="AN52" s="1030">
        <f>INDEX(G52:R52,1,MATCH(Parametres!$B$3,G$1:R$1,0))*IF(OR(F52="L",F52="S",F52="I"),-1,1)</f>
        <v>3750</v>
      </c>
      <c r="AO52" s="598" t="str">
        <f>+VLOOKUP($AJ52,Data_Validation!$A:$D,1,0)</f>
        <v>H01276</v>
      </c>
      <c r="AP52" s="598" t="str">
        <f>+VLOOKUP($AJ52,Data_Validation!$A:$D,3,0)</f>
        <v>Véhicules neufs</v>
      </c>
      <c r="AQ52" s="598" t="str">
        <f>+VLOOKUP($AJ52,Data_Validation!$A:$D,4,0)</f>
        <v>Honoraires</v>
      </c>
      <c r="AR52" s="598" t="s">
        <v>299</v>
      </c>
      <c r="AS52" s="598">
        <f>+VLOOKUP($AJ52,Data_Validation!$A:$E,5,0)</f>
        <v>0</v>
      </c>
      <c r="AT52" s="1036" t="str">
        <f t="shared" si="3"/>
        <v>H01276</v>
      </c>
      <c r="AU52" s="599" t="str">
        <f t="shared" si="4"/>
        <v>NF VERIFICATION COMPTABLE</v>
      </c>
      <c r="AV52" s="1030">
        <f>IFERROR(INDEX(V52:AG52,1,MATCH(Parametres!$B$3,V$1:AG$1,0)-1)*IF(OR(C52="L",C52="S",C52="I"),-1,1),"")</f>
        <v>0</v>
      </c>
      <c r="AW52" s="1030">
        <f t="shared" si="5"/>
        <v>0</v>
      </c>
      <c r="AX52" s="1030">
        <f>INDEX(V52:AG52,1,MATCH(Parametres!$B$3,V$1:AG$1,0))*IF(OR(C52="L",C52="S",C52="I"),-1,1)</f>
        <v>0</v>
      </c>
      <c r="AY52" s="598" t="s">
        <v>337</v>
      </c>
      <c r="AZ52" s="598">
        <f>+VLOOKUP($AJ52,Data_Validation!$A:$E,5,0)</f>
        <v>0</v>
      </c>
    </row>
    <row r="53" spans="1:52" ht="15" customHeight="1">
      <c r="A53" s="832" t="s">
        <v>1150</v>
      </c>
      <c r="B53" s="832">
        <v>2025</v>
      </c>
      <c r="C53" s="832" t="s">
        <v>1252</v>
      </c>
      <c r="D53" s="832" t="s">
        <v>1253</v>
      </c>
      <c r="E53" s="832" t="s">
        <v>333</v>
      </c>
      <c r="F53" s="832" t="s">
        <v>1119</v>
      </c>
      <c r="G53" s="832">
        <v>486.86</v>
      </c>
      <c r="H53" s="832">
        <v>495.61</v>
      </c>
      <c r="I53" s="832">
        <v>504.36</v>
      </c>
      <c r="J53" s="832">
        <v>1009.11</v>
      </c>
      <c r="K53" s="832">
        <v>1573.93</v>
      </c>
      <c r="L53" s="832">
        <v>1573.93</v>
      </c>
      <c r="M53" s="832">
        <v>2087.4299999999998</v>
      </c>
      <c r="N53" s="832">
        <v>2096.1799999999998</v>
      </c>
      <c r="O53" s="832">
        <v>2104.9299999999998</v>
      </c>
      <c r="P53" s="832">
        <v>2609.6799999999998</v>
      </c>
      <c r="Q53" s="832">
        <v>2618.4299999999998</v>
      </c>
      <c r="R53" s="832">
        <v>3367.68</v>
      </c>
      <c r="S53" s="832">
        <v>238.04</v>
      </c>
      <c r="T53" s="832">
        <v>238.04</v>
      </c>
      <c r="U53" s="832">
        <v>0</v>
      </c>
      <c r="V53" s="832">
        <v>0</v>
      </c>
      <c r="W53" s="832">
        <v>0</v>
      </c>
      <c r="X53" s="832">
        <v>0</v>
      </c>
      <c r="Y53" s="832">
        <v>0</v>
      </c>
      <c r="Z53" s="832">
        <v>0</v>
      </c>
      <c r="AA53" s="832">
        <v>0</v>
      </c>
      <c r="AB53" s="832">
        <v>0</v>
      </c>
      <c r="AC53" s="832">
        <v>0</v>
      </c>
      <c r="AD53" s="832">
        <v>0</v>
      </c>
      <c r="AE53" s="832">
        <v>0</v>
      </c>
      <c r="AF53" s="832">
        <v>0</v>
      </c>
      <c r="AG53" s="832">
        <v>0</v>
      </c>
      <c r="AH53" s="832">
        <v>0</v>
      </c>
      <c r="AI53" s="832">
        <v>0</v>
      </c>
      <c r="AJ53" s="1030" t="str">
        <f t="shared" si="0"/>
        <v>H01277</v>
      </c>
      <c r="AK53" s="1030" t="str">
        <f t="shared" si="1"/>
        <v>NF COTISATIONS SOUSCRIP.</v>
      </c>
      <c r="AL53" s="1030">
        <f>IFERROR(INDEX(G53:R53,1,MATCH(Parametres!$B$3,G$1:R$1,0)-1)*IF(OR(F53="L",F53="S",F53="I"),-1,1),"")</f>
        <v>1009.11</v>
      </c>
      <c r="AM53" s="1030">
        <f t="shared" si="2"/>
        <v>564.82000000000005</v>
      </c>
      <c r="AN53" s="1030">
        <f>INDEX(G53:R53,1,MATCH(Parametres!$B$3,G$1:R$1,0))*IF(OR(F53="L",F53="S",F53="I"),-1,1)</f>
        <v>1573.93</v>
      </c>
      <c r="AO53" s="598" t="str">
        <f>+VLOOKUP($AJ53,Data_Validation!$A:$D,1,0)</f>
        <v>H01277</v>
      </c>
      <c r="AP53" s="598" t="str">
        <f>+VLOOKUP($AJ53,Data_Validation!$A:$D,3,0)</f>
        <v>Autres</v>
      </c>
      <c r="AQ53" s="598" t="str">
        <f>+VLOOKUP($AJ53,Data_Validation!$A:$D,4,0)</f>
        <v>Divers</v>
      </c>
      <c r="AR53" s="598" t="s">
        <v>299</v>
      </c>
      <c r="AS53" s="598">
        <f>+VLOOKUP($AJ53,Data_Validation!$A:$E,5,0)</f>
        <v>0</v>
      </c>
      <c r="AT53" s="1036" t="str">
        <f t="shared" si="3"/>
        <v>H01277</v>
      </c>
      <c r="AU53" s="599" t="str">
        <f t="shared" si="4"/>
        <v>NF COTISATIONS SOUSCRIP.</v>
      </c>
      <c r="AV53" s="1030">
        <f>IFERROR(INDEX(V53:AG53,1,MATCH(Parametres!$B$3,V$1:AG$1,0)-1)*IF(OR(C53="L",C53="S",C53="I"),-1,1),"")</f>
        <v>0</v>
      </c>
      <c r="AW53" s="1030">
        <f t="shared" si="5"/>
        <v>0</v>
      </c>
      <c r="AX53" s="1030">
        <f>INDEX(V53:AG53,1,MATCH(Parametres!$B$3,V$1:AG$1,0))*IF(OR(C53="L",C53="S",C53="I"),-1,1)</f>
        <v>0</v>
      </c>
      <c r="AY53" s="598" t="s">
        <v>337</v>
      </c>
      <c r="AZ53" s="598">
        <f>+VLOOKUP($AJ53,Data_Validation!$A:$E,5,0)</f>
        <v>0</v>
      </c>
    </row>
    <row r="54" spans="1:52" ht="15" customHeight="1">
      <c r="A54" s="832" t="s">
        <v>1150</v>
      </c>
      <c r="B54" s="832">
        <v>2025</v>
      </c>
      <c r="C54" s="832" t="s">
        <v>1254</v>
      </c>
      <c r="D54" s="832" t="s">
        <v>1255</v>
      </c>
      <c r="E54" s="832" t="s">
        <v>333</v>
      </c>
      <c r="F54" s="832" t="s">
        <v>1119</v>
      </c>
      <c r="G54" s="832">
        <v>0</v>
      </c>
      <c r="H54" s="832">
        <v>0</v>
      </c>
      <c r="I54" s="832">
        <v>0</v>
      </c>
      <c r="J54" s="832">
        <v>0</v>
      </c>
      <c r="K54" s="832">
        <v>0</v>
      </c>
      <c r="L54" s="832">
        <v>0</v>
      </c>
      <c r="M54" s="832">
        <v>0</v>
      </c>
      <c r="N54" s="832">
        <v>0</v>
      </c>
      <c r="O54" s="832">
        <v>0</v>
      </c>
      <c r="P54" s="832">
        <v>0</v>
      </c>
      <c r="Q54" s="832">
        <v>0</v>
      </c>
      <c r="R54" s="832">
        <v>0</v>
      </c>
      <c r="S54" s="832">
        <v>0</v>
      </c>
      <c r="T54" s="832">
        <v>0</v>
      </c>
      <c r="U54" s="832">
        <v>0</v>
      </c>
      <c r="V54" s="832">
        <v>0</v>
      </c>
      <c r="W54" s="832">
        <v>0</v>
      </c>
      <c r="X54" s="832">
        <v>0</v>
      </c>
      <c r="Y54" s="832">
        <v>0</v>
      </c>
      <c r="Z54" s="832">
        <v>0</v>
      </c>
      <c r="AA54" s="832">
        <v>0</v>
      </c>
      <c r="AB54" s="832">
        <v>0</v>
      </c>
      <c r="AC54" s="832">
        <v>0</v>
      </c>
      <c r="AD54" s="832">
        <v>0</v>
      </c>
      <c r="AE54" s="832">
        <v>0</v>
      </c>
      <c r="AF54" s="832">
        <v>0</v>
      </c>
      <c r="AG54" s="832">
        <v>0</v>
      </c>
      <c r="AH54" s="832">
        <v>0</v>
      </c>
      <c r="AI54" s="832">
        <v>0</v>
      </c>
      <c r="AJ54" s="1030" t="str">
        <f t="shared" si="0"/>
        <v>H01278</v>
      </c>
      <c r="AK54" s="1030" t="str">
        <f t="shared" si="1"/>
        <v>NF TAXES EN CAPITAL</v>
      </c>
      <c r="AL54" s="1030">
        <f>IFERROR(INDEX(G54:R54,1,MATCH(Parametres!$B$3,G$1:R$1,0)-1)*IF(OR(F54="L",F54="S",F54="I"),-1,1),"")</f>
        <v>0</v>
      </c>
      <c r="AM54" s="1030">
        <f t="shared" si="2"/>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t="str">
        <f t="shared" si="3"/>
        <v>H01278</v>
      </c>
      <c r="AU54" s="599" t="str">
        <f t="shared" si="4"/>
        <v>NF TAXES EN CAPITAL</v>
      </c>
      <c r="AV54" s="1030">
        <f>IFERROR(INDEX(V54:AG54,1,MATCH(Parametres!$B$3,V$1:AG$1,0)-1)*IF(OR(C54="L",C54="S",C54="I"),-1,1),"")</f>
        <v>0</v>
      </c>
      <c r="AW54" s="1030">
        <f t="shared" si="5"/>
        <v>0</v>
      </c>
      <c r="AX54" s="1030">
        <f>INDEX(V54:AG54,1,MATCH(Parametres!$B$3,V$1:AG$1,0))*IF(OR(C54="L",C54="S",C54="I"),-1,1)</f>
        <v>0</v>
      </c>
      <c r="AY54" s="598" t="s">
        <v>337</v>
      </c>
      <c r="AZ54" s="598" t="e">
        <f>+VLOOKUP($AJ54,Data_Validation!$A:$E,5,0)</f>
        <v>#N/A</v>
      </c>
    </row>
    <row r="55" spans="1:52" ht="15" customHeight="1">
      <c r="A55" s="832" t="s">
        <v>1150</v>
      </c>
      <c r="B55" s="832">
        <v>2025</v>
      </c>
      <c r="C55" s="832" t="s">
        <v>1256</v>
      </c>
      <c r="D55" s="832" t="s">
        <v>1257</v>
      </c>
      <c r="E55" s="832" t="s">
        <v>333</v>
      </c>
      <c r="F55" s="832" t="s">
        <v>1119</v>
      </c>
      <c r="G55" s="832">
        <v>0</v>
      </c>
      <c r="H55" s="832">
        <v>0</v>
      </c>
      <c r="I55" s="832">
        <v>0</v>
      </c>
      <c r="J55" s="832">
        <v>0</v>
      </c>
      <c r="K55" s="832">
        <v>0</v>
      </c>
      <c r="L55" s="832">
        <v>0</v>
      </c>
      <c r="M55" s="832">
        <v>0</v>
      </c>
      <c r="N55" s="832">
        <v>0</v>
      </c>
      <c r="O55" s="832">
        <v>0</v>
      </c>
      <c r="P55" s="832">
        <v>0</v>
      </c>
      <c r="Q55" s="832">
        <v>0</v>
      </c>
      <c r="R55" s="832">
        <v>487.5</v>
      </c>
      <c r="S55" s="832">
        <v>0</v>
      </c>
      <c r="T55" s="832">
        <v>0</v>
      </c>
      <c r="U55" s="832">
        <v>0</v>
      </c>
      <c r="V55" s="832">
        <v>0</v>
      </c>
      <c r="W55" s="832">
        <v>0</v>
      </c>
      <c r="X55" s="832">
        <v>0</v>
      </c>
      <c r="Y55" s="832">
        <v>0</v>
      </c>
      <c r="Z55" s="832">
        <v>0</v>
      </c>
      <c r="AA55" s="832">
        <v>0</v>
      </c>
      <c r="AB55" s="832">
        <v>0</v>
      </c>
      <c r="AC55" s="832">
        <v>0</v>
      </c>
      <c r="AD55" s="832">
        <v>0</v>
      </c>
      <c r="AE55" s="832">
        <v>0</v>
      </c>
      <c r="AF55" s="832">
        <v>0</v>
      </c>
      <c r="AG55" s="832">
        <v>0</v>
      </c>
      <c r="AH55" s="832">
        <v>0</v>
      </c>
      <c r="AI55" s="832">
        <v>0</v>
      </c>
      <c r="AJ55" s="1030" t="str">
        <f t="shared" si="0"/>
        <v>H01279</v>
      </c>
      <c r="AK55" s="1030" t="str">
        <f t="shared" si="1"/>
        <v>NF DONATIONS</v>
      </c>
      <c r="AL55" s="1030">
        <f>IFERROR(INDEX(G55:R55,1,MATCH(Parametres!$B$3,G$1:R$1,0)-1)*IF(OR(F55="L",F55="S",F55="I"),-1,1),"")</f>
        <v>0</v>
      </c>
      <c r="AM55" s="1030">
        <f t="shared" si="2"/>
        <v>0</v>
      </c>
      <c r="AN55" s="1030">
        <f>INDEX(G55:R55,1,MATCH(Parametres!$B$3,G$1:R$1,0))*IF(OR(F55="L",F55="S",F55="I"),-1,1)</f>
        <v>0</v>
      </c>
      <c r="AO55" s="598" t="str">
        <f>+VLOOKUP($AJ55,Data_Validation!$A:$D,1,0)</f>
        <v>H01279</v>
      </c>
      <c r="AP55" s="598" t="str">
        <f>+VLOOKUP($AJ55,Data_Validation!$A:$D,3,0)</f>
        <v>Autres</v>
      </c>
      <c r="AQ55" s="598" t="str">
        <f>+VLOOKUP($AJ55,Data_Validation!$A:$D,4,0)</f>
        <v>Dons</v>
      </c>
      <c r="AR55" s="598" t="s">
        <v>299</v>
      </c>
      <c r="AS55" s="598">
        <f>+VLOOKUP($AJ55,Data_Validation!$A:$E,5,0)</f>
        <v>0</v>
      </c>
      <c r="AT55" s="1036" t="str">
        <f t="shared" si="3"/>
        <v>H01279</v>
      </c>
      <c r="AU55" s="599" t="str">
        <f t="shared" si="4"/>
        <v>NF DONATIONS</v>
      </c>
      <c r="AV55" s="1030">
        <f>IFERROR(INDEX(V55:AG55,1,MATCH(Parametres!$B$3,V$1:AG$1,0)-1)*IF(OR(C55="L",C55="S",C55="I"),-1,1),"")</f>
        <v>0</v>
      </c>
      <c r="AW55" s="1030">
        <f t="shared" si="5"/>
        <v>0</v>
      </c>
      <c r="AX55" s="1030">
        <f>INDEX(V55:AG55,1,MATCH(Parametres!$B$3,V$1:AG$1,0))*IF(OR(C55="L",C55="S",C55="I"),-1,1)</f>
        <v>0</v>
      </c>
      <c r="AY55" s="598" t="s">
        <v>337</v>
      </c>
      <c r="AZ55" s="598">
        <f>+VLOOKUP($AJ55,Data_Validation!$A:$E,5,0)</f>
        <v>0</v>
      </c>
    </row>
    <row r="56" spans="1:52" ht="15.75" customHeight="1">
      <c r="A56" s="832" t="s">
        <v>1150</v>
      </c>
      <c r="B56" s="832">
        <v>2025</v>
      </c>
      <c r="C56" s="832" t="s">
        <v>1258</v>
      </c>
      <c r="D56" s="832" t="s">
        <v>1259</v>
      </c>
      <c r="E56" s="832" t="s">
        <v>333</v>
      </c>
      <c r="F56" s="832" t="s">
        <v>1119</v>
      </c>
      <c r="G56" s="832">
        <v>803.18</v>
      </c>
      <c r="H56" s="832">
        <v>803.18</v>
      </c>
      <c r="I56" s="832">
        <v>803.18</v>
      </c>
      <c r="J56" s="832">
        <v>344.79</v>
      </c>
      <c r="K56" s="832">
        <v>598.6</v>
      </c>
      <c r="L56" s="832">
        <v>617.08000000000004</v>
      </c>
      <c r="M56" s="832">
        <v>617.08000000000004</v>
      </c>
      <c r="N56" s="832">
        <v>617.08000000000004</v>
      </c>
      <c r="O56" s="832">
        <v>627.48</v>
      </c>
      <c r="P56" s="832">
        <v>2242.33</v>
      </c>
      <c r="Q56" s="832">
        <v>2516.94</v>
      </c>
      <c r="R56" s="832">
        <v>2770.75</v>
      </c>
      <c r="S56" s="832">
        <v>228.81</v>
      </c>
      <c r="T56" s="832">
        <v>228.81</v>
      </c>
      <c r="U56" s="832">
        <v>0</v>
      </c>
      <c r="V56" s="832">
        <v>0</v>
      </c>
      <c r="W56" s="832">
        <v>0</v>
      </c>
      <c r="X56" s="832">
        <v>0</v>
      </c>
      <c r="Y56" s="832">
        <v>0</v>
      </c>
      <c r="Z56" s="832">
        <v>0</v>
      </c>
      <c r="AA56" s="832">
        <v>0</v>
      </c>
      <c r="AB56" s="832">
        <v>0</v>
      </c>
      <c r="AC56" s="832">
        <v>0</v>
      </c>
      <c r="AD56" s="832">
        <v>0</v>
      </c>
      <c r="AE56" s="832">
        <v>0</v>
      </c>
      <c r="AF56" s="832">
        <v>0</v>
      </c>
      <c r="AG56" s="832">
        <v>0</v>
      </c>
      <c r="AH56" s="832">
        <v>0</v>
      </c>
      <c r="AI56" s="832">
        <v>0</v>
      </c>
      <c r="AJ56" s="1030" t="str">
        <f t="shared" si="0"/>
        <v>H01280</v>
      </c>
      <c r="AK56" s="1030" t="str">
        <f t="shared" si="1"/>
        <v>NF IMM &amp; PERMIS /CIE SEUL</v>
      </c>
      <c r="AL56" s="1030">
        <f>IFERROR(INDEX(G56:R56,1,MATCH(Parametres!$B$3,G$1:R$1,0)-1)*IF(OR(F56="L",F56="S",F56="I"),-1,1),"")</f>
        <v>344.79</v>
      </c>
      <c r="AM56" s="1030">
        <f t="shared" si="2"/>
        <v>253.81</v>
      </c>
      <c r="AN56" s="1030">
        <f>INDEX(G56:R56,1,MATCH(Parametres!$B$3,G$1:R$1,0))*IF(OR(F56="L",F56="S",F56="I"),-1,1)</f>
        <v>598.6</v>
      </c>
      <c r="AO56" s="598" t="str">
        <f>+VLOOKUP($AJ56,Data_Validation!$A:$D,1,0)</f>
        <v>H01280</v>
      </c>
      <c r="AP56" s="598" t="str">
        <f>+VLOOKUP($AJ56,Data_Validation!$A:$D,3,0)</f>
        <v>Véhicules neufs</v>
      </c>
      <c r="AQ56" s="598" t="str">
        <f>+VLOOKUP($AJ56,Data_Validation!$A:$D,4,0)</f>
        <v>Honoraires</v>
      </c>
      <c r="AR56" s="598" t="s">
        <v>299</v>
      </c>
      <c r="AS56" s="598">
        <f>+VLOOKUP($AJ56,Data_Validation!$A:$E,5,0)</f>
        <v>0</v>
      </c>
      <c r="AT56" s="1036" t="str">
        <f t="shared" si="3"/>
        <v>H01280</v>
      </c>
      <c r="AU56" s="599" t="str">
        <f t="shared" si="4"/>
        <v>NF IMM &amp; PERMIS /CIE SEUL</v>
      </c>
      <c r="AV56" s="1030">
        <f>IFERROR(INDEX(V56:AG56,1,MATCH(Parametres!$B$3,V$1:AG$1,0)-1)*IF(OR(C56="L",C56="S",C56="I"),-1,1),"")</f>
        <v>0</v>
      </c>
      <c r="AW56" s="1030">
        <f t="shared" si="5"/>
        <v>0</v>
      </c>
      <c r="AX56" s="1030">
        <f>INDEX(V56:AG56,1,MATCH(Parametres!$B$3,V$1:AG$1,0))*IF(OR(C56="L",C56="S",C56="I"),-1,1)</f>
        <v>0</v>
      </c>
      <c r="AY56" s="598" t="s">
        <v>337</v>
      </c>
      <c r="AZ56" s="598">
        <f>+VLOOKUP($AJ56,Data_Validation!$A:$E,5,0)</f>
        <v>0</v>
      </c>
    </row>
    <row r="57" spans="1:52" ht="15" customHeight="1">
      <c r="A57" s="832" t="s">
        <v>1150</v>
      </c>
      <c r="B57" s="832">
        <v>2025</v>
      </c>
      <c r="C57" s="832" t="s">
        <v>1260</v>
      </c>
      <c r="D57" s="832" t="s">
        <v>1261</v>
      </c>
      <c r="E57" s="832" t="s">
        <v>333</v>
      </c>
      <c r="F57" s="832" t="s">
        <v>1119</v>
      </c>
      <c r="G57" s="832">
        <v>14487.16</v>
      </c>
      <c r="H57" s="832">
        <v>19506.38</v>
      </c>
      <c r="I57" s="832">
        <v>32588.67</v>
      </c>
      <c r="J57" s="832">
        <v>68138.929999999993</v>
      </c>
      <c r="K57" s="832">
        <v>94484.479999999996</v>
      </c>
      <c r="L57" s="832">
        <v>107807.08</v>
      </c>
      <c r="M57" s="832">
        <v>127428.9</v>
      </c>
      <c r="N57" s="832">
        <v>151357.28</v>
      </c>
      <c r="O57" s="832">
        <v>170467.91</v>
      </c>
      <c r="P57" s="832">
        <v>178543.95</v>
      </c>
      <c r="Q57" s="832">
        <v>193198.87</v>
      </c>
      <c r="R57" s="832">
        <v>202915</v>
      </c>
      <c r="S57" s="832">
        <v>17563.53</v>
      </c>
      <c r="T57" s="832">
        <v>17563.53</v>
      </c>
      <c r="U57" s="832">
        <v>0</v>
      </c>
      <c r="V57" s="832">
        <v>0</v>
      </c>
      <c r="W57" s="832">
        <v>0</v>
      </c>
      <c r="X57" s="832">
        <v>0</v>
      </c>
      <c r="Y57" s="832">
        <v>0</v>
      </c>
      <c r="Z57" s="832">
        <v>0</v>
      </c>
      <c r="AA57" s="832">
        <v>0</v>
      </c>
      <c r="AB57" s="832">
        <v>0</v>
      </c>
      <c r="AC57" s="832">
        <v>0</v>
      </c>
      <c r="AD57" s="832">
        <v>0</v>
      </c>
      <c r="AE57" s="832">
        <v>0</v>
      </c>
      <c r="AF57" s="832">
        <v>0</v>
      </c>
      <c r="AG57" s="832">
        <v>0</v>
      </c>
      <c r="AH57" s="832">
        <v>0</v>
      </c>
      <c r="AI57" s="832">
        <v>0</v>
      </c>
      <c r="AJ57" s="1030" t="str">
        <f t="shared" si="0"/>
        <v>H01301</v>
      </c>
      <c r="AK57" s="1030" t="str">
        <f t="shared" si="1"/>
        <v>OCC SALAIRES-VENTE DIR</v>
      </c>
      <c r="AL57" s="1030">
        <f>IFERROR(INDEX(G57:R57,1,MATCH(Parametres!$B$3,G$1:R$1,0)-1)*IF(OR(F57="L",F57="S",F57="I"),-1,1),"")</f>
        <v>68138.929999999993</v>
      </c>
      <c r="AM57" s="1030">
        <f t="shared" si="2"/>
        <v>26345.550000000003</v>
      </c>
      <c r="AN57" s="1030">
        <f>INDEX(G57:R57,1,MATCH(Parametres!$B$3,G$1:R$1,0))*IF(OR(F57="L",F57="S",F57="I"),-1,1)</f>
        <v>94484.479999999996</v>
      </c>
      <c r="AO57" s="598" t="str">
        <f>+VLOOKUP($AJ57,Data_Validation!$A:$D,1,0)</f>
        <v>H01301</v>
      </c>
      <c r="AP57" s="598" t="str">
        <f>+VLOOKUP($AJ57,Data_Validation!$A:$D,3,0)</f>
        <v>Véhicules usagés</v>
      </c>
      <c r="AQ57" s="598" t="str">
        <f>+VLOOKUP($AJ57,Data_Validation!$A:$D,4,0)</f>
        <v>Salaires cadres</v>
      </c>
      <c r="AR57" s="598" t="s">
        <v>299</v>
      </c>
      <c r="AS57" s="598">
        <f>+VLOOKUP($AJ57,Data_Validation!$A:$E,5,0)</f>
        <v>0</v>
      </c>
      <c r="AT57" s="1036" t="str">
        <f t="shared" si="3"/>
        <v>H01301</v>
      </c>
      <c r="AU57" s="599" t="str">
        <f t="shared" si="4"/>
        <v>OCC SALAIRES-VENTE DIR</v>
      </c>
      <c r="AV57" s="1030">
        <f>IFERROR(INDEX(V57:AG57,1,MATCH(Parametres!$B$3,V$1:AG$1,0)-1)*IF(OR(C57="L",C57="S",C57="I"),-1,1),"")</f>
        <v>0</v>
      </c>
      <c r="AW57" s="1030">
        <f t="shared" si="5"/>
        <v>0</v>
      </c>
      <c r="AX57" s="1030">
        <f>INDEX(V57:AG57,1,MATCH(Parametres!$B$3,V$1:AG$1,0))*IF(OR(C57="L",C57="S",C57="I"),-1,1)</f>
        <v>0</v>
      </c>
      <c r="AY57" s="598" t="s">
        <v>337</v>
      </c>
      <c r="AZ57" s="598">
        <f>+VLOOKUP($AJ57,Data_Validation!$A:$E,5,0)</f>
        <v>0</v>
      </c>
    </row>
    <row r="58" spans="1:52" ht="15" customHeight="1">
      <c r="A58" s="832" t="s">
        <v>1150</v>
      </c>
      <c r="B58" s="832">
        <v>2025</v>
      </c>
      <c r="C58" s="832" t="s">
        <v>1262</v>
      </c>
      <c r="D58" s="832" t="s">
        <v>1263</v>
      </c>
      <c r="E58" s="832" t="s">
        <v>333</v>
      </c>
      <c r="F58" s="832" t="s">
        <v>1119</v>
      </c>
      <c r="G58" s="832">
        <v>8743.67</v>
      </c>
      <c r="H58" s="832">
        <v>15667.28</v>
      </c>
      <c r="I58" s="832">
        <v>20004.05</v>
      </c>
      <c r="J58" s="832">
        <v>28707.78</v>
      </c>
      <c r="K58" s="832">
        <v>44381.58</v>
      </c>
      <c r="L58" s="832">
        <v>52301.4</v>
      </c>
      <c r="M58" s="832">
        <v>55989.26</v>
      </c>
      <c r="N58" s="832">
        <v>71632.36</v>
      </c>
      <c r="O58" s="832">
        <v>78537.69</v>
      </c>
      <c r="P58" s="832">
        <v>89742.47</v>
      </c>
      <c r="Q58" s="832">
        <v>106240.31</v>
      </c>
      <c r="R58" s="832">
        <v>116465.58</v>
      </c>
      <c r="S58" s="832">
        <v>9658.2099999999991</v>
      </c>
      <c r="T58" s="832">
        <v>9658.2099999999991</v>
      </c>
      <c r="U58" s="832">
        <v>0</v>
      </c>
      <c r="V58" s="832">
        <v>0</v>
      </c>
      <c r="W58" s="832">
        <v>0</v>
      </c>
      <c r="X58" s="832">
        <v>0</v>
      </c>
      <c r="Y58" s="832">
        <v>0</v>
      </c>
      <c r="Z58" s="832">
        <v>0</v>
      </c>
      <c r="AA58" s="832">
        <v>0</v>
      </c>
      <c r="AB58" s="832">
        <v>0</v>
      </c>
      <c r="AC58" s="832">
        <v>0</v>
      </c>
      <c r="AD58" s="832">
        <v>0</v>
      </c>
      <c r="AE58" s="832">
        <v>0</v>
      </c>
      <c r="AF58" s="832">
        <v>0</v>
      </c>
      <c r="AG58" s="832">
        <v>0</v>
      </c>
      <c r="AH58" s="832">
        <v>0</v>
      </c>
      <c r="AI58" s="832">
        <v>0</v>
      </c>
      <c r="AJ58" s="1030" t="str">
        <f t="shared" si="0"/>
        <v>H01302</v>
      </c>
      <c r="AK58" s="1030" t="str">
        <f t="shared" si="1"/>
        <v>OCC SALAIRES COMM-VENDEUR</v>
      </c>
      <c r="AL58" s="1030">
        <f>IFERROR(INDEX(G58:R58,1,MATCH(Parametres!$B$3,G$1:R$1,0)-1)*IF(OR(F58="L",F58="S",F58="I"),-1,1),"")</f>
        <v>28707.78</v>
      </c>
      <c r="AM58" s="1030">
        <f t="shared" si="2"/>
        <v>15673.800000000003</v>
      </c>
      <c r="AN58" s="1030">
        <f>INDEX(G58:R58,1,MATCH(Parametres!$B$3,G$1:R$1,0))*IF(OR(F58="L",F58="S",F58="I"),-1,1)</f>
        <v>44381.58</v>
      </c>
      <c r="AO58" s="598" t="str">
        <f>+VLOOKUP($AJ58,Data_Validation!$A:$D,1,0)</f>
        <v>H01302</v>
      </c>
      <c r="AP58" s="598" t="str">
        <f>+VLOOKUP($AJ58,Data_Validation!$A:$D,3,0)</f>
        <v>Véhicules usagés</v>
      </c>
      <c r="AQ58" s="598" t="str">
        <f>+VLOOKUP($AJ58,Data_Validation!$A:$D,4,0)</f>
        <v>Comm. vendeurs</v>
      </c>
      <c r="AR58" s="598" t="s">
        <v>299</v>
      </c>
      <c r="AS58" s="598">
        <f>+VLOOKUP($AJ58,Data_Validation!$A:$E,5,0)</f>
        <v>0</v>
      </c>
      <c r="AT58" s="1036" t="str">
        <f t="shared" si="3"/>
        <v>H01302</v>
      </c>
      <c r="AU58" s="599" t="str">
        <f t="shared" si="4"/>
        <v>OCC SALAIRES COMM-VENDEUR</v>
      </c>
      <c r="AV58" s="1030">
        <f>IFERROR(INDEX(V58:AG58,1,MATCH(Parametres!$B$3,V$1:AG$1,0)-1)*IF(OR(C58="L",C58="S",C58="I"),-1,1),"")</f>
        <v>0</v>
      </c>
      <c r="AW58" s="1030">
        <f t="shared" si="5"/>
        <v>0</v>
      </c>
      <c r="AX58" s="1030">
        <f>INDEX(V58:AG58,1,MATCH(Parametres!$B$3,V$1:AG$1,0))*IF(OR(C58="L",C58="S",C58="I"),-1,1)</f>
        <v>0</v>
      </c>
      <c r="AY58" s="598" t="s">
        <v>337</v>
      </c>
      <c r="AZ58" s="598">
        <f>+VLOOKUP($AJ58,Data_Validation!$A:$E,5,0)</f>
        <v>0</v>
      </c>
    </row>
    <row r="59" spans="1:52" ht="15" customHeight="1">
      <c r="A59" s="832" t="s">
        <v>1150</v>
      </c>
      <c r="B59" s="832">
        <v>2025</v>
      </c>
      <c r="C59" s="832" t="s">
        <v>1264</v>
      </c>
      <c r="D59" s="832" t="s">
        <v>1265</v>
      </c>
      <c r="E59" s="832" t="s">
        <v>333</v>
      </c>
      <c r="F59" s="832" t="s">
        <v>1119</v>
      </c>
      <c r="G59" s="832">
        <v>4911.32</v>
      </c>
      <c r="H59" s="832">
        <v>7340.63</v>
      </c>
      <c r="I59" s="832">
        <v>10402.040000000001</v>
      </c>
      <c r="J59" s="832">
        <v>13656.78</v>
      </c>
      <c r="K59" s="832">
        <v>15306.56</v>
      </c>
      <c r="L59" s="832">
        <v>15807.06</v>
      </c>
      <c r="M59" s="832">
        <v>16628.759999999998</v>
      </c>
      <c r="N59" s="832">
        <v>20382.53</v>
      </c>
      <c r="O59" s="832">
        <v>23985.95</v>
      </c>
      <c r="P59" s="832">
        <v>30397.8</v>
      </c>
      <c r="Q59" s="832">
        <v>38205.68</v>
      </c>
      <c r="R59" s="832">
        <v>46751.26</v>
      </c>
      <c r="S59" s="832">
        <v>3473.24</v>
      </c>
      <c r="T59" s="832">
        <v>3473.24</v>
      </c>
      <c r="U59" s="832">
        <v>0</v>
      </c>
      <c r="V59" s="832">
        <v>0</v>
      </c>
      <c r="W59" s="832">
        <v>0</v>
      </c>
      <c r="X59" s="832">
        <v>0</v>
      </c>
      <c r="Y59" s="832">
        <v>0</v>
      </c>
      <c r="Z59" s="832">
        <v>0</v>
      </c>
      <c r="AA59" s="832">
        <v>0</v>
      </c>
      <c r="AB59" s="832">
        <v>0</v>
      </c>
      <c r="AC59" s="832">
        <v>0</v>
      </c>
      <c r="AD59" s="832">
        <v>0</v>
      </c>
      <c r="AE59" s="832">
        <v>0</v>
      </c>
      <c r="AF59" s="832">
        <v>0</v>
      </c>
      <c r="AG59" s="832">
        <v>0</v>
      </c>
      <c r="AH59" s="832">
        <v>0</v>
      </c>
      <c r="AI59" s="832">
        <v>0</v>
      </c>
      <c r="AJ59" s="1030" t="str">
        <f t="shared" si="0"/>
        <v>H01303</v>
      </c>
      <c r="AK59" s="1030" t="str">
        <f t="shared" si="1"/>
        <v>OCC SALAIRES &amp; COMM - F&amp;I</v>
      </c>
      <c r="AL59" s="1030">
        <f>IFERROR(INDEX(G59:R59,1,MATCH(Parametres!$B$3,G$1:R$1,0)-1)*IF(OR(F59="L",F59="S",F59="I"),-1,1),"")</f>
        <v>13656.78</v>
      </c>
      <c r="AM59" s="1030">
        <f t="shared" si="2"/>
        <v>1649.7799999999988</v>
      </c>
      <c r="AN59" s="1030">
        <f>INDEX(G59:R59,1,MATCH(Parametres!$B$3,G$1:R$1,0))*IF(OR(F59="L",F59="S",F59="I"),-1,1)</f>
        <v>15306.56</v>
      </c>
      <c r="AO59" s="598" t="str">
        <f>+VLOOKUP($AJ59,Data_Validation!$A:$D,1,0)</f>
        <v>H01303</v>
      </c>
      <c r="AP59" s="598" t="str">
        <f>+VLOOKUP($AJ59,Data_Validation!$A:$D,3,0)</f>
        <v>Véhicules usagés</v>
      </c>
      <c r="AQ59" s="598" t="str">
        <f>+VLOOKUP($AJ59,Data_Validation!$A:$D,4,0)</f>
        <v>Comm. F&amp;I</v>
      </c>
      <c r="AR59" s="598" t="s">
        <v>299</v>
      </c>
      <c r="AS59" s="598">
        <f>+VLOOKUP($AJ59,Data_Validation!$A:$E,5,0)</f>
        <v>0</v>
      </c>
      <c r="AT59" s="1036" t="str">
        <f t="shared" si="3"/>
        <v>H01303</v>
      </c>
      <c r="AU59" s="599" t="str">
        <f t="shared" si="4"/>
        <v>OCC SALAIRES &amp; COMM - F&amp;I</v>
      </c>
      <c r="AV59" s="1030">
        <f>IFERROR(INDEX(V59:AG59,1,MATCH(Parametres!$B$3,V$1:AG$1,0)-1)*IF(OR(C59="L",C59="S",C59="I"),-1,1),"")</f>
        <v>0</v>
      </c>
      <c r="AW59" s="1030">
        <f t="shared" si="5"/>
        <v>0</v>
      </c>
      <c r="AX59" s="1030">
        <f>INDEX(V59:AG59,1,MATCH(Parametres!$B$3,V$1:AG$1,0))*IF(OR(C59="L",C59="S",C59="I"),-1,1)</f>
        <v>0</v>
      </c>
      <c r="AY59" s="598" t="s">
        <v>337</v>
      </c>
      <c r="AZ59" s="598">
        <f>+VLOOKUP($AJ59,Data_Validation!$A:$E,5,0)</f>
        <v>0</v>
      </c>
    </row>
    <row r="60" spans="1:52" ht="15" customHeight="1">
      <c r="A60" s="832" t="s">
        <v>1150</v>
      </c>
      <c r="B60" s="832">
        <v>2025</v>
      </c>
      <c r="C60" s="832" t="s">
        <v>1266</v>
      </c>
      <c r="D60" s="832" t="s">
        <v>1267</v>
      </c>
      <c r="E60" s="832" t="s">
        <v>333</v>
      </c>
      <c r="F60" s="832" t="s">
        <v>1119</v>
      </c>
      <c r="G60" s="832">
        <v>0</v>
      </c>
      <c r="H60" s="832">
        <v>0</v>
      </c>
      <c r="I60" s="832">
        <v>96.62</v>
      </c>
      <c r="J60" s="832">
        <v>96.62</v>
      </c>
      <c r="K60" s="832">
        <v>96.62</v>
      </c>
      <c r="L60" s="832">
        <v>96.62</v>
      </c>
      <c r="M60" s="832">
        <v>96.62</v>
      </c>
      <c r="N60" s="832">
        <v>96.62</v>
      </c>
      <c r="O60" s="832">
        <v>61.6</v>
      </c>
      <c r="P60" s="832">
        <v>61.62</v>
      </c>
      <c r="Q60" s="832">
        <v>325.62</v>
      </c>
      <c r="R60" s="832">
        <v>1012.7</v>
      </c>
      <c r="S60" s="832">
        <v>29.6</v>
      </c>
      <c r="T60" s="832">
        <v>29.6</v>
      </c>
      <c r="U60" s="832">
        <v>0</v>
      </c>
      <c r="V60" s="832">
        <v>0</v>
      </c>
      <c r="W60" s="832">
        <v>0</v>
      </c>
      <c r="X60" s="832">
        <v>0</v>
      </c>
      <c r="Y60" s="832">
        <v>0</v>
      </c>
      <c r="Z60" s="832">
        <v>0</v>
      </c>
      <c r="AA60" s="832">
        <v>0</v>
      </c>
      <c r="AB60" s="832">
        <v>0</v>
      </c>
      <c r="AC60" s="832">
        <v>0</v>
      </c>
      <c r="AD60" s="832">
        <v>0</v>
      </c>
      <c r="AE60" s="832">
        <v>0</v>
      </c>
      <c r="AF60" s="832">
        <v>0</v>
      </c>
      <c r="AG60" s="832">
        <v>0</v>
      </c>
      <c r="AH60" s="832">
        <v>0</v>
      </c>
      <c r="AI60" s="832">
        <v>0</v>
      </c>
      <c r="AJ60" s="1030" t="str">
        <f t="shared" si="0"/>
        <v>H01304</v>
      </c>
      <c r="AK60" s="1030" t="str">
        <f t="shared" si="1"/>
        <v>OCC LIVRAISON</v>
      </c>
      <c r="AL60" s="1030">
        <f>IFERROR(INDEX(G60:R60,1,MATCH(Parametres!$B$3,G$1:R$1,0)-1)*IF(OR(F60="L",F60="S",F60="I"),-1,1),"")</f>
        <v>96.62</v>
      </c>
      <c r="AM60" s="1030">
        <f t="shared" si="2"/>
        <v>0</v>
      </c>
      <c r="AN60" s="1030">
        <f>INDEX(G60:R60,1,MATCH(Parametres!$B$3,G$1:R$1,0))*IF(OR(F60="L",F60="S",F60="I"),-1,1)</f>
        <v>96.62</v>
      </c>
      <c r="AO60" s="598" t="str">
        <f>+VLOOKUP($AJ60,Data_Validation!$A:$D,1,0)</f>
        <v>H01304</v>
      </c>
      <c r="AP60" s="598" t="str">
        <f>+VLOOKUP($AJ60,Data_Validation!$A:$D,3,0)</f>
        <v>Véhicules usagés</v>
      </c>
      <c r="AQ60" s="598" t="str">
        <f>+VLOOKUP($AJ60,Data_Validation!$A:$D,4,0)</f>
        <v>Frais de livraison</v>
      </c>
      <c r="AR60" s="598" t="s">
        <v>299</v>
      </c>
      <c r="AS60" s="598">
        <f>+VLOOKUP($AJ60,Data_Validation!$A:$E,5,0)</f>
        <v>0</v>
      </c>
      <c r="AT60" s="1036" t="str">
        <f t="shared" si="3"/>
        <v>H01304</v>
      </c>
      <c r="AU60" s="599" t="str">
        <f t="shared" si="4"/>
        <v>OCC LIVRAISON</v>
      </c>
      <c r="AV60" s="1030">
        <f>IFERROR(INDEX(V60:AG60,1,MATCH(Parametres!$B$3,V$1:AG$1,0)-1)*IF(OR(C60="L",C60="S",C60="I"),-1,1),"")</f>
        <v>0</v>
      </c>
      <c r="AW60" s="1030">
        <f t="shared" si="5"/>
        <v>0</v>
      </c>
      <c r="AX60" s="1030">
        <f>INDEX(V60:AG60,1,MATCH(Parametres!$B$3,V$1:AG$1,0))*IF(OR(C60="L",C60="S",C60="I"),-1,1)</f>
        <v>0</v>
      </c>
      <c r="AY60" s="598" t="s">
        <v>337</v>
      </c>
      <c r="AZ60" s="598">
        <f>+VLOOKUP($AJ60,Data_Validation!$A:$E,5,0)</f>
        <v>0</v>
      </c>
    </row>
    <row r="61" spans="1:52" ht="15" customHeight="1">
      <c r="A61" s="832" t="s">
        <v>1150</v>
      </c>
      <c r="B61" s="832">
        <v>2025</v>
      </c>
      <c r="C61" s="832" t="s">
        <v>1268</v>
      </c>
      <c r="D61" s="832" t="s">
        <v>1269</v>
      </c>
      <c r="E61" s="832" t="s">
        <v>333</v>
      </c>
      <c r="F61" s="832" t="s">
        <v>1119</v>
      </c>
      <c r="G61" s="832">
        <v>273.86</v>
      </c>
      <c r="H61" s="832">
        <v>323.81</v>
      </c>
      <c r="I61" s="832">
        <v>413.76</v>
      </c>
      <c r="J61" s="832">
        <v>413.76</v>
      </c>
      <c r="K61" s="832">
        <v>413.76</v>
      </c>
      <c r="L61" s="832">
        <v>413.76</v>
      </c>
      <c r="M61" s="832">
        <v>413.76</v>
      </c>
      <c r="N61" s="832">
        <v>413.76</v>
      </c>
      <c r="O61" s="832">
        <v>413.76</v>
      </c>
      <c r="P61" s="832">
        <v>413.76</v>
      </c>
      <c r="Q61" s="832">
        <v>413.76</v>
      </c>
      <c r="R61" s="832">
        <v>413.76</v>
      </c>
      <c r="S61" s="832">
        <v>37.61</v>
      </c>
      <c r="T61" s="832">
        <v>37.61</v>
      </c>
      <c r="U61" s="832">
        <v>0</v>
      </c>
      <c r="V61" s="832">
        <v>0</v>
      </c>
      <c r="W61" s="832">
        <v>0</v>
      </c>
      <c r="X61" s="832">
        <v>0</v>
      </c>
      <c r="Y61" s="832">
        <v>0</v>
      </c>
      <c r="Z61" s="832">
        <v>0</v>
      </c>
      <c r="AA61" s="832">
        <v>0</v>
      </c>
      <c r="AB61" s="832">
        <v>0</v>
      </c>
      <c r="AC61" s="832">
        <v>0</v>
      </c>
      <c r="AD61" s="832">
        <v>0</v>
      </c>
      <c r="AE61" s="832">
        <v>0</v>
      </c>
      <c r="AF61" s="832">
        <v>0</v>
      </c>
      <c r="AG61" s="832">
        <v>0</v>
      </c>
      <c r="AH61" s="832">
        <v>0</v>
      </c>
      <c r="AI61" s="832">
        <v>0</v>
      </c>
      <c r="AJ61" s="1030" t="str">
        <f t="shared" si="0"/>
        <v>H01305</v>
      </c>
      <c r="AK61" s="1030" t="str">
        <f t="shared" si="1"/>
        <v>OCC PRATIQUE DE GARANTIE</v>
      </c>
      <c r="AL61" s="1030">
        <f>IFERROR(INDEX(G61:R61,1,MATCH(Parametres!$B$3,G$1:R$1,0)-1)*IF(OR(F61="L",F61="S",F61="I"),-1,1),"")</f>
        <v>413.76</v>
      </c>
      <c r="AM61" s="1030">
        <f t="shared" si="2"/>
        <v>0</v>
      </c>
      <c r="AN61" s="1030">
        <f>INDEX(G61:R61,1,MATCH(Parametres!$B$3,G$1:R$1,0))*IF(OR(F61="L",F61="S",F61="I"),-1,1)</f>
        <v>413.76</v>
      </c>
      <c r="AO61" s="598" t="str">
        <f>+VLOOKUP($AJ61,Data_Validation!$A:$D,1,0)</f>
        <v>H01305</v>
      </c>
      <c r="AP61" s="598" t="str">
        <f>+VLOOKUP($AJ61,Data_Validation!$A:$D,3,0)</f>
        <v>Véhicules usagés</v>
      </c>
      <c r="AQ61" s="598" t="str">
        <f>+VLOOKUP($AJ61,Data_Validation!$A:$D,4,0)</f>
        <v>Entretien stock</v>
      </c>
      <c r="AR61" s="598" t="s">
        <v>299</v>
      </c>
      <c r="AS61" s="598">
        <f>+VLOOKUP($AJ61,Data_Validation!$A:$E,5,0)</f>
        <v>0</v>
      </c>
      <c r="AT61" s="1036" t="str">
        <f t="shared" si="3"/>
        <v>H01305</v>
      </c>
      <c r="AU61" s="599" t="str">
        <f t="shared" si="4"/>
        <v>OCC PRATIQUE DE GARANTIE</v>
      </c>
      <c r="AV61" s="1030">
        <f>IFERROR(INDEX(V61:AG61,1,MATCH(Parametres!$B$3,V$1:AG$1,0)-1)*IF(OR(C61="L",C61="S",C61="I"),-1,1),"")</f>
        <v>0</v>
      </c>
      <c r="AW61" s="1030">
        <f t="shared" si="5"/>
        <v>0</v>
      </c>
      <c r="AX61" s="1030">
        <f>INDEX(V61:AG61,1,MATCH(Parametres!$B$3,V$1:AG$1,0))*IF(OR(C61="L",C61="S",C61="I"),-1,1)</f>
        <v>0</v>
      </c>
      <c r="AY61" s="598" t="s">
        <v>337</v>
      </c>
      <c r="AZ61" s="598">
        <f>+VLOOKUP($AJ61,Data_Validation!$A:$E,5,0)</f>
        <v>0</v>
      </c>
    </row>
    <row r="62" spans="1:52" ht="15" customHeight="1">
      <c r="A62" s="832" t="s">
        <v>1150</v>
      </c>
      <c r="B62" s="832">
        <v>2025</v>
      </c>
      <c r="C62" s="832" t="s">
        <v>1270</v>
      </c>
      <c r="D62" s="832" t="s">
        <v>1271</v>
      </c>
      <c r="E62" s="832" t="s">
        <v>333</v>
      </c>
      <c r="F62" s="832" t="s">
        <v>1119</v>
      </c>
      <c r="G62" s="832">
        <v>392</v>
      </c>
      <c r="H62" s="832">
        <v>1013</v>
      </c>
      <c r="I62" s="832">
        <v>1634</v>
      </c>
      <c r="J62" s="832">
        <v>2326</v>
      </c>
      <c r="K62" s="832">
        <v>3882.99</v>
      </c>
      <c r="L62" s="832">
        <v>4794.8599999999997</v>
      </c>
      <c r="M62" s="832">
        <v>5772.92</v>
      </c>
      <c r="N62" s="832">
        <v>6937.24</v>
      </c>
      <c r="O62" s="832">
        <v>7311.02</v>
      </c>
      <c r="P62" s="832">
        <v>7705.11</v>
      </c>
      <c r="Q62" s="832">
        <v>8001.08</v>
      </c>
      <c r="R62" s="832">
        <v>11370.39</v>
      </c>
      <c r="S62" s="832">
        <v>727.37</v>
      </c>
      <c r="T62" s="832">
        <v>727.37</v>
      </c>
      <c r="U62" s="832">
        <v>0</v>
      </c>
      <c r="V62" s="832">
        <v>0</v>
      </c>
      <c r="W62" s="832">
        <v>0</v>
      </c>
      <c r="X62" s="832">
        <v>0</v>
      </c>
      <c r="Y62" s="832">
        <v>0</v>
      </c>
      <c r="Z62" s="832">
        <v>0</v>
      </c>
      <c r="AA62" s="832">
        <v>0</v>
      </c>
      <c r="AB62" s="832">
        <v>0</v>
      </c>
      <c r="AC62" s="832">
        <v>0</v>
      </c>
      <c r="AD62" s="832">
        <v>0</v>
      </c>
      <c r="AE62" s="832">
        <v>0</v>
      </c>
      <c r="AF62" s="832">
        <v>0</v>
      </c>
      <c r="AG62" s="832">
        <v>0</v>
      </c>
      <c r="AH62" s="832">
        <v>0</v>
      </c>
      <c r="AI62" s="832">
        <v>0</v>
      </c>
      <c r="AJ62" s="1030" t="str">
        <f t="shared" si="0"/>
        <v>H01306</v>
      </c>
      <c r="AK62" s="1030" t="str">
        <f t="shared" si="1"/>
        <v>OCC TOT PUB &amp; PROMO VENTE</v>
      </c>
      <c r="AL62" s="1030">
        <f>IFERROR(INDEX(G62:R62,1,MATCH(Parametres!$B$3,G$1:R$1,0)-1)*IF(OR(F62="L",F62="S",F62="I"),-1,1),"")</f>
        <v>2326</v>
      </c>
      <c r="AM62" s="1030">
        <f t="shared" si="2"/>
        <v>1556.9899999999998</v>
      </c>
      <c r="AN62" s="1030">
        <f>INDEX(G62:R62,1,MATCH(Parametres!$B$3,G$1:R$1,0))*IF(OR(F62="L",F62="S",F62="I"),-1,1)</f>
        <v>3882.99</v>
      </c>
      <c r="AO62" s="598" t="str">
        <f>+VLOOKUP($AJ62,Data_Validation!$A:$D,1,0)</f>
        <v>H01306</v>
      </c>
      <c r="AP62" s="598" t="str">
        <f>+VLOOKUP($AJ62,Data_Validation!$A:$D,3,0)</f>
        <v>Véhicules usagés</v>
      </c>
      <c r="AQ62" s="598" t="str">
        <f>+VLOOKUP($AJ62,Data_Validation!$A:$D,4,0)</f>
        <v>Publicité 1</v>
      </c>
      <c r="AR62" s="598" t="s">
        <v>299</v>
      </c>
      <c r="AS62" s="598">
        <f>+VLOOKUP($AJ62,Data_Validation!$A:$E,5,0)</f>
        <v>0</v>
      </c>
      <c r="AT62" s="1036" t="str">
        <f t="shared" si="3"/>
        <v>H01306</v>
      </c>
      <c r="AU62" s="599" t="str">
        <f t="shared" si="4"/>
        <v>OCC TOT PUB &amp; PROMO VENTE</v>
      </c>
      <c r="AV62" s="1030">
        <f>IFERROR(INDEX(V62:AG62,1,MATCH(Parametres!$B$3,V$1:AG$1,0)-1)*IF(OR(C62="L",C62="S",C62="I"),-1,1),"")</f>
        <v>0</v>
      </c>
      <c r="AW62" s="1030">
        <f t="shared" si="5"/>
        <v>0</v>
      </c>
      <c r="AX62" s="1030">
        <f>INDEX(V62:AG62,1,MATCH(Parametres!$B$3,V$1:AG$1,0))*IF(OR(C62="L",C62="S",C62="I"),-1,1)</f>
        <v>0</v>
      </c>
      <c r="AY62" s="598" t="s">
        <v>337</v>
      </c>
      <c r="AZ62" s="598">
        <f>+VLOOKUP($AJ62,Data_Validation!$A:$E,5,0)</f>
        <v>0</v>
      </c>
    </row>
    <row r="63" spans="1:52" ht="15" customHeight="1">
      <c r="A63" s="832" t="s">
        <v>1150</v>
      </c>
      <c r="B63" s="832">
        <v>2025</v>
      </c>
      <c r="C63" s="832" t="s">
        <v>1272</v>
      </c>
      <c r="D63" s="832" t="s">
        <v>1273</v>
      </c>
      <c r="E63" s="832" t="s">
        <v>333</v>
      </c>
      <c r="F63" s="832" t="s">
        <v>1119</v>
      </c>
      <c r="G63" s="832">
        <v>0</v>
      </c>
      <c r="H63" s="832">
        <v>0</v>
      </c>
      <c r="I63" s="832">
        <v>0</v>
      </c>
      <c r="J63" s="832">
        <v>0</v>
      </c>
      <c r="K63" s="832">
        <v>0</v>
      </c>
      <c r="L63" s="832">
        <v>0</v>
      </c>
      <c r="M63" s="832">
        <v>0</v>
      </c>
      <c r="N63" s="832">
        <v>0</v>
      </c>
      <c r="O63" s="832">
        <v>0</v>
      </c>
      <c r="P63" s="832">
        <v>0</v>
      </c>
      <c r="Q63" s="832">
        <v>0</v>
      </c>
      <c r="R63" s="832">
        <v>0</v>
      </c>
      <c r="S63" s="832">
        <v>0</v>
      </c>
      <c r="T63" s="832">
        <v>0</v>
      </c>
      <c r="U63" s="832">
        <v>0</v>
      </c>
      <c r="V63" s="832">
        <v>0</v>
      </c>
      <c r="W63" s="832">
        <v>0</v>
      </c>
      <c r="X63" s="832">
        <v>0</v>
      </c>
      <c r="Y63" s="832">
        <v>0</v>
      </c>
      <c r="Z63" s="832">
        <v>0</v>
      </c>
      <c r="AA63" s="832">
        <v>0</v>
      </c>
      <c r="AB63" s="832">
        <v>0</v>
      </c>
      <c r="AC63" s="832">
        <v>0</v>
      </c>
      <c r="AD63" s="832">
        <v>0</v>
      </c>
      <c r="AE63" s="832">
        <v>0</v>
      </c>
      <c r="AF63" s="832">
        <v>0</v>
      </c>
      <c r="AG63" s="832">
        <v>0</v>
      </c>
      <c r="AH63" s="832">
        <v>0</v>
      </c>
      <c r="AI63" s="832">
        <v>0</v>
      </c>
      <c r="AJ63" s="1030" t="str">
        <f t="shared" si="0"/>
        <v>H01307</v>
      </c>
      <c r="AK63" s="1030" t="str">
        <f t="shared" si="1"/>
        <v>OCC COOP RABAIS HD PUB.</v>
      </c>
      <c r="AL63" s="1030">
        <f>IFERROR(INDEX(G63:R63,1,MATCH(Parametres!$B$3,G$1:R$1,0)-1)*IF(OR(F63="L",F63="S",F63="I"),-1,1),"")</f>
        <v>0</v>
      </c>
      <c r="AM63" s="1030">
        <f t="shared" si="2"/>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t="str">
        <f t="shared" si="3"/>
        <v>H01307</v>
      </c>
      <c r="AU63" s="599" t="str">
        <f t="shared" si="4"/>
        <v>OCC COOP RABAIS HD PUB.</v>
      </c>
      <c r="AV63" s="1030">
        <f>IFERROR(INDEX(V63:AG63,1,MATCH(Parametres!$B$3,V$1:AG$1,0)-1)*IF(OR(C63="L",C63="S",C63="I"),-1,1),"")</f>
        <v>0</v>
      </c>
      <c r="AW63" s="1030">
        <f t="shared" si="5"/>
        <v>0</v>
      </c>
      <c r="AX63" s="1030">
        <f>INDEX(V63:AG63,1,MATCH(Parametres!$B$3,V$1:AG$1,0))*IF(OR(C63="L",C63="S",C63="I"),-1,1)</f>
        <v>0</v>
      </c>
      <c r="AY63" s="598" t="s">
        <v>337</v>
      </c>
      <c r="AZ63" s="598" t="e">
        <f>+VLOOKUP($AJ63,Data_Validation!$A:$E,5,0)</f>
        <v>#N/A</v>
      </c>
    </row>
    <row r="64" spans="1:52" ht="15" customHeight="1">
      <c r="A64" s="832" t="s">
        <v>1150</v>
      </c>
      <c r="B64" s="832">
        <v>2025</v>
      </c>
      <c r="C64" s="832" t="s">
        <v>1274</v>
      </c>
      <c r="D64" s="832" t="s">
        <v>1275</v>
      </c>
      <c r="E64" s="832" t="s">
        <v>333</v>
      </c>
      <c r="F64" s="832" t="s">
        <v>1119</v>
      </c>
      <c r="G64" s="832">
        <v>0</v>
      </c>
      <c r="H64" s="832">
        <v>0</v>
      </c>
      <c r="I64" s="832">
        <v>0</v>
      </c>
      <c r="J64" s="832">
        <v>0</v>
      </c>
      <c r="K64" s="832">
        <v>0</v>
      </c>
      <c r="L64" s="832">
        <v>0</v>
      </c>
      <c r="M64" s="832">
        <v>0</v>
      </c>
      <c r="N64" s="832">
        <v>0</v>
      </c>
      <c r="O64" s="832">
        <v>0</v>
      </c>
      <c r="P64" s="832">
        <v>0</v>
      </c>
      <c r="Q64" s="832">
        <v>0</v>
      </c>
      <c r="R64" s="832">
        <v>0</v>
      </c>
      <c r="S64" s="832">
        <v>0</v>
      </c>
      <c r="T64" s="832">
        <v>0</v>
      </c>
      <c r="U64" s="832">
        <v>0</v>
      </c>
      <c r="V64" s="832">
        <v>0</v>
      </c>
      <c r="W64" s="832">
        <v>0</v>
      </c>
      <c r="X64" s="832">
        <v>0</v>
      </c>
      <c r="Y64" s="832">
        <v>0</v>
      </c>
      <c r="Z64" s="832">
        <v>0</v>
      </c>
      <c r="AA64" s="832">
        <v>0</v>
      </c>
      <c r="AB64" s="832">
        <v>0</v>
      </c>
      <c r="AC64" s="832">
        <v>0</v>
      </c>
      <c r="AD64" s="832">
        <v>0</v>
      </c>
      <c r="AE64" s="832">
        <v>0</v>
      </c>
      <c r="AF64" s="832">
        <v>0</v>
      </c>
      <c r="AG64" s="832">
        <v>0</v>
      </c>
      <c r="AH64" s="832">
        <v>0</v>
      </c>
      <c r="AI64" s="832">
        <v>0</v>
      </c>
      <c r="AJ64" s="1030" t="str">
        <f t="shared" si="0"/>
        <v>H01308</v>
      </c>
      <c r="AK64" s="1030" t="str">
        <f t="shared" si="1"/>
        <v>OCC DEMONSTRATEURS</v>
      </c>
      <c r="AL64" s="1030">
        <f>IFERROR(INDEX(G64:R64,1,MATCH(Parametres!$B$3,G$1:R$1,0)-1)*IF(OR(F64="L",F64="S",F64="I"),-1,1),"")</f>
        <v>0</v>
      </c>
      <c r="AM64" s="1030">
        <f t="shared" si="2"/>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t="str">
        <f t="shared" si="3"/>
        <v>H01308</v>
      </c>
      <c r="AU64" s="599" t="str">
        <f t="shared" si="4"/>
        <v>OCC DEMONSTRATEURS</v>
      </c>
      <c r="AV64" s="1030">
        <f>IFERROR(INDEX(V64:AG64,1,MATCH(Parametres!$B$3,V$1:AG$1,0)-1)*IF(OR(C64="L",C64="S",C64="I"),-1,1),"")</f>
        <v>0</v>
      </c>
      <c r="AW64" s="1030">
        <f t="shared" si="5"/>
        <v>0</v>
      </c>
      <c r="AX64" s="1030">
        <f>INDEX(V64:AG64,1,MATCH(Parametres!$B$3,V$1:AG$1,0))*IF(OR(C64="L",C64="S",C64="I"),-1,1)</f>
        <v>0</v>
      </c>
      <c r="AY64" s="598" t="s">
        <v>337</v>
      </c>
      <c r="AZ64" s="598" t="e">
        <f>+VLOOKUP($AJ64,Data_Validation!$A:$E,5,0)</f>
        <v>#N/A</v>
      </c>
    </row>
    <row r="65" spans="1:52" ht="15" customHeight="1">
      <c r="A65" s="832" t="s">
        <v>1150</v>
      </c>
      <c r="B65" s="832">
        <v>2025</v>
      </c>
      <c r="C65" s="832" t="s">
        <v>1276</v>
      </c>
      <c r="D65" s="832" t="s">
        <v>1277</v>
      </c>
      <c r="E65" s="832" t="s">
        <v>333</v>
      </c>
      <c r="F65" s="832" t="s">
        <v>1119</v>
      </c>
      <c r="G65" s="832">
        <v>108.9</v>
      </c>
      <c r="H65" s="832">
        <v>108.9</v>
      </c>
      <c r="I65" s="832">
        <v>108.9</v>
      </c>
      <c r="J65" s="832">
        <v>108.9</v>
      </c>
      <c r="K65" s="832">
        <v>108.9</v>
      </c>
      <c r="L65" s="832">
        <v>108.9</v>
      </c>
      <c r="M65" s="832">
        <v>108.9</v>
      </c>
      <c r="N65" s="832">
        <v>108.9</v>
      </c>
      <c r="O65" s="832">
        <v>136.88</v>
      </c>
      <c r="P65" s="832">
        <v>136.88</v>
      </c>
      <c r="Q65" s="832">
        <v>136.88</v>
      </c>
      <c r="R65" s="832">
        <v>136.88</v>
      </c>
      <c r="S65" s="832">
        <v>12.44</v>
      </c>
      <c r="T65" s="832">
        <v>12.44</v>
      </c>
      <c r="U65" s="832">
        <v>0</v>
      </c>
      <c r="V65" s="832">
        <v>0</v>
      </c>
      <c r="W65" s="832">
        <v>0</v>
      </c>
      <c r="X65" s="832">
        <v>0</v>
      </c>
      <c r="Y65" s="832">
        <v>0</v>
      </c>
      <c r="Z65" s="832">
        <v>0</v>
      </c>
      <c r="AA65" s="832">
        <v>0</v>
      </c>
      <c r="AB65" s="832">
        <v>0</v>
      </c>
      <c r="AC65" s="832">
        <v>0</v>
      </c>
      <c r="AD65" s="832">
        <v>0</v>
      </c>
      <c r="AE65" s="832">
        <v>0</v>
      </c>
      <c r="AF65" s="832">
        <v>0</v>
      </c>
      <c r="AG65" s="832">
        <v>0</v>
      </c>
      <c r="AH65" s="832">
        <v>0</v>
      </c>
      <c r="AI65" s="832">
        <v>0</v>
      </c>
      <c r="AJ65" s="1030" t="str">
        <f t="shared" si="0"/>
        <v>H01309</v>
      </c>
      <c r="AK65" s="1030" t="str">
        <f t="shared" si="1"/>
        <v>OCC ENT INVENTAIRE</v>
      </c>
      <c r="AL65" s="1030">
        <f>IFERROR(INDEX(G65:R65,1,MATCH(Parametres!$B$3,G$1:R$1,0)-1)*IF(OR(F65="L",F65="S",F65="I"),-1,1),"")</f>
        <v>108.9</v>
      </c>
      <c r="AM65" s="1030">
        <f t="shared" si="2"/>
        <v>0</v>
      </c>
      <c r="AN65" s="1030">
        <f>INDEX(G65:R65,1,MATCH(Parametres!$B$3,G$1:R$1,0))*IF(OR(F65="L",F65="S",F65="I"),-1,1)</f>
        <v>108.9</v>
      </c>
      <c r="AO65" s="598" t="str">
        <f>+VLOOKUP($AJ65,Data_Validation!$A:$D,1,0)</f>
        <v>H01309</v>
      </c>
      <c r="AP65" s="598" t="str">
        <f>+VLOOKUP($AJ65,Data_Validation!$A:$D,3,0)</f>
        <v>Véhicules usagés</v>
      </c>
      <c r="AQ65" s="598" t="str">
        <f>+VLOOKUP($AJ65,Data_Validation!$A:$D,4,0)</f>
        <v>Entretien stock</v>
      </c>
      <c r="AR65" s="598" t="s">
        <v>299</v>
      </c>
      <c r="AS65" s="598">
        <f>+VLOOKUP($AJ65,Data_Validation!$A:$E,5,0)</f>
        <v>0</v>
      </c>
      <c r="AT65" s="1036" t="str">
        <f t="shared" si="3"/>
        <v>H01309</v>
      </c>
      <c r="AU65" s="599" t="str">
        <f t="shared" si="4"/>
        <v>OCC ENT INVENTAIRE</v>
      </c>
      <c r="AV65" s="1030">
        <f>IFERROR(INDEX(V65:AG65,1,MATCH(Parametres!$B$3,V$1:AG$1,0)-1)*IF(OR(C65="L",C65="S",C65="I"),-1,1),"")</f>
        <v>0</v>
      </c>
      <c r="AW65" s="1030">
        <f t="shared" si="5"/>
        <v>0</v>
      </c>
      <c r="AX65" s="1030">
        <f>INDEX(V65:AG65,1,MATCH(Parametres!$B$3,V$1:AG$1,0))*IF(OR(C65="L",C65="S",C65="I"),-1,1)</f>
        <v>0</v>
      </c>
      <c r="AY65" s="598" t="s">
        <v>337</v>
      </c>
      <c r="AZ65" s="598">
        <f>+VLOOKUP($AJ65,Data_Validation!$A:$E,5,0)</f>
        <v>0</v>
      </c>
    </row>
    <row r="66" spans="1:52" ht="15" customHeight="1">
      <c r="A66" s="832" t="s">
        <v>1150</v>
      </c>
      <c r="B66" s="832">
        <v>2025</v>
      </c>
      <c r="C66" s="832" t="s">
        <v>1278</v>
      </c>
      <c r="D66" s="832" t="s">
        <v>1279</v>
      </c>
      <c r="E66" s="832" t="s">
        <v>333</v>
      </c>
      <c r="F66" s="832" t="s">
        <v>1119</v>
      </c>
      <c r="G66" s="832">
        <v>0</v>
      </c>
      <c r="H66" s="832">
        <v>561.08000000000004</v>
      </c>
      <c r="I66" s="832">
        <v>1065.97</v>
      </c>
      <c r="J66" s="832">
        <v>1856.55</v>
      </c>
      <c r="K66" s="832">
        <v>2441.85</v>
      </c>
      <c r="L66" s="832">
        <v>2441.85</v>
      </c>
      <c r="M66" s="832">
        <v>2441.85</v>
      </c>
      <c r="N66" s="832">
        <v>2441.85</v>
      </c>
      <c r="O66" s="832">
        <v>3125.99</v>
      </c>
      <c r="P66" s="832">
        <v>3625.29</v>
      </c>
      <c r="Q66" s="832">
        <v>4676.01</v>
      </c>
      <c r="R66" s="832">
        <v>6139.76</v>
      </c>
      <c r="S66" s="832">
        <v>425.09</v>
      </c>
      <c r="T66" s="832">
        <v>425.09</v>
      </c>
      <c r="U66" s="832">
        <v>0</v>
      </c>
      <c r="V66" s="832">
        <v>0</v>
      </c>
      <c r="W66" s="832">
        <v>0</v>
      </c>
      <c r="X66" s="832">
        <v>0</v>
      </c>
      <c r="Y66" s="832">
        <v>0</v>
      </c>
      <c r="Z66" s="832">
        <v>0</v>
      </c>
      <c r="AA66" s="832">
        <v>0</v>
      </c>
      <c r="AB66" s="832">
        <v>0</v>
      </c>
      <c r="AC66" s="832">
        <v>0</v>
      </c>
      <c r="AD66" s="832">
        <v>0</v>
      </c>
      <c r="AE66" s="832">
        <v>0</v>
      </c>
      <c r="AF66" s="832">
        <v>0</v>
      </c>
      <c r="AG66" s="832">
        <v>0</v>
      </c>
      <c r="AH66" s="832">
        <v>0</v>
      </c>
      <c r="AI66" s="832">
        <v>0</v>
      </c>
      <c r="AJ66" s="1030" t="str">
        <f t="shared" si="0"/>
        <v>H01310</v>
      </c>
      <c r="AK66" s="1030" t="str">
        <f t="shared" si="1"/>
        <v>OCC FRAIS FINANCEMENT</v>
      </c>
      <c r="AL66" s="1030">
        <f>IFERROR(INDEX(G66:R66,1,MATCH(Parametres!$B$3,G$1:R$1,0)-1)*IF(OR(F66="L",F66="S",F66="I"),-1,1),"")</f>
        <v>1856.55</v>
      </c>
      <c r="AM66" s="1030">
        <f t="shared" si="2"/>
        <v>585.29999999999995</v>
      </c>
      <c r="AN66" s="1030">
        <f>INDEX(G66:R66,1,MATCH(Parametres!$B$3,G$1:R$1,0))*IF(OR(F66="L",F66="S",F66="I"),-1,1)</f>
        <v>2441.85</v>
      </c>
      <c r="AO66" s="598" t="str">
        <f>+VLOOKUP($AJ66,Data_Validation!$A:$D,1,0)</f>
        <v>H01310</v>
      </c>
      <c r="AP66" s="598" t="str">
        <f>+VLOOKUP($AJ66,Data_Validation!$A:$D,3,0)</f>
        <v>Véhicules usagés</v>
      </c>
      <c r="AQ66" s="598" t="str">
        <f>+VLOOKUP($AJ66,Data_Validation!$A:$D,4,0)</f>
        <v>Intérêt de gros</v>
      </c>
      <c r="AR66" s="598" t="s">
        <v>299</v>
      </c>
      <c r="AS66" s="598">
        <f>+VLOOKUP($AJ66,Data_Validation!$A:$E,5,0)</f>
        <v>0</v>
      </c>
      <c r="AT66" s="1036" t="str">
        <f t="shared" si="3"/>
        <v>H01310</v>
      </c>
      <c r="AU66" s="599" t="str">
        <f t="shared" si="4"/>
        <v>OCC FRAIS FINANCEMENT</v>
      </c>
      <c r="AV66" s="1030">
        <f>IFERROR(INDEX(V66:AG66,1,MATCH(Parametres!$B$3,V$1:AG$1,0)-1)*IF(OR(C66="L",C66="S",C66="I"),-1,1),"")</f>
        <v>0</v>
      </c>
      <c r="AW66" s="1030">
        <f t="shared" si="5"/>
        <v>0</v>
      </c>
      <c r="AX66" s="1030">
        <f>INDEX(V66:AG66,1,MATCH(Parametres!$B$3,V$1:AG$1,0))*IF(OR(C66="L",C66="S",C66="I"),-1,1)</f>
        <v>0</v>
      </c>
      <c r="AY66" s="598" t="s">
        <v>337</v>
      </c>
      <c r="AZ66" s="598">
        <f>+VLOOKUP($AJ66,Data_Validation!$A:$E,5,0)</f>
        <v>0</v>
      </c>
    </row>
    <row r="67" spans="1:52" ht="15" customHeight="1">
      <c r="A67" s="832" t="s">
        <v>1150</v>
      </c>
      <c r="B67" s="832">
        <v>2025</v>
      </c>
      <c r="C67" s="832" t="s">
        <v>1280</v>
      </c>
      <c r="D67" s="832" t="s">
        <v>1281</v>
      </c>
      <c r="E67" s="832" t="s">
        <v>333</v>
      </c>
      <c r="F67" s="832" t="s">
        <v>1119</v>
      </c>
      <c r="G67" s="832">
        <v>0</v>
      </c>
      <c r="H67" s="832">
        <v>0</v>
      </c>
      <c r="I67" s="832">
        <v>0</v>
      </c>
      <c r="J67" s="832">
        <v>0</v>
      </c>
      <c r="K67" s="832">
        <v>0</v>
      </c>
      <c r="L67" s="832">
        <v>0</v>
      </c>
      <c r="M67" s="832">
        <v>0</v>
      </c>
      <c r="N67" s="832">
        <v>0</v>
      </c>
      <c r="O67" s="832">
        <v>0</v>
      </c>
      <c r="P67" s="832">
        <v>0</v>
      </c>
      <c r="Q67" s="832">
        <v>0</v>
      </c>
      <c r="R67" s="832">
        <v>0</v>
      </c>
      <c r="S67" s="832">
        <v>0</v>
      </c>
      <c r="T67" s="832">
        <v>0</v>
      </c>
      <c r="U67" s="832">
        <v>0</v>
      </c>
      <c r="V67" s="832">
        <v>0</v>
      </c>
      <c r="W67" s="832">
        <v>0</v>
      </c>
      <c r="X67" s="832">
        <v>0</v>
      </c>
      <c r="Y67" s="832">
        <v>0</v>
      </c>
      <c r="Z67" s="832">
        <v>0</v>
      </c>
      <c r="AA67" s="832">
        <v>0</v>
      </c>
      <c r="AB67" s="832">
        <v>0</v>
      </c>
      <c r="AC67" s="832">
        <v>0</v>
      </c>
      <c r="AD67" s="832">
        <v>0</v>
      </c>
      <c r="AE67" s="832">
        <v>0</v>
      </c>
      <c r="AF67" s="832">
        <v>0</v>
      </c>
      <c r="AG67" s="832">
        <v>0</v>
      </c>
      <c r="AH67" s="832">
        <v>0</v>
      </c>
      <c r="AI67" s="832">
        <v>0</v>
      </c>
      <c r="AJ67" s="1030" t="str">
        <f t="shared" si="0"/>
        <v>H01312</v>
      </c>
      <c r="AK67" s="1030" t="str">
        <f t="shared" si="1"/>
        <v>OCC FRAIS DE FINANCE</v>
      </c>
      <c r="AL67" s="1030">
        <f>IFERROR(INDEX(G67:R67,1,MATCH(Parametres!$B$3,G$1:R$1,0)-1)*IF(OR(F67="L",F67="S",F67="I"),-1,1),"")</f>
        <v>0</v>
      </c>
      <c r="AM67" s="1030">
        <f t="shared" si="2"/>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t="str">
        <f t="shared" si="3"/>
        <v>H01312</v>
      </c>
      <c r="AU67" s="599" t="str">
        <f t="shared" si="4"/>
        <v>OCC FRAIS DE FINANCE</v>
      </c>
      <c r="AV67" s="1030">
        <f>IFERROR(INDEX(V67:AG67,1,MATCH(Parametres!$B$3,V$1:AG$1,0)-1)*IF(OR(C67="L",C67="S",C67="I"),-1,1),"")</f>
        <v>0</v>
      </c>
      <c r="AW67" s="1030">
        <f t="shared" si="5"/>
        <v>0</v>
      </c>
      <c r="AX67" s="1030">
        <f>INDEX(V67:AG67,1,MATCH(Parametres!$B$3,V$1:AG$1,0))*IF(OR(C67="L",C67="S",C67="I"),-1,1)</f>
        <v>0</v>
      </c>
      <c r="AY67" s="598" t="s">
        <v>337</v>
      </c>
      <c r="AZ67" s="598" t="e">
        <f>+VLOOKUP($AJ67,Data_Validation!$A:$E,5,0)</f>
        <v>#N/A</v>
      </c>
    </row>
    <row r="68" spans="1:52" ht="15" customHeight="1">
      <c r="A68" s="832" t="s">
        <v>1150</v>
      </c>
      <c r="B68" s="832">
        <v>2025</v>
      </c>
      <c r="C68" s="832" t="s">
        <v>1282</v>
      </c>
      <c r="D68" s="832" t="s">
        <v>1283</v>
      </c>
      <c r="E68" s="832" t="s">
        <v>333</v>
      </c>
      <c r="F68" s="832" t="s">
        <v>1119</v>
      </c>
      <c r="G68" s="832">
        <v>11149.9</v>
      </c>
      <c r="H68" s="832">
        <v>20708.07</v>
      </c>
      <c r="I68" s="832">
        <v>30981.21</v>
      </c>
      <c r="J68" s="832">
        <v>44653.72</v>
      </c>
      <c r="K68" s="832">
        <v>59313.9</v>
      </c>
      <c r="L68" s="832">
        <v>72810.899999999994</v>
      </c>
      <c r="M68" s="832">
        <v>87213.15</v>
      </c>
      <c r="N68" s="832">
        <v>97128.26</v>
      </c>
      <c r="O68" s="832">
        <v>106027.62</v>
      </c>
      <c r="P68" s="832">
        <v>122446.16</v>
      </c>
      <c r="Q68" s="832">
        <v>134529.56</v>
      </c>
      <c r="R68" s="832">
        <v>146661.29999999999</v>
      </c>
      <c r="S68" s="832">
        <v>12229.96</v>
      </c>
      <c r="T68" s="832">
        <v>12229.96</v>
      </c>
      <c r="U68" s="832">
        <v>0</v>
      </c>
      <c r="V68" s="832">
        <v>0</v>
      </c>
      <c r="W68" s="832">
        <v>0</v>
      </c>
      <c r="X68" s="832">
        <v>0</v>
      </c>
      <c r="Y68" s="832">
        <v>0</v>
      </c>
      <c r="Z68" s="832">
        <v>0</v>
      </c>
      <c r="AA68" s="832">
        <v>0</v>
      </c>
      <c r="AB68" s="832">
        <v>0</v>
      </c>
      <c r="AC68" s="832">
        <v>0</v>
      </c>
      <c r="AD68" s="832">
        <v>0</v>
      </c>
      <c r="AE68" s="832">
        <v>0</v>
      </c>
      <c r="AF68" s="832">
        <v>0</v>
      </c>
      <c r="AG68" s="832">
        <v>0</v>
      </c>
      <c r="AH68" s="832">
        <v>0</v>
      </c>
      <c r="AI68" s="832">
        <v>0</v>
      </c>
      <c r="AJ68" s="1030" t="str">
        <f t="shared" ref="AJ68:AJ131" si="6">C68</f>
        <v>H01321</v>
      </c>
      <c r="AK68" s="1030" t="str">
        <f t="shared" ref="AK68:AK131" si="7">D68</f>
        <v>OCC SALAIRES-AUTRES</v>
      </c>
      <c r="AL68" s="1030">
        <f>IFERROR(INDEX(G68:R68,1,MATCH(Parametres!$B$3,G$1:R$1,0)-1)*IF(OR(F68="L",F68="S",F68="I"),-1,1),"")</f>
        <v>44653.72</v>
      </c>
      <c r="AM68" s="1030">
        <f t="shared" ref="AM68:AM131" si="8">AN68-N(AL68)</f>
        <v>14660.18</v>
      </c>
      <c r="AN68" s="1030">
        <f>INDEX(G68:R68,1,MATCH(Parametres!$B$3,G$1:R$1,0))*IF(OR(F68="L",F68="S",F68="I"),-1,1)</f>
        <v>59313.9</v>
      </c>
      <c r="AO68" s="598" t="str">
        <f>+VLOOKUP($AJ68,Data_Validation!$A:$D,1,0)</f>
        <v>H01321</v>
      </c>
      <c r="AP68" s="598" t="str">
        <f>+VLOOKUP($AJ68,Data_Validation!$A:$D,3,0)</f>
        <v>Véhicules usagés</v>
      </c>
      <c r="AQ68" s="598" t="str">
        <f>+VLOOKUP($AJ68,Data_Validation!$A:$D,4,0)</f>
        <v>Salaires autres</v>
      </c>
      <c r="AR68" s="598" t="s">
        <v>299</v>
      </c>
      <c r="AS68" s="598">
        <f>+VLOOKUP($AJ68,Data_Validation!$A:$E,5,0)</f>
        <v>0</v>
      </c>
      <c r="AT68" s="1036" t="str">
        <f t="shared" ref="AT68:AT131" si="9">C68</f>
        <v>H01321</v>
      </c>
      <c r="AU68" s="599" t="str">
        <f t="shared" ref="AU68:AU131" si="10">D68</f>
        <v>OCC SALAIRES-AUTRES</v>
      </c>
      <c r="AV68" s="1030">
        <f>IFERROR(INDEX(V68:AG68,1,MATCH(Parametres!$B$3,V$1:AG$1,0)-1)*IF(OR(C68="L",C68="S",C68="I"),-1,1),"")</f>
        <v>0</v>
      </c>
      <c r="AW68" s="1030">
        <f t="shared" ref="AW68:AW131" si="11">AX68-N(AV68)</f>
        <v>0</v>
      </c>
      <c r="AX68" s="1030">
        <f>INDEX(V68:AG68,1,MATCH(Parametres!$B$3,V$1:AG$1,0))*IF(OR(C68="L",C68="S",C68="I"),-1,1)</f>
        <v>0</v>
      </c>
      <c r="AY68" s="598" t="s">
        <v>337</v>
      </c>
      <c r="AZ68" s="598">
        <f>+VLOOKUP($AJ68,Data_Validation!$A:$E,5,0)</f>
        <v>0</v>
      </c>
    </row>
    <row r="69" spans="1:52" ht="15" customHeight="1">
      <c r="A69" s="832" t="s">
        <v>1150</v>
      </c>
      <c r="B69" s="832">
        <v>2025</v>
      </c>
      <c r="C69" s="832" t="s">
        <v>1284</v>
      </c>
      <c r="D69" s="832" t="s">
        <v>1285</v>
      </c>
      <c r="E69" s="832" t="s">
        <v>333</v>
      </c>
      <c r="F69" s="832" t="s">
        <v>1119</v>
      </c>
      <c r="G69" s="832">
        <v>5068.7299999999996</v>
      </c>
      <c r="H69" s="832">
        <v>7553.36</v>
      </c>
      <c r="I69" s="832">
        <v>9378.76</v>
      </c>
      <c r="J69" s="832">
        <v>11730.33</v>
      </c>
      <c r="K69" s="832">
        <v>15674.92</v>
      </c>
      <c r="L69" s="832">
        <v>18600.61</v>
      </c>
      <c r="M69" s="832">
        <v>22135.56</v>
      </c>
      <c r="N69" s="832">
        <v>25092.87</v>
      </c>
      <c r="O69" s="832">
        <v>26840.18</v>
      </c>
      <c r="P69" s="832">
        <v>29467.45</v>
      </c>
      <c r="Q69" s="832">
        <v>31302.36</v>
      </c>
      <c r="R69" s="832">
        <v>34522.61</v>
      </c>
      <c r="S69" s="832">
        <v>2845.67</v>
      </c>
      <c r="T69" s="832">
        <v>2845.67</v>
      </c>
      <c r="U69" s="832">
        <v>0</v>
      </c>
      <c r="V69" s="832">
        <v>0</v>
      </c>
      <c r="W69" s="832">
        <v>0</v>
      </c>
      <c r="X69" s="832">
        <v>0</v>
      </c>
      <c r="Y69" s="832">
        <v>0</v>
      </c>
      <c r="Z69" s="832">
        <v>0</v>
      </c>
      <c r="AA69" s="832">
        <v>0</v>
      </c>
      <c r="AB69" s="832">
        <v>0</v>
      </c>
      <c r="AC69" s="832">
        <v>0</v>
      </c>
      <c r="AD69" s="832">
        <v>0</v>
      </c>
      <c r="AE69" s="832">
        <v>0</v>
      </c>
      <c r="AF69" s="832">
        <v>0</v>
      </c>
      <c r="AG69" s="832">
        <v>0</v>
      </c>
      <c r="AH69" s="832">
        <v>0</v>
      </c>
      <c r="AI69" s="832">
        <v>0</v>
      </c>
      <c r="AJ69" s="1030" t="str">
        <f t="shared" si="6"/>
        <v>H01323</v>
      </c>
      <c r="AK69" s="1030" t="str">
        <f t="shared" si="7"/>
        <v>OCC ABS. &amp; CONGES PAYES</v>
      </c>
      <c r="AL69" s="1030">
        <f>IFERROR(INDEX(G69:R69,1,MATCH(Parametres!$B$3,G$1:R$1,0)-1)*IF(OR(F69="L",F69="S",F69="I"),-1,1),"")</f>
        <v>11730.33</v>
      </c>
      <c r="AM69" s="1030">
        <f t="shared" si="8"/>
        <v>3944.59</v>
      </c>
      <c r="AN69" s="1030">
        <f>INDEX(G69:R69,1,MATCH(Parametres!$B$3,G$1:R$1,0))*IF(OR(F69="L",F69="S",F69="I"),-1,1)</f>
        <v>15674.92</v>
      </c>
      <c r="AO69" s="598" t="str">
        <f>+VLOOKUP($AJ69,Data_Validation!$A:$D,1,0)</f>
        <v>H01323</v>
      </c>
      <c r="AP69" s="598" t="str">
        <f>+VLOOKUP($AJ69,Data_Validation!$A:$D,3,0)</f>
        <v>Véhicules usagés</v>
      </c>
      <c r="AQ69" s="598" t="str">
        <f>+VLOOKUP($AJ69,Data_Validation!$A:$D,4,0)</f>
        <v>Salaires en absences</v>
      </c>
      <c r="AR69" s="598" t="s">
        <v>299</v>
      </c>
      <c r="AS69" s="598">
        <f>+VLOOKUP($AJ69,Data_Validation!$A:$E,5,0)</f>
        <v>0</v>
      </c>
      <c r="AT69" s="1036" t="str">
        <f t="shared" si="9"/>
        <v>H01323</v>
      </c>
      <c r="AU69" s="599" t="str">
        <f t="shared" si="10"/>
        <v>OCC ABS. &amp; CONGES PAYES</v>
      </c>
      <c r="AV69" s="1030">
        <f>IFERROR(INDEX(V69:AG69,1,MATCH(Parametres!$B$3,V$1:AG$1,0)-1)*IF(OR(C69="L",C69="S",C69="I"),-1,1),"")</f>
        <v>0</v>
      </c>
      <c r="AW69" s="1030">
        <f t="shared" si="11"/>
        <v>0</v>
      </c>
      <c r="AX69" s="1030">
        <f>INDEX(V69:AG69,1,MATCH(Parametres!$B$3,V$1:AG$1,0))*IF(OR(C69="L",C69="S",C69="I"),-1,1)</f>
        <v>0</v>
      </c>
      <c r="AY69" s="598" t="s">
        <v>337</v>
      </c>
      <c r="AZ69" s="598">
        <f>+VLOOKUP($AJ69,Data_Validation!$A:$E,5,0)</f>
        <v>0</v>
      </c>
    </row>
    <row r="70" spans="1:52" ht="15" customHeight="1">
      <c r="A70" s="832" t="s">
        <v>1150</v>
      </c>
      <c r="B70" s="832">
        <v>2025</v>
      </c>
      <c r="C70" s="832" t="s">
        <v>1286</v>
      </c>
      <c r="D70" s="832" t="s">
        <v>1287</v>
      </c>
      <c r="E70" s="832" t="s">
        <v>333</v>
      </c>
      <c r="F70" s="832" t="s">
        <v>1119</v>
      </c>
      <c r="G70" s="832">
        <v>0</v>
      </c>
      <c r="H70" s="832">
        <v>0</v>
      </c>
      <c r="I70" s="832">
        <v>0</v>
      </c>
      <c r="J70" s="832">
        <v>0</v>
      </c>
      <c r="K70" s="832">
        <v>0</v>
      </c>
      <c r="L70" s="832">
        <v>0</v>
      </c>
      <c r="M70" s="832">
        <v>0</v>
      </c>
      <c r="N70" s="832">
        <v>0</v>
      </c>
      <c r="O70" s="832">
        <v>0</v>
      </c>
      <c r="P70" s="832">
        <v>0</v>
      </c>
      <c r="Q70" s="832">
        <v>0</v>
      </c>
      <c r="R70" s="832">
        <v>0</v>
      </c>
      <c r="S70" s="832">
        <v>0</v>
      </c>
      <c r="T70" s="832">
        <v>0</v>
      </c>
      <c r="U70" s="832">
        <v>0</v>
      </c>
      <c r="V70" s="832">
        <v>0</v>
      </c>
      <c r="W70" s="832">
        <v>0</v>
      </c>
      <c r="X70" s="832">
        <v>0</v>
      </c>
      <c r="Y70" s="832">
        <v>0</v>
      </c>
      <c r="Z70" s="832">
        <v>0</v>
      </c>
      <c r="AA70" s="832">
        <v>0</v>
      </c>
      <c r="AB70" s="832">
        <v>0</v>
      </c>
      <c r="AC70" s="832">
        <v>0</v>
      </c>
      <c r="AD70" s="832">
        <v>0</v>
      </c>
      <c r="AE70" s="832">
        <v>0</v>
      </c>
      <c r="AF70" s="832">
        <v>0</v>
      </c>
      <c r="AG70" s="832">
        <v>0</v>
      </c>
      <c r="AH70" s="832">
        <v>0</v>
      </c>
      <c r="AI70" s="832">
        <v>0</v>
      </c>
      <c r="AJ70" s="1030" t="str">
        <f t="shared" si="6"/>
        <v>H01324</v>
      </c>
      <c r="AK70" s="1030" t="str">
        <f t="shared" si="7"/>
        <v>OCC CSST</v>
      </c>
      <c r="AL70" s="1030">
        <f>IFERROR(INDEX(G70:R70,1,MATCH(Parametres!$B$3,G$1:R$1,0)-1)*IF(OR(F70="L",F70="S",F70="I"),-1,1),"")</f>
        <v>0</v>
      </c>
      <c r="AM70" s="1030">
        <f t="shared" si="8"/>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t="str">
        <f t="shared" si="9"/>
        <v>H01324</v>
      </c>
      <c r="AU70" s="599" t="str">
        <f t="shared" si="10"/>
        <v>OCC CSST</v>
      </c>
      <c r="AV70" s="1030">
        <f>IFERROR(INDEX(V70:AG70,1,MATCH(Parametres!$B$3,V$1:AG$1,0)-1)*IF(OR(C70="L",C70="S",C70="I"),-1,1),"")</f>
        <v>0</v>
      </c>
      <c r="AW70" s="1030">
        <f t="shared" si="11"/>
        <v>0</v>
      </c>
      <c r="AX70" s="1030">
        <f>INDEX(V70:AG70,1,MATCH(Parametres!$B$3,V$1:AG$1,0))*IF(OR(C70="L",C70="S",C70="I"),-1,1)</f>
        <v>0</v>
      </c>
      <c r="AY70" s="598" t="s">
        <v>337</v>
      </c>
      <c r="AZ70" s="598" t="e">
        <f>+VLOOKUP($AJ70,Data_Validation!$A:$E,5,0)</f>
        <v>#N/A</v>
      </c>
    </row>
    <row r="71" spans="1:52" ht="15" customHeight="1">
      <c r="A71" s="832" t="s">
        <v>1150</v>
      </c>
      <c r="B71" s="832">
        <v>2025</v>
      </c>
      <c r="C71" s="832" t="s">
        <v>1288</v>
      </c>
      <c r="D71" s="832" t="s">
        <v>1289</v>
      </c>
      <c r="E71" s="832" t="s">
        <v>333</v>
      </c>
      <c r="F71" s="832" t="s">
        <v>1119</v>
      </c>
      <c r="G71" s="832">
        <v>0</v>
      </c>
      <c r="H71" s="832">
        <v>0</v>
      </c>
      <c r="I71" s="832">
        <v>0</v>
      </c>
      <c r="J71" s="832">
        <v>0</v>
      </c>
      <c r="K71" s="832">
        <v>0</v>
      </c>
      <c r="L71" s="832">
        <v>0</v>
      </c>
      <c r="M71" s="832">
        <v>0</v>
      </c>
      <c r="N71" s="832">
        <v>0</v>
      </c>
      <c r="O71" s="832">
        <v>0</v>
      </c>
      <c r="P71" s="832">
        <v>0</v>
      </c>
      <c r="Q71" s="832">
        <v>0</v>
      </c>
      <c r="R71" s="832">
        <v>0</v>
      </c>
      <c r="S71" s="832">
        <v>0</v>
      </c>
      <c r="T71" s="832">
        <v>0</v>
      </c>
      <c r="U71" s="832">
        <v>0</v>
      </c>
      <c r="V71" s="832">
        <v>0</v>
      </c>
      <c r="W71" s="832">
        <v>0</v>
      </c>
      <c r="X71" s="832">
        <v>0</v>
      </c>
      <c r="Y71" s="832">
        <v>0</v>
      </c>
      <c r="Z71" s="832">
        <v>0</v>
      </c>
      <c r="AA71" s="832">
        <v>0</v>
      </c>
      <c r="AB71" s="832">
        <v>0</v>
      </c>
      <c r="AC71" s="832">
        <v>0</v>
      </c>
      <c r="AD71" s="832">
        <v>0</v>
      </c>
      <c r="AE71" s="832">
        <v>0</v>
      </c>
      <c r="AF71" s="832">
        <v>0</v>
      </c>
      <c r="AG71" s="832">
        <v>0</v>
      </c>
      <c r="AH71" s="832">
        <v>0</v>
      </c>
      <c r="AI71" s="832">
        <v>0</v>
      </c>
      <c r="AJ71" s="1030" t="str">
        <f t="shared" si="6"/>
        <v>H01325</v>
      </c>
      <c r="AK71" s="1030" t="str">
        <f t="shared" si="7"/>
        <v>OCC ASSURANCE CHOMAGE</v>
      </c>
      <c r="AL71" s="1030">
        <f>IFERROR(INDEX(G71:R71,1,MATCH(Parametres!$B$3,G$1:R$1,0)-1)*IF(OR(F71="L",F71="S",F71="I"),-1,1),"")</f>
        <v>0</v>
      </c>
      <c r="AM71" s="1030">
        <f t="shared" si="8"/>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t="str">
        <f t="shared" si="9"/>
        <v>H01325</v>
      </c>
      <c r="AU71" s="599" t="str">
        <f t="shared" si="10"/>
        <v>OCC ASSURANCE CHOMAGE</v>
      </c>
      <c r="AV71" s="1030">
        <f>IFERROR(INDEX(V71:AG71,1,MATCH(Parametres!$B$3,V$1:AG$1,0)-1)*IF(OR(C71="L",C71="S",C71="I"),-1,1),"")</f>
        <v>0</v>
      </c>
      <c r="AW71" s="1030">
        <f t="shared" si="11"/>
        <v>0</v>
      </c>
      <c r="AX71" s="1030">
        <f>INDEX(V71:AG71,1,MATCH(Parametres!$B$3,V$1:AG$1,0))*IF(OR(C71="L",C71="S",C71="I"),-1,1)</f>
        <v>0</v>
      </c>
      <c r="AY71" s="598" t="s">
        <v>337</v>
      </c>
      <c r="AZ71" s="598" t="e">
        <f>+VLOOKUP($AJ71,Data_Validation!$A:$E,5,0)</f>
        <v>#N/A</v>
      </c>
    </row>
    <row r="72" spans="1:52" ht="15" customHeight="1">
      <c r="A72" s="832" t="s">
        <v>1150</v>
      </c>
      <c r="B72" s="832">
        <v>2025</v>
      </c>
      <c r="C72" s="832" t="s">
        <v>1290</v>
      </c>
      <c r="D72" s="832" t="s">
        <v>1291</v>
      </c>
      <c r="E72" s="832" t="s">
        <v>333</v>
      </c>
      <c r="F72" s="832" t="s">
        <v>1119</v>
      </c>
      <c r="G72" s="832">
        <v>391.51</v>
      </c>
      <c r="H72" s="832">
        <v>743.01</v>
      </c>
      <c r="I72" s="832">
        <v>1115.9000000000001</v>
      </c>
      <c r="J72" s="832">
        <v>1502.55</v>
      </c>
      <c r="K72" s="832">
        <v>1889.2</v>
      </c>
      <c r="L72" s="832">
        <v>2233.61</v>
      </c>
      <c r="M72" s="832">
        <v>2606.9299999999998</v>
      </c>
      <c r="N72" s="832">
        <v>3111.9</v>
      </c>
      <c r="O72" s="832">
        <v>3392.43</v>
      </c>
      <c r="P72" s="832">
        <v>3871.89</v>
      </c>
      <c r="Q72" s="832">
        <v>4191.01</v>
      </c>
      <c r="R72" s="832">
        <v>4562.96</v>
      </c>
      <c r="S72" s="832">
        <v>381</v>
      </c>
      <c r="T72" s="832">
        <v>381</v>
      </c>
      <c r="U72" s="832">
        <v>0</v>
      </c>
      <c r="V72" s="832">
        <v>0</v>
      </c>
      <c r="W72" s="832">
        <v>0</v>
      </c>
      <c r="X72" s="832">
        <v>0</v>
      </c>
      <c r="Y72" s="832">
        <v>0</v>
      </c>
      <c r="Z72" s="832">
        <v>0</v>
      </c>
      <c r="AA72" s="832">
        <v>0</v>
      </c>
      <c r="AB72" s="832">
        <v>0</v>
      </c>
      <c r="AC72" s="832">
        <v>0</v>
      </c>
      <c r="AD72" s="832">
        <v>0</v>
      </c>
      <c r="AE72" s="832">
        <v>0</v>
      </c>
      <c r="AF72" s="832">
        <v>0</v>
      </c>
      <c r="AG72" s="832">
        <v>0</v>
      </c>
      <c r="AH72" s="832">
        <v>0</v>
      </c>
      <c r="AI72" s="832">
        <v>0</v>
      </c>
      <c r="AJ72" s="1030" t="str">
        <f t="shared" si="6"/>
        <v>H01326</v>
      </c>
      <c r="AK72" s="1030" t="str">
        <f t="shared" si="7"/>
        <v>OCC ASSURANCE GROUPE</v>
      </c>
      <c r="AL72" s="1030">
        <f>IFERROR(INDEX(G72:R72,1,MATCH(Parametres!$B$3,G$1:R$1,0)-1)*IF(OR(F72="L",F72="S",F72="I"),-1,1),"")</f>
        <v>1502.55</v>
      </c>
      <c r="AM72" s="1030">
        <f t="shared" si="8"/>
        <v>386.65000000000009</v>
      </c>
      <c r="AN72" s="1030">
        <f>INDEX(G72:R72,1,MATCH(Parametres!$B$3,G$1:R$1,0))*IF(OR(F72="L",F72="S",F72="I"),-1,1)</f>
        <v>1889.2</v>
      </c>
      <c r="AO72" s="598" t="str">
        <f>+VLOOKUP($AJ72,Data_Validation!$A:$D,1,0)</f>
        <v>H01326</v>
      </c>
      <c r="AP72" s="598" t="str">
        <f>+VLOOKUP($AJ72,Data_Validation!$A:$D,3,0)</f>
        <v>Véhicules usagés</v>
      </c>
      <c r="AQ72" s="598" t="str">
        <f>+VLOOKUP($AJ72,Data_Validation!$A:$D,4,0)</f>
        <v>Bénéfices marginaux</v>
      </c>
      <c r="AR72" s="598" t="s">
        <v>299</v>
      </c>
      <c r="AS72" s="598">
        <f>+VLOOKUP($AJ72,Data_Validation!$A:$E,5,0)</f>
        <v>0</v>
      </c>
      <c r="AT72" s="1036" t="str">
        <f t="shared" si="9"/>
        <v>H01326</v>
      </c>
      <c r="AU72" s="599" t="str">
        <f t="shared" si="10"/>
        <v>OCC ASSURANCE GROUPE</v>
      </c>
      <c r="AV72" s="1030">
        <f>IFERROR(INDEX(V72:AG72,1,MATCH(Parametres!$B$3,V$1:AG$1,0)-1)*IF(OR(C72="L",C72="S",C72="I"),-1,1),"")</f>
        <v>0</v>
      </c>
      <c r="AW72" s="1030">
        <f t="shared" si="11"/>
        <v>0</v>
      </c>
      <c r="AX72" s="1030">
        <f>INDEX(V72:AG72,1,MATCH(Parametres!$B$3,V$1:AG$1,0))*IF(OR(C72="L",C72="S",C72="I"),-1,1)</f>
        <v>0</v>
      </c>
      <c r="AY72" s="598" t="s">
        <v>337</v>
      </c>
      <c r="AZ72" s="598">
        <f>+VLOOKUP($AJ72,Data_Validation!$A:$E,5,0)</f>
        <v>0</v>
      </c>
    </row>
    <row r="73" spans="1:52" ht="15" customHeight="1">
      <c r="A73" s="832" t="s">
        <v>1150</v>
      </c>
      <c r="B73" s="832">
        <v>2025</v>
      </c>
      <c r="C73" s="832" t="s">
        <v>1292</v>
      </c>
      <c r="D73" s="832" t="s">
        <v>1293</v>
      </c>
      <c r="E73" s="832" t="s">
        <v>333</v>
      </c>
      <c r="F73" s="832" t="s">
        <v>1119</v>
      </c>
      <c r="G73" s="832">
        <v>5849.9</v>
      </c>
      <c r="H73" s="832">
        <v>10720.49</v>
      </c>
      <c r="I73" s="832">
        <v>14293.21</v>
      </c>
      <c r="J73" s="832">
        <v>19665.68</v>
      </c>
      <c r="K73" s="832">
        <v>26782.31</v>
      </c>
      <c r="L73" s="832">
        <v>31203.88</v>
      </c>
      <c r="M73" s="832">
        <v>34190.839999999997</v>
      </c>
      <c r="N73" s="832">
        <v>37330.11</v>
      </c>
      <c r="O73" s="832">
        <v>39189.11</v>
      </c>
      <c r="P73" s="832">
        <v>41750.370000000003</v>
      </c>
      <c r="Q73" s="832">
        <v>44440.54</v>
      </c>
      <c r="R73" s="832">
        <v>48137.94</v>
      </c>
      <c r="S73" s="832">
        <v>4040.05</v>
      </c>
      <c r="T73" s="832">
        <v>4040.05</v>
      </c>
      <c r="U73" s="832">
        <v>0</v>
      </c>
      <c r="V73" s="832">
        <v>0</v>
      </c>
      <c r="W73" s="832">
        <v>0</v>
      </c>
      <c r="X73" s="832">
        <v>0</v>
      </c>
      <c r="Y73" s="832">
        <v>0</v>
      </c>
      <c r="Z73" s="832">
        <v>0</v>
      </c>
      <c r="AA73" s="832">
        <v>0</v>
      </c>
      <c r="AB73" s="832">
        <v>0</v>
      </c>
      <c r="AC73" s="832">
        <v>0</v>
      </c>
      <c r="AD73" s="832">
        <v>0</v>
      </c>
      <c r="AE73" s="832">
        <v>0</v>
      </c>
      <c r="AF73" s="832">
        <v>0</v>
      </c>
      <c r="AG73" s="832">
        <v>0</v>
      </c>
      <c r="AH73" s="832">
        <v>0</v>
      </c>
      <c r="AI73" s="832">
        <v>0</v>
      </c>
      <c r="AJ73" s="1030" t="str">
        <f t="shared" si="6"/>
        <v>H01327</v>
      </c>
      <c r="AK73" s="1030" t="str">
        <f t="shared" si="7"/>
        <v>OCC AUTRES AV. SOCIAUX</v>
      </c>
      <c r="AL73" s="1030">
        <f>IFERROR(INDEX(G73:R73,1,MATCH(Parametres!$B$3,G$1:R$1,0)-1)*IF(OR(F73="L",F73="S",F73="I"),-1,1),"")</f>
        <v>19665.68</v>
      </c>
      <c r="AM73" s="1030">
        <f t="shared" si="8"/>
        <v>7116.630000000001</v>
      </c>
      <c r="AN73" s="1030">
        <f>INDEX(G73:R73,1,MATCH(Parametres!$B$3,G$1:R$1,0))*IF(OR(F73="L",F73="S",F73="I"),-1,1)</f>
        <v>26782.31</v>
      </c>
      <c r="AO73" s="598" t="str">
        <f>+VLOOKUP($AJ73,Data_Validation!$A:$D,1,0)</f>
        <v>H01327</v>
      </c>
      <c r="AP73" s="598" t="str">
        <f>+VLOOKUP($AJ73,Data_Validation!$A:$D,3,0)</f>
        <v>Véhicules usagés</v>
      </c>
      <c r="AQ73" s="598" t="str">
        <f>+VLOOKUP($AJ73,Data_Validation!$A:$D,4,0)</f>
        <v>Déduction à la source</v>
      </c>
      <c r="AR73" s="598" t="s">
        <v>299</v>
      </c>
      <c r="AS73" s="598">
        <f>+VLOOKUP($AJ73,Data_Validation!$A:$E,5,0)</f>
        <v>0</v>
      </c>
      <c r="AT73" s="1036" t="str">
        <f t="shared" si="9"/>
        <v>H01327</v>
      </c>
      <c r="AU73" s="599" t="str">
        <f t="shared" si="10"/>
        <v>OCC AUTRES AV. SOCIAUX</v>
      </c>
      <c r="AV73" s="1030">
        <f>IFERROR(INDEX(V73:AG73,1,MATCH(Parametres!$B$3,V$1:AG$1,0)-1)*IF(OR(C73="L",C73="S",C73="I"),-1,1),"")</f>
        <v>0</v>
      </c>
      <c r="AW73" s="1030">
        <f t="shared" si="11"/>
        <v>0</v>
      </c>
      <c r="AX73" s="1030">
        <f>INDEX(V73:AG73,1,MATCH(Parametres!$B$3,V$1:AG$1,0))*IF(OR(C73="L",C73="S",C73="I"),-1,1)</f>
        <v>0</v>
      </c>
      <c r="AY73" s="598" t="s">
        <v>337</v>
      </c>
      <c r="AZ73" s="598">
        <f>+VLOOKUP($AJ73,Data_Validation!$A:$E,5,0)</f>
        <v>0</v>
      </c>
    </row>
    <row r="74" spans="1:52" ht="15" customHeight="1">
      <c r="A74" s="832" t="s">
        <v>1150</v>
      </c>
      <c r="B74" s="832">
        <v>2025</v>
      </c>
      <c r="C74" s="832" t="s">
        <v>1294</v>
      </c>
      <c r="D74" s="832" t="s">
        <v>1295</v>
      </c>
      <c r="E74" s="832" t="s">
        <v>333</v>
      </c>
      <c r="F74" s="832" t="s">
        <v>1119</v>
      </c>
      <c r="G74" s="832">
        <v>0</v>
      </c>
      <c r="H74" s="832">
        <v>0</v>
      </c>
      <c r="I74" s="832">
        <v>0</v>
      </c>
      <c r="J74" s="832">
        <v>0</v>
      </c>
      <c r="K74" s="832">
        <v>0</v>
      </c>
      <c r="L74" s="832">
        <v>0</v>
      </c>
      <c r="M74" s="832">
        <v>0</v>
      </c>
      <c r="N74" s="832">
        <v>0</v>
      </c>
      <c r="O74" s="832">
        <v>0</v>
      </c>
      <c r="P74" s="832">
        <v>0</v>
      </c>
      <c r="Q74" s="832">
        <v>0</v>
      </c>
      <c r="R74" s="832">
        <v>0</v>
      </c>
      <c r="S74" s="832">
        <v>0</v>
      </c>
      <c r="T74" s="832">
        <v>0</v>
      </c>
      <c r="U74" s="832">
        <v>0</v>
      </c>
      <c r="V74" s="832">
        <v>0</v>
      </c>
      <c r="W74" s="832">
        <v>0</v>
      </c>
      <c r="X74" s="832">
        <v>0</v>
      </c>
      <c r="Y74" s="832">
        <v>0</v>
      </c>
      <c r="Z74" s="832">
        <v>0</v>
      </c>
      <c r="AA74" s="832">
        <v>0</v>
      </c>
      <c r="AB74" s="832">
        <v>0</v>
      </c>
      <c r="AC74" s="832">
        <v>0</v>
      </c>
      <c r="AD74" s="832">
        <v>0</v>
      </c>
      <c r="AE74" s="832">
        <v>0</v>
      </c>
      <c r="AF74" s="832">
        <v>0</v>
      </c>
      <c r="AG74" s="832">
        <v>0</v>
      </c>
      <c r="AH74" s="832">
        <v>0</v>
      </c>
      <c r="AI74" s="832">
        <v>0</v>
      </c>
      <c r="AJ74" s="1030" t="str">
        <f t="shared" si="6"/>
        <v>H01328</v>
      </c>
      <c r="AK74" s="1030" t="str">
        <f t="shared" si="7"/>
        <v>OCC FORMATION</v>
      </c>
      <c r="AL74" s="1030">
        <f>IFERROR(INDEX(G74:R74,1,MATCH(Parametres!$B$3,G$1:R$1,0)-1)*IF(OR(F74="L",F74="S",F74="I"),-1,1),"")</f>
        <v>0</v>
      </c>
      <c r="AM74" s="1030">
        <f t="shared" si="8"/>
        <v>0</v>
      </c>
      <c r="AN74" s="1030">
        <f>INDEX(G74:R74,1,MATCH(Parametres!$B$3,G$1:R$1,0))*IF(OR(F74="L",F74="S",F74="I"),-1,1)</f>
        <v>0</v>
      </c>
      <c r="AO74" s="598" t="str">
        <f>+VLOOKUP($AJ74,Data_Validation!$A:$D,1,0)</f>
        <v>H01328</v>
      </c>
      <c r="AP74" s="598" t="str">
        <f>+VLOOKUP($AJ74,Data_Validation!$A:$D,3,0)</f>
        <v>Véhicules usagés</v>
      </c>
      <c r="AQ74" s="598" t="str">
        <f>+VLOOKUP($AJ74,Data_Validation!$A:$D,4,0)</f>
        <v>Formation</v>
      </c>
      <c r="AR74" s="598" t="s">
        <v>299</v>
      </c>
      <c r="AS74" s="598">
        <f>+VLOOKUP($AJ74,Data_Validation!$A:$E,5,0)</f>
        <v>0</v>
      </c>
      <c r="AT74" s="1036" t="str">
        <f t="shared" si="9"/>
        <v>H01328</v>
      </c>
      <c r="AU74" s="599" t="str">
        <f t="shared" si="10"/>
        <v>OCC FORMATION</v>
      </c>
      <c r="AV74" s="1030">
        <f>IFERROR(INDEX(V74:AG74,1,MATCH(Parametres!$B$3,V$1:AG$1,0)-1)*IF(OR(C74="L",C74="S",C74="I"),-1,1),"")</f>
        <v>0</v>
      </c>
      <c r="AW74" s="1030">
        <f t="shared" si="11"/>
        <v>0</v>
      </c>
      <c r="AX74" s="1030">
        <f>INDEX(V74:AG74,1,MATCH(Parametres!$B$3,V$1:AG$1,0))*IF(OR(C74="L",C74="S",C74="I"),-1,1)</f>
        <v>0</v>
      </c>
      <c r="AY74" s="598" t="s">
        <v>337</v>
      </c>
      <c r="AZ74" s="598">
        <f>+VLOOKUP($AJ74,Data_Validation!$A:$E,5,0)</f>
        <v>0</v>
      </c>
    </row>
    <row r="75" spans="1:52" ht="15" customHeight="1">
      <c r="A75" s="832" t="s">
        <v>1150</v>
      </c>
      <c r="B75" s="832">
        <v>2025</v>
      </c>
      <c r="C75" s="832" t="s">
        <v>1296</v>
      </c>
      <c r="D75" s="832" t="s">
        <v>1297</v>
      </c>
      <c r="E75" s="832" t="s">
        <v>333</v>
      </c>
      <c r="F75" s="832" t="s">
        <v>1119</v>
      </c>
      <c r="G75" s="832">
        <v>744.95</v>
      </c>
      <c r="H75" s="832">
        <v>1459.01</v>
      </c>
      <c r="I75" s="832">
        <v>1846.6</v>
      </c>
      <c r="J75" s="832">
        <v>2396.3200000000002</v>
      </c>
      <c r="K75" s="832">
        <v>2970.89</v>
      </c>
      <c r="L75" s="832">
        <v>3609.36</v>
      </c>
      <c r="M75" s="832">
        <v>4139.92</v>
      </c>
      <c r="N75" s="832">
        <v>5030.71</v>
      </c>
      <c r="O75" s="832">
        <v>5792.54</v>
      </c>
      <c r="P75" s="832">
        <v>6236.37</v>
      </c>
      <c r="Q75" s="832">
        <v>6405.81</v>
      </c>
      <c r="R75" s="832">
        <v>6892.55</v>
      </c>
      <c r="S75" s="832">
        <v>582.35</v>
      </c>
      <c r="T75" s="832">
        <v>582.35</v>
      </c>
      <c r="U75" s="832">
        <v>0</v>
      </c>
      <c r="V75" s="832">
        <v>0</v>
      </c>
      <c r="W75" s="832">
        <v>0</v>
      </c>
      <c r="X75" s="832">
        <v>0</v>
      </c>
      <c r="Y75" s="832">
        <v>0</v>
      </c>
      <c r="Z75" s="832">
        <v>0</v>
      </c>
      <c r="AA75" s="832">
        <v>0</v>
      </c>
      <c r="AB75" s="832">
        <v>0</v>
      </c>
      <c r="AC75" s="832">
        <v>0</v>
      </c>
      <c r="AD75" s="832">
        <v>0</v>
      </c>
      <c r="AE75" s="832">
        <v>0</v>
      </c>
      <c r="AF75" s="832">
        <v>0</v>
      </c>
      <c r="AG75" s="832">
        <v>0</v>
      </c>
      <c r="AH75" s="832">
        <v>0</v>
      </c>
      <c r="AI75" s="832">
        <v>0</v>
      </c>
      <c r="AJ75" s="1030" t="str">
        <f t="shared" si="6"/>
        <v>H01330</v>
      </c>
      <c r="AK75" s="1030" t="str">
        <f t="shared" si="7"/>
        <v>OCC PAPETRIE-FOUR. BUREAU</v>
      </c>
      <c r="AL75" s="1030">
        <f>IFERROR(INDEX(G75:R75,1,MATCH(Parametres!$B$3,G$1:R$1,0)-1)*IF(OR(F75="L",F75="S",F75="I"),-1,1),"")</f>
        <v>2396.3200000000002</v>
      </c>
      <c r="AM75" s="1030">
        <f t="shared" si="8"/>
        <v>574.56999999999971</v>
      </c>
      <c r="AN75" s="1030">
        <f>INDEX(G75:R75,1,MATCH(Parametres!$B$3,G$1:R$1,0))*IF(OR(F75="L",F75="S",F75="I"),-1,1)</f>
        <v>2970.89</v>
      </c>
      <c r="AO75" s="598" t="str">
        <f>+VLOOKUP($AJ75,Data_Validation!$A:$D,1,0)</f>
        <v>H01330</v>
      </c>
      <c r="AP75" s="598" t="str">
        <f>+VLOOKUP($AJ75,Data_Validation!$A:$D,3,0)</f>
        <v>Véhicules usagés</v>
      </c>
      <c r="AQ75" s="598" t="str">
        <f>+VLOOKUP($AJ75,Data_Validation!$A:$D,4,0)</f>
        <v>Papeterie</v>
      </c>
      <c r="AR75" s="598" t="s">
        <v>299</v>
      </c>
      <c r="AS75" s="598">
        <f>+VLOOKUP($AJ75,Data_Validation!$A:$E,5,0)</f>
        <v>0</v>
      </c>
      <c r="AT75" s="1036" t="str">
        <f t="shared" si="9"/>
        <v>H01330</v>
      </c>
      <c r="AU75" s="599" t="str">
        <f t="shared" si="10"/>
        <v>OCC PAPETRIE-FOUR. BUREAU</v>
      </c>
      <c r="AV75" s="1030">
        <f>IFERROR(INDEX(V75:AG75,1,MATCH(Parametres!$B$3,V$1:AG$1,0)-1)*IF(OR(C75="L",C75="S",C75="I"),-1,1),"")</f>
        <v>0</v>
      </c>
      <c r="AW75" s="1030">
        <f t="shared" si="11"/>
        <v>0</v>
      </c>
      <c r="AX75" s="1030">
        <f>INDEX(V75:AG75,1,MATCH(Parametres!$B$3,V$1:AG$1,0))*IF(OR(C75="L",C75="S",C75="I"),-1,1)</f>
        <v>0</v>
      </c>
      <c r="AY75" s="598" t="s">
        <v>337</v>
      </c>
      <c r="AZ75" s="598">
        <f>+VLOOKUP($AJ75,Data_Validation!$A:$E,5,0)</f>
        <v>0</v>
      </c>
    </row>
    <row r="76" spans="1:52" ht="15" customHeight="1">
      <c r="A76" s="832" t="s">
        <v>1150</v>
      </c>
      <c r="B76" s="832">
        <v>2025</v>
      </c>
      <c r="C76" s="832" t="s">
        <v>1298</v>
      </c>
      <c r="D76" s="832" t="s">
        <v>1299</v>
      </c>
      <c r="E76" s="832" t="s">
        <v>333</v>
      </c>
      <c r="F76" s="832" t="s">
        <v>1119</v>
      </c>
      <c r="G76" s="832">
        <v>0</v>
      </c>
      <c r="H76" s="832">
        <v>0</v>
      </c>
      <c r="I76" s="832">
        <v>0</v>
      </c>
      <c r="J76" s="832">
        <v>0</v>
      </c>
      <c r="K76" s="832">
        <v>0</v>
      </c>
      <c r="L76" s="832">
        <v>0</v>
      </c>
      <c r="M76" s="832">
        <v>0</v>
      </c>
      <c r="N76" s="832">
        <v>0</v>
      </c>
      <c r="O76" s="832">
        <v>0</v>
      </c>
      <c r="P76" s="832">
        <v>0</v>
      </c>
      <c r="Q76" s="832">
        <v>0</v>
      </c>
      <c r="R76" s="832">
        <v>0</v>
      </c>
      <c r="S76" s="832">
        <v>0</v>
      </c>
      <c r="T76" s="832">
        <v>0</v>
      </c>
      <c r="U76" s="832">
        <v>0</v>
      </c>
      <c r="V76" s="832">
        <v>0</v>
      </c>
      <c r="W76" s="832">
        <v>0</v>
      </c>
      <c r="X76" s="832">
        <v>0</v>
      </c>
      <c r="Y76" s="832">
        <v>0</v>
      </c>
      <c r="Z76" s="832">
        <v>0</v>
      </c>
      <c r="AA76" s="832">
        <v>0</v>
      </c>
      <c r="AB76" s="832">
        <v>0</v>
      </c>
      <c r="AC76" s="832">
        <v>0</v>
      </c>
      <c r="AD76" s="832">
        <v>0</v>
      </c>
      <c r="AE76" s="832">
        <v>0</v>
      </c>
      <c r="AF76" s="832">
        <v>0</v>
      </c>
      <c r="AG76" s="832">
        <v>0</v>
      </c>
      <c r="AH76" s="832">
        <v>0</v>
      </c>
      <c r="AI76" s="832">
        <v>0</v>
      </c>
      <c r="AJ76" s="1030" t="str">
        <f t="shared" si="6"/>
        <v>H01331</v>
      </c>
      <c r="AK76" s="1030" t="str">
        <f t="shared" si="7"/>
        <v>OCC OUTIL-FOUR. DIVERS</v>
      </c>
      <c r="AL76" s="1030">
        <f>IFERROR(INDEX(G76:R76,1,MATCH(Parametres!$B$3,G$1:R$1,0)-1)*IF(OR(F76="L",F76="S",F76="I"),-1,1),"")</f>
        <v>0</v>
      </c>
      <c r="AM76" s="1030">
        <f t="shared" si="8"/>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t="str">
        <f t="shared" si="9"/>
        <v>H01331</v>
      </c>
      <c r="AU76" s="599" t="str">
        <f t="shared" si="10"/>
        <v>OCC OUTIL-FOUR. DIVERS</v>
      </c>
      <c r="AV76" s="1030">
        <f>IFERROR(INDEX(V76:AG76,1,MATCH(Parametres!$B$3,V$1:AG$1,0)-1)*IF(OR(C76="L",C76="S",C76="I"),-1,1),"")</f>
        <v>0</v>
      </c>
      <c r="AW76" s="1030">
        <f t="shared" si="11"/>
        <v>0</v>
      </c>
      <c r="AX76" s="1030">
        <f>INDEX(V76:AG76,1,MATCH(Parametres!$B$3,V$1:AG$1,0))*IF(OR(C76="L",C76="S",C76="I"),-1,1)</f>
        <v>0</v>
      </c>
      <c r="AY76" s="598" t="s">
        <v>337</v>
      </c>
      <c r="AZ76" s="598" t="e">
        <f>+VLOOKUP($AJ76,Data_Validation!$A:$E,5,0)</f>
        <v>#N/A</v>
      </c>
    </row>
    <row r="77" spans="1:52" ht="15" customHeight="1">
      <c r="A77" s="832" t="s">
        <v>1150</v>
      </c>
      <c r="B77" s="832">
        <v>2025</v>
      </c>
      <c r="C77" s="832" t="s">
        <v>1300</v>
      </c>
      <c r="D77" s="832" t="s">
        <v>1301</v>
      </c>
      <c r="E77" s="832" t="s">
        <v>333</v>
      </c>
      <c r="F77" s="832" t="s">
        <v>1119</v>
      </c>
      <c r="G77" s="832">
        <v>0</v>
      </c>
      <c r="H77" s="832">
        <v>0</v>
      </c>
      <c r="I77" s="832">
        <v>0</v>
      </c>
      <c r="J77" s="832">
        <v>0</v>
      </c>
      <c r="K77" s="832">
        <v>0</v>
      </c>
      <c r="L77" s="832">
        <v>0</v>
      </c>
      <c r="M77" s="832">
        <v>0</v>
      </c>
      <c r="N77" s="832">
        <v>0</v>
      </c>
      <c r="O77" s="832">
        <v>0</v>
      </c>
      <c r="P77" s="832">
        <v>0</v>
      </c>
      <c r="Q77" s="832">
        <v>0</v>
      </c>
      <c r="R77" s="832">
        <v>0</v>
      </c>
      <c r="S77" s="832">
        <v>0</v>
      </c>
      <c r="T77" s="832">
        <v>0</v>
      </c>
      <c r="U77" s="832">
        <v>0</v>
      </c>
      <c r="V77" s="832">
        <v>0</v>
      </c>
      <c r="W77" s="832">
        <v>0</v>
      </c>
      <c r="X77" s="832">
        <v>0</v>
      </c>
      <c r="Y77" s="832">
        <v>0</v>
      </c>
      <c r="Z77" s="832">
        <v>0</v>
      </c>
      <c r="AA77" s="832">
        <v>0</v>
      </c>
      <c r="AB77" s="832">
        <v>0</v>
      </c>
      <c r="AC77" s="832">
        <v>0</v>
      </c>
      <c r="AD77" s="832">
        <v>0</v>
      </c>
      <c r="AE77" s="832">
        <v>0</v>
      </c>
      <c r="AF77" s="832">
        <v>0</v>
      </c>
      <c r="AG77" s="832">
        <v>0</v>
      </c>
      <c r="AH77" s="832">
        <v>0</v>
      </c>
      <c r="AI77" s="832">
        <v>0</v>
      </c>
      <c r="AJ77" s="1030" t="str">
        <f t="shared" si="6"/>
        <v>H01334</v>
      </c>
      <c r="AK77" s="1030" t="str">
        <f t="shared" si="7"/>
        <v>OCC UNIFORMES-SALOPETTES</v>
      </c>
      <c r="AL77" s="1030">
        <f>IFERROR(INDEX(G77:R77,1,MATCH(Parametres!$B$3,G$1:R$1,0)-1)*IF(OR(F77="L",F77="S",F77="I"),-1,1),"")</f>
        <v>0</v>
      </c>
      <c r="AM77" s="1030">
        <f t="shared" si="8"/>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t="str">
        <f t="shared" si="9"/>
        <v>H01334</v>
      </c>
      <c r="AU77" s="599" t="str">
        <f t="shared" si="10"/>
        <v>OCC UNIFORMES-SALOPETTES</v>
      </c>
      <c r="AV77" s="1030">
        <f>IFERROR(INDEX(V77:AG77,1,MATCH(Parametres!$B$3,V$1:AG$1,0)-1)*IF(OR(C77="L",C77="S",C77="I"),-1,1),"")</f>
        <v>0</v>
      </c>
      <c r="AW77" s="1030">
        <f t="shared" si="11"/>
        <v>0</v>
      </c>
      <c r="AX77" s="1030">
        <f>INDEX(V77:AG77,1,MATCH(Parametres!$B$3,V$1:AG$1,0))*IF(OR(C77="L",C77="S",C77="I"),-1,1)</f>
        <v>0</v>
      </c>
      <c r="AY77" s="598" t="s">
        <v>337</v>
      </c>
      <c r="AZ77" s="598" t="e">
        <f>+VLOOKUP($AJ77,Data_Validation!$A:$E,5,0)</f>
        <v>#N/A</v>
      </c>
    </row>
    <row r="78" spans="1:52" ht="15" customHeight="1">
      <c r="A78" s="832" t="s">
        <v>1150</v>
      </c>
      <c r="B78" s="832">
        <v>2025</v>
      </c>
      <c r="C78" s="832" t="s">
        <v>1302</v>
      </c>
      <c r="D78" s="832" t="s">
        <v>1303</v>
      </c>
      <c r="E78" s="832" t="s">
        <v>333</v>
      </c>
      <c r="F78" s="832" t="s">
        <v>1119</v>
      </c>
      <c r="G78" s="832">
        <v>0</v>
      </c>
      <c r="H78" s="832">
        <v>0</v>
      </c>
      <c r="I78" s="832">
        <v>0</v>
      </c>
      <c r="J78" s="832">
        <v>0</v>
      </c>
      <c r="K78" s="832">
        <v>1365</v>
      </c>
      <c r="L78" s="832">
        <v>2665</v>
      </c>
      <c r="M78" s="832">
        <v>2665</v>
      </c>
      <c r="N78" s="832">
        <v>2665</v>
      </c>
      <c r="O78" s="832">
        <v>4030</v>
      </c>
      <c r="P78" s="832">
        <v>6124.58</v>
      </c>
      <c r="Q78" s="832">
        <v>8186.17</v>
      </c>
      <c r="R78" s="832">
        <v>10397.16</v>
      </c>
      <c r="S78" s="832">
        <v>744.2</v>
      </c>
      <c r="T78" s="832">
        <v>744.2</v>
      </c>
      <c r="U78" s="832">
        <v>0</v>
      </c>
      <c r="V78" s="832">
        <v>0</v>
      </c>
      <c r="W78" s="832">
        <v>0</v>
      </c>
      <c r="X78" s="832">
        <v>0</v>
      </c>
      <c r="Y78" s="832">
        <v>0</v>
      </c>
      <c r="Z78" s="832">
        <v>0</v>
      </c>
      <c r="AA78" s="832">
        <v>0</v>
      </c>
      <c r="AB78" s="832">
        <v>0</v>
      </c>
      <c r="AC78" s="832">
        <v>0</v>
      </c>
      <c r="AD78" s="832">
        <v>0</v>
      </c>
      <c r="AE78" s="832">
        <v>0</v>
      </c>
      <c r="AF78" s="832">
        <v>0</v>
      </c>
      <c r="AG78" s="832">
        <v>0</v>
      </c>
      <c r="AH78" s="832">
        <v>0</v>
      </c>
      <c r="AI78" s="832">
        <v>0</v>
      </c>
      <c r="AJ78" s="1030" t="str">
        <f t="shared" si="6"/>
        <v>H01335</v>
      </c>
      <c r="AK78" s="1030" t="str">
        <f t="shared" si="7"/>
        <v>OCC CONCIERGE-NETTOYAGE</v>
      </c>
      <c r="AL78" s="1030">
        <f>IFERROR(INDEX(G78:R78,1,MATCH(Parametres!$B$3,G$1:R$1,0)-1)*IF(OR(F78="L",F78="S",F78="I"),-1,1),"")</f>
        <v>0</v>
      </c>
      <c r="AM78" s="1030">
        <f t="shared" si="8"/>
        <v>1365</v>
      </c>
      <c r="AN78" s="1030">
        <f>INDEX(G78:R78,1,MATCH(Parametres!$B$3,G$1:R$1,0))*IF(OR(F78="L",F78="S",F78="I"),-1,1)</f>
        <v>1365</v>
      </c>
      <c r="AO78" s="598" t="str">
        <f>+VLOOKUP($AJ78,Data_Validation!$A:$D,1,0)</f>
        <v>H01335</v>
      </c>
      <c r="AP78" s="598" t="str">
        <f>+VLOOKUP($AJ78,Data_Validation!$A:$D,3,0)</f>
        <v>Véhicules usagés</v>
      </c>
      <c r="AQ78" s="598" t="str">
        <f>+VLOOKUP($AJ78,Data_Validation!$A:$D,4,0)</f>
        <v>Services extérieurs</v>
      </c>
      <c r="AR78" s="598" t="s">
        <v>299</v>
      </c>
      <c r="AS78" s="598">
        <f>+VLOOKUP($AJ78,Data_Validation!$A:$E,5,0)</f>
        <v>0</v>
      </c>
      <c r="AT78" s="1036" t="str">
        <f t="shared" si="9"/>
        <v>H01335</v>
      </c>
      <c r="AU78" s="599" t="str">
        <f t="shared" si="10"/>
        <v>OCC CONCIERGE-NETTOYAGE</v>
      </c>
      <c r="AV78" s="1030">
        <f>IFERROR(INDEX(V78:AG78,1,MATCH(Parametres!$B$3,V$1:AG$1,0)-1)*IF(OR(C78="L",C78="S",C78="I"),-1,1),"")</f>
        <v>0</v>
      </c>
      <c r="AW78" s="1030">
        <f t="shared" si="11"/>
        <v>0</v>
      </c>
      <c r="AX78" s="1030">
        <f>INDEX(V78:AG78,1,MATCH(Parametres!$B$3,V$1:AG$1,0))*IF(OR(C78="L",C78="S",C78="I"),-1,1)</f>
        <v>0</v>
      </c>
      <c r="AY78" s="598" t="s">
        <v>337</v>
      </c>
      <c r="AZ78" s="598">
        <f>+VLOOKUP($AJ78,Data_Validation!$A:$E,5,0)</f>
        <v>0</v>
      </c>
    </row>
    <row r="79" spans="1:52" ht="15" customHeight="1">
      <c r="A79" s="832" t="s">
        <v>1150</v>
      </c>
      <c r="B79" s="832">
        <v>2025</v>
      </c>
      <c r="C79" s="832" t="s">
        <v>1304</v>
      </c>
      <c r="D79" s="832" t="s">
        <v>1305</v>
      </c>
      <c r="E79" s="832" t="s">
        <v>333</v>
      </c>
      <c r="F79" s="832" t="s">
        <v>1119</v>
      </c>
      <c r="G79" s="832">
        <v>0</v>
      </c>
      <c r="H79" s="832">
        <v>198.99</v>
      </c>
      <c r="I79" s="832">
        <v>238.79</v>
      </c>
      <c r="J79" s="832">
        <v>278.58999999999997</v>
      </c>
      <c r="K79" s="832">
        <v>318.39</v>
      </c>
      <c r="L79" s="832">
        <v>358.19</v>
      </c>
      <c r="M79" s="832">
        <v>397.99</v>
      </c>
      <c r="N79" s="832">
        <v>437.79</v>
      </c>
      <c r="O79" s="832">
        <v>477.59</v>
      </c>
      <c r="P79" s="832">
        <v>518.84</v>
      </c>
      <c r="Q79" s="832">
        <v>559.30999999999995</v>
      </c>
      <c r="R79" s="832">
        <v>599.78</v>
      </c>
      <c r="S79" s="832">
        <v>50.85</v>
      </c>
      <c r="T79" s="832">
        <v>50.85</v>
      </c>
      <c r="U79" s="832">
        <v>0</v>
      </c>
      <c r="V79" s="832">
        <v>0</v>
      </c>
      <c r="W79" s="832">
        <v>0</v>
      </c>
      <c r="X79" s="832">
        <v>0</v>
      </c>
      <c r="Y79" s="832">
        <v>0</v>
      </c>
      <c r="Z79" s="832">
        <v>0</v>
      </c>
      <c r="AA79" s="832">
        <v>0</v>
      </c>
      <c r="AB79" s="832">
        <v>0</v>
      </c>
      <c r="AC79" s="832">
        <v>0</v>
      </c>
      <c r="AD79" s="832">
        <v>0</v>
      </c>
      <c r="AE79" s="832">
        <v>0</v>
      </c>
      <c r="AF79" s="832">
        <v>0</v>
      </c>
      <c r="AG79" s="832">
        <v>0</v>
      </c>
      <c r="AH79" s="832">
        <v>0</v>
      </c>
      <c r="AI79" s="832">
        <v>0</v>
      </c>
      <c r="AJ79" s="1030" t="str">
        <f t="shared" si="6"/>
        <v>H01340</v>
      </c>
      <c r="AK79" s="1030" t="str">
        <f t="shared" si="7"/>
        <v>OCC ENT EQUIPMENT</v>
      </c>
      <c r="AL79" s="1030">
        <f>IFERROR(INDEX(G79:R79,1,MATCH(Parametres!$B$3,G$1:R$1,0)-1)*IF(OR(F79="L",F79="S",F79="I"),-1,1),"")</f>
        <v>278.58999999999997</v>
      </c>
      <c r="AM79" s="1030">
        <f t="shared" si="8"/>
        <v>39.800000000000011</v>
      </c>
      <c r="AN79" s="1030">
        <f>INDEX(G79:R79,1,MATCH(Parametres!$B$3,G$1:R$1,0))*IF(OR(F79="L",F79="S",F79="I"),-1,1)</f>
        <v>318.39</v>
      </c>
      <c r="AO79" s="598" t="str">
        <f>+VLOOKUP($AJ79,Data_Validation!$A:$D,1,0)</f>
        <v>H01340</v>
      </c>
      <c r="AP79" s="598" t="str">
        <f>+VLOOKUP($AJ79,Data_Validation!$A:$D,3,0)</f>
        <v>Véhicules usagés</v>
      </c>
      <c r="AQ79" s="598" t="str">
        <f>+VLOOKUP($AJ79,Data_Validation!$A:$D,4,0)</f>
        <v>Services extérieurs</v>
      </c>
      <c r="AR79" s="598" t="s">
        <v>299</v>
      </c>
      <c r="AS79" s="598">
        <f>+VLOOKUP($AJ79,Data_Validation!$A:$E,5,0)</f>
        <v>0</v>
      </c>
      <c r="AT79" s="1036" t="str">
        <f t="shared" si="9"/>
        <v>H01340</v>
      </c>
      <c r="AU79" s="599" t="str">
        <f t="shared" si="10"/>
        <v>OCC ENT EQUIPMENT</v>
      </c>
      <c r="AV79" s="1030">
        <f>IFERROR(INDEX(V79:AG79,1,MATCH(Parametres!$B$3,V$1:AG$1,0)-1)*IF(OR(C79="L",C79="S",C79="I"),-1,1),"")</f>
        <v>0</v>
      </c>
      <c r="AW79" s="1030">
        <f t="shared" si="11"/>
        <v>0</v>
      </c>
      <c r="AX79" s="1030">
        <f>INDEX(V79:AG79,1,MATCH(Parametres!$B$3,V$1:AG$1,0))*IF(OR(C79="L",C79="S",C79="I"),-1,1)</f>
        <v>0</v>
      </c>
      <c r="AY79" s="598" t="s">
        <v>337</v>
      </c>
      <c r="AZ79" s="598">
        <f>+VLOOKUP($AJ79,Data_Validation!$A:$E,5,0)</f>
        <v>0</v>
      </c>
    </row>
    <row r="80" spans="1:52" ht="15.75" customHeight="1">
      <c r="A80" s="832" t="s">
        <v>1150</v>
      </c>
      <c r="B80" s="832">
        <v>2025</v>
      </c>
      <c r="C80" s="832" t="s">
        <v>1306</v>
      </c>
      <c r="D80" s="832" t="s">
        <v>1307</v>
      </c>
      <c r="E80" s="832" t="s">
        <v>333</v>
      </c>
      <c r="F80" s="832" t="s">
        <v>1119</v>
      </c>
      <c r="G80" s="832">
        <v>0</v>
      </c>
      <c r="H80" s="832">
        <v>0</v>
      </c>
      <c r="I80" s="832">
        <v>0</v>
      </c>
      <c r="J80" s="832">
        <v>0</v>
      </c>
      <c r="K80" s="832">
        <v>0</v>
      </c>
      <c r="L80" s="832">
        <v>0</v>
      </c>
      <c r="M80" s="832">
        <v>0</v>
      </c>
      <c r="N80" s="832">
        <v>0</v>
      </c>
      <c r="O80" s="832">
        <v>0</v>
      </c>
      <c r="P80" s="832">
        <v>0</v>
      </c>
      <c r="Q80" s="832">
        <v>0</v>
      </c>
      <c r="R80" s="832">
        <v>0</v>
      </c>
      <c r="S80" s="832">
        <v>0</v>
      </c>
      <c r="T80" s="832">
        <v>0</v>
      </c>
      <c r="U80" s="832">
        <v>0</v>
      </c>
      <c r="V80" s="832">
        <v>0</v>
      </c>
      <c r="W80" s="832">
        <v>0</v>
      </c>
      <c r="X80" s="832">
        <v>0</v>
      </c>
      <c r="Y80" s="832">
        <v>0</v>
      </c>
      <c r="Z80" s="832">
        <v>0</v>
      </c>
      <c r="AA80" s="832">
        <v>0</v>
      </c>
      <c r="AB80" s="832">
        <v>0</v>
      </c>
      <c r="AC80" s="832">
        <v>0</v>
      </c>
      <c r="AD80" s="832">
        <v>0</v>
      </c>
      <c r="AE80" s="832">
        <v>0</v>
      </c>
      <c r="AF80" s="832">
        <v>0</v>
      </c>
      <c r="AG80" s="832">
        <v>0</v>
      </c>
      <c r="AH80" s="832">
        <v>0</v>
      </c>
      <c r="AI80" s="832">
        <v>0</v>
      </c>
      <c r="AJ80" s="1030" t="str">
        <f t="shared" si="6"/>
        <v>H01341</v>
      </c>
      <c r="AK80" s="1030" t="str">
        <f t="shared" si="7"/>
        <v>OCC VEH DE SERVITUDES</v>
      </c>
      <c r="AL80" s="1030">
        <f>IFERROR(INDEX(G80:R80,1,MATCH(Parametres!$B$3,G$1:R$1,0)-1)*IF(OR(F80="L",F80="S",F80="I"),-1,1),"")</f>
        <v>0</v>
      </c>
      <c r="AM80" s="1030">
        <f t="shared" si="8"/>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t="str">
        <f t="shared" si="9"/>
        <v>H01341</v>
      </c>
      <c r="AU80" s="599" t="str">
        <f t="shared" si="10"/>
        <v>OCC VEH DE SERVITUDES</v>
      </c>
      <c r="AV80" s="1030">
        <f>IFERROR(INDEX(V80:AG80,1,MATCH(Parametres!$B$3,V$1:AG$1,0)-1)*IF(OR(C80="L",C80="S",C80="I"),-1,1),"")</f>
        <v>0</v>
      </c>
      <c r="AW80" s="1030">
        <f t="shared" si="11"/>
        <v>0</v>
      </c>
      <c r="AX80" s="1030">
        <f>INDEX(V80:AG80,1,MATCH(Parametres!$B$3,V$1:AG$1,0))*IF(OR(C80="L",C80="S",C80="I"),-1,1)</f>
        <v>0</v>
      </c>
      <c r="AY80" s="598" t="s">
        <v>337</v>
      </c>
      <c r="AZ80" s="598" t="e">
        <f>+VLOOKUP($AJ80,Data_Validation!$A:$E,5,0)</f>
        <v>#N/A</v>
      </c>
    </row>
    <row r="81" spans="1:52" ht="15" customHeight="1">
      <c r="A81" s="832" t="s">
        <v>1150</v>
      </c>
      <c r="B81" s="832">
        <v>2025</v>
      </c>
      <c r="C81" s="832" t="s">
        <v>1308</v>
      </c>
      <c r="D81" s="832" t="s">
        <v>1309</v>
      </c>
      <c r="E81" s="832" t="s">
        <v>333</v>
      </c>
      <c r="F81" s="832" t="s">
        <v>1119</v>
      </c>
      <c r="G81" s="832">
        <v>0</v>
      </c>
      <c r="H81" s="832">
        <v>0</v>
      </c>
      <c r="I81" s="832">
        <v>0</v>
      </c>
      <c r="J81" s="832">
        <v>0</v>
      </c>
      <c r="K81" s="832">
        <v>0</v>
      </c>
      <c r="L81" s="832">
        <v>0</v>
      </c>
      <c r="M81" s="832">
        <v>0</v>
      </c>
      <c r="N81" s="832">
        <v>0</v>
      </c>
      <c r="O81" s="832">
        <v>0</v>
      </c>
      <c r="P81" s="832">
        <v>0</v>
      </c>
      <c r="Q81" s="832">
        <v>0</v>
      </c>
      <c r="R81" s="832">
        <v>0</v>
      </c>
      <c r="S81" s="832">
        <v>0</v>
      </c>
      <c r="T81" s="832">
        <v>0</v>
      </c>
      <c r="U81" s="832">
        <v>0</v>
      </c>
      <c r="V81" s="832">
        <v>0</v>
      </c>
      <c r="W81" s="832">
        <v>0</v>
      </c>
      <c r="X81" s="832">
        <v>0</v>
      </c>
      <c r="Y81" s="832">
        <v>0</v>
      </c>
      <c r="Z81" s="832">
        <v>0</v>
      </c>
      <c r="AA81" s="832">
        <v>0</v>
      </c>
      <c r="AB81" s="832">
        <v>0</v>
      </c>
      <c r="AC81" s="832">
        <v>0</v>
      </c>
      <c r="AD81" s="832">
        <v>0</v>
      </c>
      <c r="AE81" s="832">
        <v>0</v>
      </c>
      <c r="AF81" s="832">
        <v>0</v>
      </c>
      <c r="AG81" s="832">
        <v>0</v>
      </c>
      <c r="AH81" s="832">
        <v>0</v>
      </c>
      <c r="AI81" s="832">
        <v>0</v>
      </c>
      <c r="AJ81" s="1030" t="str">
        <f t="shared" si="6"/>
        <v>H01343</v>
      </c>
      <c r="AK81" s="1030" t="str">
        <f t="shared" si="7"/>
        <v>OCC LOCATION EQUIPEMENT</v>
      </c>
      <c r="AL81" s="1030">
        <f>IFERROR(INDEX(G81:R81,1,MATCH(Parametres!$B$3,G$1:R$1,0)-1)*IF(OR(F81="L",F81="S",F81="I"),-1,1),"")</f>
        <v>0</v>
      </c>
      <c r="AM81" s="1030">
        <f t="shared" si="8"/>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t="str">
        <f t="shared" si="9"/>
        <v>H01343</v>
      </c>
      <c r="AU81" s="599" t="str">
        <f t="shared" si="10"/>
        <v>OCC LOCATION EQUIPEMENT</v>
      </c>
      <c r="AV81" s="1030">
        <f>IFERROR(INDEX(V81:AG81,1,MATCH(Parametres!$B$3,V$1:AG$1,0)-1)*IF(OR(C81="L",C81="S",C81="I"),-1,1),"")</f>
        <v>0</v>
      </c>
      <c r="AW81" s="1030">
        <f t="shared" si="11"/>
        <v>0</v>
      </c>
      <c r="AX81" s="1030">
        <f>INDEX(V81:AG81,1,MATCH(Parametres!$B$3,V$1:AG$1,0))*IF(OR(C81="L",C81="S",C81="I"),-1,1)</f>
        <v>0</v>
      </c>
      <c r="AY81" s="598" t="s">
        <v>337</v>
      </c>
      <c r="AZ81" s="598" t="e">
        <f>+VLOOKUP($AJ81,Data_Validation!$A:$E,5,0)</f>
        <v>#N/A</v>
      </c>
    </row>
    <row r="82" spans="1:52" ht="15" customHeight="1">
      <c r="A82" s="832" t="s">
        <v>1150</v>
      </c>
      <c r="B82" s="832">
        <v>2025</v>
      </c>
      <c r="C82" s="832" t="s">
        <v>1310</v>
      </c>
      <c r="D82" s="832" t="s">
        <v>1311</v>
      </c>
      <c r="E82" s="832" t="s">
        <v>333</v>
      </c>
      <c r="F82" s="832" t="s">
        <v>1119</v>
      </c>
      <c r="G82" s="832">
        <v>1698.72</v>
      </c>
      <c r="H82" s="832">
        <v>3300.36</v>
      </c>
      <c r="I82" s="832">
        <v>4903.7700000000004</v>
      </c>
      <c r="J82" s="832">
        <v>6780.47</v>
      </c>
      <c r="K82" s="832">
        <v>8102.78</v>
      </c>
      <c r="L82" s="832">
        <v>9759.5</v>
      </c>
      <c r="M82" s="832">
        <v>11425.96</v>
      </c>
      <c r="N82" s="832">
        <v>12997.15</v>
      </c>
      <c r="O82" s="832">
        <v>14617.56</v>
      </c>
      <c r="P82" s="832">
        <v>16380.56</v>
      </c>
      <c r="Q82" s="832">
        <v>17766.7</v>
      </c>
      <c r="R82" s="832">
        <v>19337.13</v>
      </c>
      <c r="S82" s="832">
        <v>1615.15</v>
      </c>
      <c r="T82" s="832">
        <v>1615.15</v>
      </c>
      <c r="U82" s="832">
        <v>0</v>
      </c>
      <c r="V82" s="832">
        <v>0</v>
      </c>
      <c r="W82" s="832">
        <v>0</v>
      </c>
      <c r="X82" s="832">
        <v>0</v>
      </c>
      <c r="Y82" s="832">
        <v>0</v>
      </c>
      <c r="Z82" s="832">
        <v>0</v>
      </c>
      <c r="AA82" s="832">
        <v>0</v>
      </c>
      <c r="AB82" s="832">
        <v>0</v>
      </c>
      <c r="AC82" s="832">
        <v>0</v>
      </c>
      <c r="AD82" s="832">
        <v>0</v>
      </c>
      <c r="AE82" s="832">
        <v>0</v>
      </c>
      <c r="AF82" s="832">
        <v>0</v>
      </c>
      <c r="AG82" s="832">
        <v>0</v>
      </c>
      <c r="AH82" s="832">
        <v>0</v>
      </c>
      <c r="AI82" s="832">
        <v>0</v>
      </c>
      <c r="AJ82" s="1030" t="str">
        <f t="shared" si="6"/>
        <v>H01344</v>
      </c>
      <c r="AK82" s="1030" t="str">
        <f t="shared" si="7"/>
        <v>OCC TRAITEMENT DONNEES</v>
      </c>
      <c r="AL82" s="1030">
        <f>IFERROR(INDEX(G82:R82,1,MATCH(Parametres!$B$3,G$1:R$1,0)-1)*IF(OR(F82="L",F82="S",F82="I"),-1,1),"")</f>
        <v>6780.47</v>
      </c>
      <c r="AM82" s="1030">
        <f t="shared" si="8"/>
        <v>1322.3099999999995</v>
      </c>
      <c r="AN82" s="1030">
        <f>INDEX(G82:R82,1,MATCH(Parametres!$B$3,G$1:R$1,0))*IF(OR(F82="L",F82="S",F82="I"),-1,1)</f>
        <v>8102.78</v>
      </c>
      <c r="AO82" s="598" t="str">
        <f>+VLOOKUP($AJ82,Data_Validation!$A:$D,1,0)</f>
        <v>H01344</v>
      </c>
      <c r="AP82" s="598" t="str">
        <f>+VLOOKUP($AJ82,Data_Validation!$A:$D,3,0)</f>
        <v>Véhicules usagés</v>
      </c>
      <c r="AQ82" s="598" t="str">
        <f>+VLOOKUP($AJ82,Data_Validation!$A:$D,4,0)</f>
        <v>Informatique</v>
      </c>
      <c r="AR82" s="598" t="s">
        <v>299</v>
      </c>
      <c r="AS82" s="598">
        <f>+VLOOKUP($AJ82,Data_Validation!$A:$E,5,0)</f>
        <v>0</v>
      </c>
      <c r="AT82" s="1036" t="str">
        <f t="shared" si="9"/>
        <v>H01344</v>
      </c>
      <c r="AU82" s="599" t="str">
        <f t="shared" si="10"/>
        <v>OCC TRAITEMENT DONNEES</v>
      </c>
      <c r="AV82" s="1030">
        <f>IFERROR(INDEX(V82:AG82,1,MATCH(Parametres!$B$3,V$1:AG$1,0)-1)*IF(OR(C82="L",C82="S",C82="I"),-1,1),"")</f>
        <v>0</v>
      </c>
      <c r="AW82" s="1030">
        <f t="shared" si="11"/>
        <v>0</v>
      </c>
      <c r="AX82" s="1030">
        <f>INDEX(V82:AG82,1,MATCH(Parametres!$B$3,V$1:AG$1,0))*IF(OR(C82="L",C82="S",C82="I"),-1,1)</f>
        <v>0</v>
      </c>
      <c r="AY82" s="598" t="s">
        <v>337</v>
      </c>
      <c r="AZ82" s="598">
        <f>+VLOOKUP($AJ82,Data_Validation!$A:$E,5,0)</f>
        <v>0</v>
      </c>
    </row>
    <row r="83" spans="1:52" ht="15" customHeight="1">
      <c r="A83" s="832" t="s">
        <v>1150</v>
      </c>
      <c r="B83" s="832">
        <v>2025</v>
      </c>
      <c r="C83" s="832" t="s">
        <v>1312</v>
      </c>
      <c r="D83" s="832" t="s">
        <v>1313</v>
      </c>
      <c r="E83" s="832" t="s">
        <v>333</v>
      </c>
      <c r="F83" s="832" t="s">
        <v>1119</v>
      </c>
      <c r="G83" s="832">
        <v>2099.63</v>
      </c>
      <c r="H83" s="832">
        <v>2230.63</v>
      </c>
      <c r="I83" s="832">
        <v>2696.71</v>
      </c>
      <c r="J83" s="832">
        <v>3119.95</v>
      </c>
      <c r="K83" s="832">
        <v>3331.06</v>
      </c>
      <c r="L83" s="832">
        <v>3706.06</v>
      </c>
      <c r="M83" s="832">
        <v>4226.88</v>
      </c>
      <c r="N83" s="832">
        <v>4526.25</v>
      </c>
      <c r="O83" s="832">
        <v>4977.0200000000004</v>
      </c>
      <c r="P83" s="832">
        <v>5418.53</v>
      </c>
      <c r="Q83" s="832">
        <v>5851.2</v>
      </c>
      <c r="R83" s="832">
        <v>6278.83</v>
      </c>
      <c r="S83" s="832">
        <v>531.92999999999995</v>
      </c>
      <c r="T83" s="832">
        <v>531.92999999999995</v>
      </c>
      <c r="U83" s="832">
        <v>0</v>
      </c>
      <c r="V83" s="832">
        <v>0</v>
      </c>
      <c r="W83" s="832">
        <v>0</v>
      </c>
      <c r="X83" s="832">
        <v>0</v>
      </c>
      <c r="Y83" s="832">
        <v>0</v>
      </c>
      <c r="Z83" s="832">
        <v>0</v>
      </c>
      <c r="AA83" s="832">
        <v>0</v>
      </c>
      <c r="AB83" s="832">
        <v>0</v>
      </c>
      <c r="AC83" s="832">
        <v>0</v>
      </c>
      <c r="AD83" s="832">
        <v>0</v>
      </c>
      <c r="AE83" s="832">
        <v>0</v>
      </c>
      <c r="AF83" s="832">
        <v>0</v>
      </c>
      <c r="AG83" s="832">
        <v>0</v>
      </c>
      <c r="AH83" s="832">
        <v>0</v>
      </c>
      <c r="AI83" s="832">
        <v>0</v>
      </c>
      <c r="AJ83" s="1030" t="str">
        <f t="shared" si="6"/>
        <v>H01345</v>
      </c>
      <c r="AK83" s="1030" t="str">
        <f t="shared" si="7"/>
        <v>OCC FRAIS REPRES/REPAS</v>
      </c>
      <c r="AL83" s="1030">
        <f>IFERROR(INDEX(G83:R83,1,MATCH(Parametres!$B$3,G$1:R$1,0)-1)*IF(OR(F83="L",F83="S",F83="I"),-1,1),"")</f>
        <v>3119.95</v>
      </c>
      <c r="AM83" s="1030">
        <f t="shared" si="8"/>
        <v>211.11000000000013</v>
      </c>
      <c r="AN83" s="1030">
        <f>INDEX(G83:R83,1,MATCH(Parametres!$B$3,G$1:R$1,0))*IF(OR(F83="L",F83="S",F83="I"),-1,1)</f>
        <v>3331.06</v>
      </c>
      <c r="AO83" s="598" t="str">
        <f>+VLOOKUP($AJ83,Data_Validation!$A:$D,1,0)</f>
        <v>H01345</v>
      </c>
      <c r="AP83" s="598" t="str">
        <f>+VLOOKUP($AJ83,Data_Validation!$A:$D,3,0)</f>
        <v>Véhicules usagés</v>
      </c>
      <c r="AQ83" s="598" t="str">
        <f>+VLOOKUP($AJ83,Data_Validation!$A:$D,4,0)</f>
        <v>Frais de déplacement</v>
      </c>
      <c r="AR83" s="598" t="s">
        <v>299</v>
      </c>
      <c r="AS83" s="598">
        <f>+VLOOKUP($AJ83,Data_Validation!$A:$E,5,0)</f>
        <v>0</v>
      </c>
      <c r="AT83" s="1036" t="str">
        <f t="shared" si="9"/>
        <v>H01345</v>
      </c>
      <c r="AU83" s="599" t="str">
        <f t="shared" si="10"/>
        <v>OCC FRAIS REPRES/REPAS</v>
      </c>
      <c r="AV83" s="1030">
        <f>IFERROR(INDEX(V83:AG83,1,MATCH(Parametres!$B$3,V$1:AG$1,0)-1)*IF(OR(C83="L",C83="S",C83="I"),-1,1),"")</f>
        <v>0</v>
      </c>
      <c r="AW83" s="1030">
        <f t="shared" si="11"/>
        <v>0</v>
      </c>
      <c r="AX83" s="1030">
        <f>INDEX(V83:AG83,1,MATCH(Parametres!$B$3,V$1:AG$1,0))*IF(OR(C83="L",C83="S",C83="I"),-1,1)</f>
        <v>0</v>
      </c>
      <c r="AY83" s="598" t="s">
        <v>337</v>
      </c>
      <c r="AZ83" s="598">
        <f>+VLOOKUP($AJ83,Data_Validation!$A:$E,5,0)</f>
        <v>0</v>
      </c>
    </row>
    <row r="84" spans="1:52" ht="15.75" customHeight="1">
      <c r="A84" s="832" t="s">
        <v>1150</v>
      </c>
      <c r="B84" s="832">
        <v>2025</v>
      </c>
      <c r="C84" s="832" t="s">
        <v>1314</v>
      </c>
      <c r="D84" s="832" t="s">
        <v>1315</v>
      </c>
      <c r="E84" s="832" t="s">
        <v>333</v>
      </c>
      <c r="F84" s="832" t="s">
        <v>1119</v>
      </c>
      <c r="G84" s="832">
        <v>0</v>
      </c>
      <c r="H84" s="832">
        <v>0</v>
      </c>
      <c r="I84" s="832">
        <v>0</v>
      </c>
      <c r="J84" s="832">
        <v>0</v>
      </c>
      <c r="K84" s="832">
        <v>0</v>
      </c>
      <c r="L84" s="832">
        <v>0</v>
      </c>
      <c r="M84" s="832">
        <v>0</v>
      </c>
      <c r="N84" s="832">
        <v>0</v>
      </c>
      <c r="O84" s="832">
        <v>0</v>
      </c>
      <c r="P84" s="832">
        <v>0</v>
      </c>
      <c r="Q84" s="832">
        <v>0</v>
      </c>
      <c r="R84" s="832">
        <v>0</v>
      </c>
      <c r="S84" s="832">
        <v>0</v>
      </c>
      <c r="T84" s="832">
        <v>0</v>
      </c>
      <c r="U84" s="832">
        <v>0</v>
      </c>
      <c r="V84" s="832">
        <v>0</v>
      </c>
      <c r="W84" s="832">
        <v>0</v>
      </c>
      <c r="X84" s="832">
        <v>0</v>
      </c>
      <c r="Y84" s="832">
        <v>0</v>
      </c>
      <c r="Z84" s="832">
        <v>0</v>
      </c>
      <c r="AA84" s="832">
        <v>0</v>
      </c>
      <c r="AB84" s="832">
        <v>0</v>
      </c>
      <c r="AC84" s="832">
        <v>0</v>
      </c>
      <c r="AD84" s="832">
        <v>0</v>
      </c>
      <c r="AE84" s="832">
        <v>0</v>
      </c>
      <c r="AF84" s="832">
        <v>0</v>
      </c>
      <c r="AG84" s="832">
        <v>0</v>
      </c>
      <c r="AH84" s="832">
        <v>0</v>
      </c>
      <c r="AI84" s="832">
        <v>0</v>
      </c>
      <c r="AJ84" s="1030" t="str">
        <f t="shared" si="6"/>
        <v>H01346</v>
      </c>
      <c r="AK84" s="1030" t="str">
        <f t="shared" si="7"/>
        <v>OCC DEPLACEMENT-REPRESENT</v>
      </c>
      <c r="AL84" s="1030">
        <f>IFERROR(INDEX(G84:R84,1,MATCH(Parametres!$B$3,G$1:R$1,0)-1)*IF(OR(F84="L",F84="S",F84="I"),-1,1),"")</f>
        <v>0</v>
      </c>
      <c r="AM84" s="1030">
        <f t="shared" si="8"/>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t="str">
        <f t="shared" si="9"/>
        <v>H01346</v>
      </c>
      <c r="AU84" s="599" t="str">
        <f t="shared" si="10"/>
        <v>OCC DEPLACEMENT-REPRESENT</v>
      </c>
      <c r="AV84" s="1030">
        <f>IFERROR(INDEX(V84:AG84,1,MATCH(Parametres!$B$3,V$1:AG$1,0)-1)*IF(OR(C84="L",C84="S",C84="I"),-1,1),"")</f>
        <v>0</v>
      </c>
      <c r="AW84" s="1030">
        <f t="shared" si="11"/>
        <v>0</v>
      </c>
      <c r="AX84" s="1030">
        <f>INDEX(V84:AG84,1,MATCH(Parametres!$B$3,V$1:AG$1,0))*IF(OR(C84="L",C84="S",C84="I"),-1,1)</f>
        <v>0</v>
      </c>
      <c r="AY84" s="598" t="s">
        <v>337</v>
      </c>
      <c r="AZ84" s="598" t="e">
        <f>+VLOOKUP($AJ84,Data_Validation!$A:$E,5,0)</f>
        <v>#N/A</v>
      </c>
    </row>
    <row r="85" spans="1:52" ht="15" customHeight="1">
      <c r="A85" s="832" t="s">
        <v>1150</v>
      </c>
      <c r="B85" s="832">
        <v>2025</v>
      </c>
      <c r="C85" s="832" t="s">
        <v>1316</v>
      </c>
      <c r="D85" s="832" t="s">
        <v>1317</v>
      </c>
      <c r="E85" s="832" t="s">
        <v>333</v>
      </c>
      <c r="F85" s="832" t="s">
        <v>1119</v>
      </c>
      <c r="G85" s="832">
        <v>56.04</v>
      </c>
      <c r="H85" s="832">
        <v>215.83</v>
      </c>
      <c r="I85" s="832">
        <v>292.13</v>
      </c>
      <c r="J85" s="832">
        <v>396.77</v>
      </c>
      <c r="K85" s="832">
        <v>449.12</v>
      </c>
      <c r="L85" s="832">
        <v>501.47</v>
      </c>
      <c r="M85" s="832">
        <v>602.85</v>
      </c>
      <c r="N85" s="832">
        <v>782.17</v>
      </c>
      <c r="O85" s="832">
        <v>858.27</v>
      </c>
      <c r="P85" s="832">
        <v>974.37</v>
      </c>
      <c r="Q85" s="832">
        <v>1074.47</v>
      </c>
      <c r="R85" s="832">
        <v>1153.3900000000001</v>
      </c>
      <c r="S85" s="832">
        <v>97.68</v>
      </c>
      <c r="T85" s="832">
        <v>97.68</v>
      </c>
      <c r="U85" s="832">
        <v>0</v>
      </c>
      <c r="V85" s="832">
        <v>0</v>
      </c>
      <c r="W85" s="832">
        <v>0</v>
      </c>
      <c r="X85" s="832">
        <v>0</v>
      </c>
      <c r="Y85" s="832">
        <v>0</v>
      </c>
      <c r="Z85" s="832">
        <v>0</v>
      </c>
      <c r="AA85" s="832">
        <v>0</v>
      </c>
      <c r="AB85" s="832">
        <v>0</v>
      </c>
      <c r="AC85" s="832">
        <v>0</v>
      </c>
      <c r="AD85" s="832">
        <v>0</v>
      </c>
      <c r="AE85" s="832">
        <v>0</v>
      </c>
      <c r="AF85" s="832">
        <v>0</v>
      </c>
      <c r="AG85" s="832">
        <v>0</v>
      </c>
      <c r="AH85" s="832">
        <v>0</v>
      </c>
      <c r="AI85" s="832">
        <v>0</v>
      </c>
      <c r="AJ85" s="1030" t="str">
        <f t="shared" si="6"/>
        <v>H01347</v>
      </c>
      <c r="AK85" s="1030" t="str">
        <f t="shared" si="7"/>
        <v>OCC TELEPHONE-TELEGRAMMES</v>
      </c>
      <c r="AL85" s="1030">
        <f>IFERROR(INDEX(G85:R85,1,MATCH(Parametres!$B$3,G$1:R$1,0)-1)*IF(OR(F85="L",F85="S",F85="I"),-1,1),"")</f>
        <v>396.77</v>
      </c>
      <c r="AM85" s="1030">
        <f t="shared" si="8"/>
        <v>52.350000000000023</v>
      </c>
      <c r="AN85" s="1030">
        <f>INDEX(G85:R85,1,MATCH(Parametres!$B$3,G$1:R$1,0))*IF(OR(F85="L",F85="S",F85="I"),-1,1)</f>
        <v>449.12</v>
      </c>
      <c r="AO85" s="598" t="str">
        <f>+VLOOKUP($AJ85,Data_Validation!$A:$D,1,0)</f>
        <v>H01347</v>
      </c>
      <c r="AP85" s="598" t="str">
        <f>+VLOOKUP($AJ85,Data_Validation!$A:$D,3,0)</f>
        <v>Véhicules usagés</v>
      </c>
      <c r="AQ85" s="598" t="str">
        <f>+VLOOKUP($AJ85,Data_Validation!$A:$D,4,0)</f>
        <v>Téléphone</v>
      </c>
      <c r="AR85" s="598" t="s">
        <v>299</v>
      </c>
      <c r="AS85" s="598">
        <f>+VLOOKUP($AJ85,Data_Validation!$A:$E,5,0)</f>
        <v>0</v>
      </c>
      <c r="AT85" s="1036" t="str">
        <f t="shared" si="9"/>
        <v>H01347</v>
      </c>
      <c r="AU85" s="599" t="str">
        <f t="shared" si="10"/>
        <v>OCC TELEPHONE-TELEGRAMMES</v>
      </c>
      <c r="AV85" s="1030">
        <f>IFERROR(INDEX(V85:AG85,1,MATCH(Parametres!$B$3,V$1:AG$1,0)-1)*IF(OR(C85="L",C85="S",C85="I"),-1,1),"")</f>
        <v>0</v>
      </c>
      <c r="AW85" s="1030">
        <f t="shared" si="11"/>
        <v>0</v>
      </c>
      <c r="AX85" s="1030">
        <f>INDEX(V85:AG85,1,MATCH(Parametres!$B$3,V$1:AG$1,0))*IF(OR(C85="L",C85="S",C85="I"),-1,1)</f>
        <v>0</v>
      </c>
      <c r="AY85" s="598" t="s">
        <v>337</v>
      </c>
      <c r="AZ85" s="598">
        <f>+VLOOKUP($AJ85,Data_Validation!$A:$E,5,0)</f>
        <v>0</v>
      </c>
    </row>
    <row r="86" spans="1:52" ht="15" customHeight="1">
      <c r="A86" s="832" t="s">
        <v>1150</v>
      </c>
      <c r="B86" s="832">
        <v>2025</v>
      </c>
      <c r="C86" s="832" t="s">
        <v>1318</v>
      </c>
      <c r="D86" s="832" t="s">
        <v>1319</v>
      </c>
      <c r="E86" s="832" t="s">
        <v>333</v>
      </c>
      <c r="F86" s="832" t="s">
        <v>1119</v>
      </c>
      <c r="G86" s="832">
        <v>0</v>
      </c>
      <c r="H86" s="832">
        <v>0</v>
      </c>
      <c r="I86" s="832">
        <v>0</v>
      </c>
      <c r="J86" s="832">
        <v>0</v>
      </c>
      <c r="K86" s="832">
        <v>0</v>
      </c>
      <c r="L86" s="832">
        <v>0</v>
      </c>
      <c r="M86" s="832">
        <v>0</v>
      </c>
      <c r="N86" s="832">
        <v>0</v>
      </c>
      <c r="O86" s="832">
        <v>0</v>
      </c>
      <c r="P86" s="832">
        <v>0</v>
      </c>
      <c r="Q86" s="832">
        <v>0</v>
      </c>
      <c r="R86" s="832">
        <v>0</v>
      </c>
      <c r="S86" s="832">
        <v>0</v>
      </c>
      <c r="T86" s="832">
        <v>0</v>
      </c>
      <c r="U86" s="832">
        <v>0</v>
      </c>
      <c r="V86" s="832">
        <v>0</v>
      </c>
      <c r="W86" s="832">
        <v>0</v>
      </c>
      <c r="X86" s="832">
        <v>0</v>
      </c>
      <c r="Y86" s="832">
        <v>0</v>
      </c>
      <c r="Z86" s="832">
        <v>0</v>
      </c>
      <c r="AA86" s="832">
        <v>0</v>
      </c>
      <c r="AB86" s="832">
        <v>0</v>
      </c>
      <c r="AC86" s="832">
        <v>0</v>
      </c>
      <c r="AD86" s="832">
        <v>0</v>
      </c>
      <c r="AE86" s="832">
        <v>0</v>
      </c>
      <c r="AF86" s="832">
        <v>0</v>
      </c>
      <c r="AG86" s="832">
        <v>0</v>
      </c>
      <c r="AH86" s="832">
        <v>0</v>
      </c>
      <c r="AI86" s="832">
        <v>0</v>
      </c>
      <c r="AJ86" s="1030" t="str">
        <f t="shared" si="6"/>
        <v>H01348</v>
      </c>
      <c r="AK86" s="1030" t="str">
        <f t="shared" si="7"/>
        <v>OCC FRAIS POSTAUX</v>
      </c>
      <c r="AL86" s="1030">
        <f>IFERROR(INDEX(G86:R86,1,MATCH(Parametres!$B$3,G$1:R$1,0)-1)*IF(OR(F86="L",F86="S",F86="I"),-1,1),"")</f>
        <v>0</v>
      </c>
      <c r="AM86" s="1030">
        <f t="shared" si="8"/>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t="str">
        <f t="shared" si="9"/>
        <v>H01348</v>
      </c>
      <c r="AU86" s="599" t="str">
        <f t="shared" si="10"/>
        <v>OCC FRAIS POSTAUX</v>
      </c>
      <c r="AV86" s="1030">
        <f>IFERROR(INDEX(V86:AG86,1,MATCH(Parametres!$B$3,V$1:AG$1,0)-1)*IF(OR(C86="L",C86="S",C86="I"),-1,1),"")</f>
        <v>0</v>
      </c>
      <c r="AW86" s="1030">
        <f t="shared" si="11"/>
        <v>0</v>
      </c>
      <c r="AX86" s="1030">
        <f>INDEX(V86:AG86,1,MATCH(Parametres!$B$3,V$1:AG$1,0))*IF(OR(C86="L",C86="S",C86="I"),-1,1)</f>
        <v>0</v>
      </c>
      <c r="AY86" s="598" t="s">
        <v>337</v>
      </c>
      <c r="AZ86" s="598" t="e">
        <f>+VLOOKUP($AJ86,Data_Validation!$A:$E,5,0)</f>
        <v>#N/A</v>
      </c>
    </row>
    <row r="87" spans="1:52" ht="15" customHeight="1">
      <c r="A87" s="832" t="s">
        <v>1150</v>
      </c>
      <c r="B87" s="832">
        <v>2025</v>
      </c>
      <c r="C87" s="832" t="s">
        <v>1320</v>
      </c>
      <c r="D87" s="832" t="s">
        <v>1321</v>
      </c>
      <c r="E87" s="832" t="s">
        <v>333</v>
      </c>
      <c r="F87" s="832" t="s">
        <v>1119</v>
      </c>
      <c r="G87" s="832">
        <v>0</v>
      </c>
      <c r="H87" s="832">
        <v>0</v>
      </c>
      <c r="I87" s="832">
        <v>0</v>
      </c>
      <c r="J87" s="832">
        <v>0</v>
      </c>
      <c r="K87" s="832">
        <v>0</v>
      </c>
      <c r="L87" s="832">
        <v>0</v>
      </c>
      <c r="M87" s="832">
        <v>0</v>
      </c>
      <c r="N87" s="832">
        <v>0</v>
      </c>
      <c r="O87" s="832">
        <v>0</v>
      </c>
      <c r="P87" s="832">
        <v>0</v>
      </c>
      <c r="Q87" s="832">
        <v>0</v>
      </c>
      <c r="R87" s="832">
        <v>0</v>
      </c>
      <c r="S87" s="832">
        <v>0</v>
      </c>
      <c r="T87" s="832">
        <v>0</v>
      </c>
      <c r="U87" s="832">
        <v>0</v>
      </c>
      <c r="V87" s="832">
        <v>0</v>
      </c>
      <c r="W87" s="832">
        <v>0</v>
      </c>
      <c r="X87" s="832">
        <v>0</v>
      </c>
      <c r="Y87" s="832">
        <v>0</v>
      </c>
      <c r="Z87" s="832">
        <v>0</v>
      </c>
      <c r="AA87" s="832">
        <v>0</v>
      </c>
      <c r="AB87" s="832">
        <v>0</v>
      </c>
      <c r="AC87" s="832">
        <v>0</v>
      </c>
      <c r="AD87" s="832">
        <v>0</v>
      </c>
      <c r="AE87" s="832">
        <v>0</v>
      </c>
      <c r="AF87" s="832">
        <v>0</v>
      </c>
      <c r="AG87" s="832">
        <v>0</v>
      </c>
      <c r="AH87" s="832">
        <v>0</v>
      </c>
      <c r="AI87" s="832">
        <v>0</v>
      </c>
      <c r="AJ87" s="1030" t="str">
        <f t="shared" si="6"/>
        <v>H01349</v>
      </c>
      <c r="AK87" s="1030" t="str">
        <f t="shared" si="7"/>
        <v>OCC FRET &amp; MESSAGERIE</v>
      </c>
      <c r="AL87" s="1030">
        <f>IFERROR(INDEX(G87:R87,1,MATCH(Parametres!$B$3,G$1:R$1,0)-1)*IF(OR(F87="L",F87="S",F87="I"),-1,1),"")</f>
        <v>0</v>
      </c>
      <c r="AM87" s="1030">
        <f t="shared" si="8"/>
        <v>0</v>
      </c>
      <c r="AN87" s="1030">
        <f>INDEX(G87:R87,1,MATCH(Parametres!$B$3,G$1:R$1,0))*IF(OR(F87="L",F87="S",F87="I"),-1,1)</f>
        <v>0</v>
      </c>
      <c r="AO87" s="598" t="str">
        <f>+VLOOKUP($AJ87,Data_Validation!$A:$D,1,0)</f>
        <v>H01349</v>
      </c>
      <c r="AP87" s="598" t="str">
        <f>+VLOOKUP($AJ87,Data_Validation!$A:$D,3,0)</f>
        <v>Véhicules usagés</v>
      </c>
      <c r="AQ87" s="598" t="str">
        <f>+VLOOKUP($AJ87,Data_Validation!$A:$D,4,0)</f>
        <v>Frais postaux</v>
      </c>
      <c r="AR87" s="598" t="s">
        <v>299</v>
      </c>
      <c r="AS87" s="598">
        <f>+VLOOKUP($AJ87,Data_Validation!$A:$E,5,0)</f>
        <v>0</v>
      </c>
      <c r="AT87" s="1036" t="str">
        <f t="shared" si="9"/>
        <v>H01349</v>
      </c>
      <c r="AU87" s="599" t="str">
        <f t="shared" si="10"/>
        <v>OCC FRET &amp; MESSAGERIE</v>
      </c>
      <c r="AV87" s="1030">
        <f>IFERROR(INDEX(V87:AG87,1,MATCH(Parametres!$B$3,V$1:AG$1,0)-1)*IF(OR(C87="L",C87="S",C87="I"),-1,1),"")</f>
        <v>0</v>
      </c>
      <c r="AW87" s="1030">
        <f t="shared" si="11"/>
        <v>0</v>
      </c>
      <c r="AX87" s="1030">
        <f>INDEX(V87:AG87,1,MATCH(Parametres!$B$3,V$1:AG$1,0))*IF(OR(C87="L",C87="S",C87="I"),-1,1)</f>
        <v>0</v>
      </c>
      <c r="AY87" s="598" t="s">
        <v>337</v>
      </c>
      <c r="AZ87" s="598">
        <f>+VLOOKUP($AJ87,Data_Validation!$A:$E,5,0)</f>
        <v>0</v>
      </c>
    </row>
    <row r="88" spans="1:52" ht="15" customHeight="1">
      <c r="A88" s="832" t="s">
        <v>1150</v>
      </c>
      <c r="B88" s="832">
        <v>2025</v>
      </c>
      <c r="C88" s="832" t="s">
        <v>1322</v>
      </c>
      <c r="D88" s="832" t="s">
        <v>1323</v>
      </c>
      <c r="E88" s="832" t="s">
        <v>333</v>
      </c>
      <c r="F88" s="832" t="s">
        <v>1119</v>
      </c>
      <c r="G88" s="832">
        <v>62.5</v>
      </c>
      <c r="H88" s="832">
        <v>62.5</v>
      </c>
      <c r="I88" s="832">
        <v>62.5</v>
      </c>
      <c r="J88" s="832">
        <v>62.5</v>
      </c>
      <c r="K88" s="832">
        <v>62.5</v>
      </c>
      <c r="L88" s="832">
        <v>62.5</v>
      </c>
      <c r="M88" s="832">
        <v>62.5</v>
      </c>
      <c r="N88" s="832">
        <v>62.5</v>
      </c>
      <c r="O88" s="832">
        <v>62.5</v>
      </c>
      <c r="P88" s="832">
        <v>62.5</v>
      </c>
      <c r="Q88" s="832">
        <v>62.5</v>
      </c>
      <c r="R88" s="832">
        <v>62.5</v>
      </c>
      <c r="S88" s="832">
        <v>5.68</v>
      </c>
      <c r="T88" s="832">
        <v>5.68</v>
      </c>
      <c r="U88" s="832">
        <v>0</v>
      </c>
      <c r="V88" s="832">
        <v>0</v>
      </c>
      <c r="W88" s="832">
        <v>0</v>
      </c>
      <c r="X88" s="832">
        <v>0</v>
      </c>
      <c r="Y88" s="832">
        <v>0</v>
      </c>
      <c r="Z88" s="832">
        <v>0</v>
      </c>
      <c r="AA88" s="832">
        <v>0</v>
      </c>
      <c r="AB88" s="832">
        <v>0</v>
      </c>
      <c r="AC88" s="832">
        <v>0</v>
      </c>
      <c r="AD88" s="832">
        <v>0</v>
      </c>
      <c r="AE88" s="832">
        <v>0</v>
      </c>
      <c r="AF88" s="832">
        <v>0</v>
      </c>
      <c r="AG88" s="832">
        <v>0</v>
      </c>
      <c r="AH88" s="832">
        <v>0</v>
      </c>
      <c r="AI88" s="832">
        <v>0</v>
      </c>
      <c r="AJ88" s="1030" t="str">
        <f t="shared" si="6"/>
        <v>H01352</v>
      </c>
      <c r="AK88" s="1030" t="str">
        <f t="shared" si="7"/>
        <v>OCC FRAIS DIVERS</v>
      </c>
      <c r="AL88" s="1030">
        <f>IFERROR(INDEX(G88:R88,1,MATCH(Parametres!$B$3,G$1:R$1,0)-1)*IF(OR(F88="L",F88="S",F88="I"),-1,1),"")</f>
        <v>62.5</v>
      </c>
      <c r="AM88" s="1030">
        <f t="shared" si="8"/>
        <v>0</v>
      </c>
      <c r="AN88" s="1030">
        <f>INDEX(G88:R88,1,MATCH(Parametres!$B$3,G$1:R$1,0))*IF(OR(F88="L",F88="S",F88="I"),-1,1)</f>
        <v>62.5</v>
      </c>
      <c r="AO88" s="598" t="str">
        <f>+VLOOKUP($AJ88,Data_Validation!$A:$D,1,0)</f>
        <v>H01352</v>
      </c>
      <c r="AP88" s="598" t="str">
        <f>+VLOOKUP($AJ88,Data_Validation!$A:$D,3,0)</f>
        <v>Véhicules usagés</v>
      </c>
      <c r="AQ88" s="598" t="str">
        <f>+VLOOKUP($AJ88,Data_Validation!$A:$D,4,0)</f>
        <v>Divers</v>
      </c>
      <c r="AR88" s="598" t="s">
        <v>299</v>
      </c>
      <c r="AS88" s="598">
        <f>+VLOOKUP($AJ88,Data_Validation!$A:$E,5,0)</f>
        <v>0</v>
      </c>
      <c r="AT88" s="1036" t="str">
        <f t="shared" si="9"/>
        <v>H01352</v>
      </c>
      <c r="AU88" s="599" t="str">
        <f t="shared" si="10"/>
        <v>OCC FRAIS DIVERS</v>
      </c>
      <c r="AV88" s="1030">
        <f>IFERROR(INDEX(V88:AG88,1,MATCH(Parametres!$B$3,V$1:AG$1,0)-1)*IF(OR(C88="L",C88="S",C88="I"),-1,1),"")</f>
        <v>0</v>
      </c>
      <c r="AW88" s="1030">
        <f t="shared" si="11"/>
        <v>0</v>
      </c>
      <c r="AX88" s="1030">
        <f>INDEX(V88:AG88,1,MATCH(Parametres!$B$3,V$1:AG$1,0))*IF(OR(C88="L",C88="S",C88="I"),-1,1)</f>
        <v>0</v>
      </c>
      <c r="AY88" s="598" t="s">
        <v>337</v>
      </c>
      <c r="AZ88" s="598">
        <f>+VLOOKUP($AJ88,Data_Validation!$A:$E,5,0)</f>
        <v>0</v>
      </c>
    </row>
    <row r="89" spans="1:52" ht="15" customHeight="1">
      <c r="A89" s="832" t="s">
        <v>1150</v>
      </c>
      <c r="B89" s="832">
        <v>2025</v>
      </c>
      <c r="C89" s="832" t="s">
        <v>1324</v>
      </c>
      <c r="D89" s="832" t="s">
        <v>1325</v>
      </c>
      <c r="E89" s="832" t="s">
        <v>333</v>
      </c>
      <c r="F89" s="832" t="s">
        <v>1119</v>
      </c>
      <c r="G89" s="832">
        <v>32500</v>
      </c>
      <c r="H89" s="832">
        <v>65000</v>
      </c>
      <c r="I89" s="832">
        <v>97500</v>
      </c>
      <c r="J89" s="832">
        <v>130000</v>
      </c>
      <c r="K89" s="832">
        <v>162500</v>
      </c>
      <c r="L89" s="832">
        <v>195000</v>
      </c>
      <c r="M89" s="832">
        <v>227500</v>
      </c>
      <c r="N89" s="832">
        <v>260000</v>
      </c>
      <c r="O89" s="832">
        <v>292500</v>
      </c>
      <c r="P89" s="832">
        <v>325000</v>
      </c>
      <c r="Q89" s="832">
        <v>357500</v>
      </c>
      <c r="R89" s="832">
        <v>381250</v>
      </c>
      <c r="S89" s="832">
        <v>32500</v>
      </c>
      <c r="T89" s="832">
        <v>32500</v>
      </c>
      <c r="U89" s="832">
        <v>0</v>
      </c>
      <c r="V89" s="832">
        <v>0</v>
      </c>
      <c r="W89" s="832">
        <v>0</v>
      </c>
      <c r="X89" s="832">
        <v>0</v>
      </c>
      <c r="Y89" s="832">
        <v>0</v>
      </c>
      <c r="Z89" s="832">
        <v>0</v>
      </c>
      <c r="AA89" s="832">
        <v>0</v>
      </c>
      <c r="AB89" s="832">
        <v>0</v>
      </c>
      <c r="AC89" s="832">
        <v>0</v>
      </c>
      <c r="AD89" s="832">
        <v>0</v>
      </c>
      <c r="AE89" s="832">
        <v>0</v>
      </c>
      <c r="AF89" s="832">
        <v>0</v>
      </c>
      <c r="AG89" s="832">
        <v>0</v>
      </c>
      <c r="AH89" s="832">
        <v>0</v>
      </c>
      <c r="AI89" s="832">
        <v>0</v>
      </c>
      <c r="AJ89" s="1030" t="str">
        <f t="shared" si="6"/>
        <v>H01360</v>
      </c>
      <c r="AK89" s="1030" t="str">
        <f t="shared" si="7"/>
        <v>OCC LOYER INT HYPOTH.</v>
      </c>
      <c r="AL89" s="1030">
        <f>IFERROR(INDEX(G89:R89,1,MATCH(Parametres!$B$3,G$1:R$1,0)-1)*IF(OR(F89="L",F89="S",F89="I"),-1,1),"")</f>
        <v>130000</v>
      </c>
      <c r="AM89" s="1030">
        <f t="shared" si="8"/>
        <v>32500</v>
      </c>
      <c r="AN89" s="1030">
        <f>INDEX(G89:R89,1,MATCH(Parametres!$B$3,G$1:R$1,0))*IF(OR(F89="L",F89="S",F89="I"),-1,1)</f>
        <v>162500</v>
      </c>
      <c r="AO89" s="598" t="str">
        <f>+VLOOKUP($AJ89,Data_Validation!$A:$D,1,0)</f>
        <v>H01360</v>
      </c>
      <c r="AP89" s="598" t="str">
        <f>+VLOOKUP($AJ89,Data_Validation!$A:$D,3,0)</f>
        <v>Véhicules usagés</v>
      </c>
      <c r="AQ89" s="598" t="str">
        <f>+VLOOKUP($AJ89,Data_Validation!$A:$D,4,0)</f>
        <v>Loyer</v>
      </c>
      <c r="AR89" s="598" t="s">
        <v>299</v>
      </c>
      <c r="AS89" s="598">
        <f>+VLOOKUP($AJ89,Data_Validation!$A:$E,5,0)</f>
        <v>0</v>
      </c>
      <c r="AT89" s="1036" t="str">
        <f t="shared" si="9"/>
        <v>H01360</v>
      </c>
      <c r="AU89" s="599" t="str">
        <f t="shared" si="10"/>
        <v>OCC LOYER INT HYPOTH.</v>
      </c>
      <c r="AV89" s="1030">
        <f>IFERROR(INDEX(V89:AG89,1,MATCH(Parametres!$B$3,V$1:AG$1,0)-1)*IF(OR(C89="L",C89="S",C89="I"),-1,1),"")</f>
        <v>0</v>
      </c>
      <c r="AW89" s="1030">
        <f t="shared" si="11"/>
        <v>0</v>
      </c>
      <c r="AX89" s="1030">
        <f>INDEX(V89:AG89,1,MATCH(Parametres!$B$3,V$1:AG$1,0))*IF(OR(C89="L",C89="S",C89="I"),-1,1)</f>
        <v>0</v>
      </c>
      <c r="AY89" s="598" t="s">
        <v>337</v>
      </c>
      <c r="AZ89" s="598">
        <f>+VLOOKUP($AJ89,Data_Validation!$A:$E,5,0)</f>
        <v>0</v>
      </c>
    </row>
    <row r="90" spans="1:52" ht="15" customHeight="1">
      <c r="A90" s="832" t="s">
        <v>1150</v>
      </c>
      <c r="B90" s="832">
        <v>2025</v>
      </c>
      <c r="C90" s="832" t="s">
        <v>1326</v>
      </c>
      <c r="D90" s="832" t="s">
        <v>1327</v>
      </c>
      <c r="E90" s="832" t="s">
        <v>333</v>
      </c>
      <c r="F90" s="832" t="s">
        <v>1119</v>
      </c>
      <c r="G90" s="832">
        <v>148.16</v>
      </c>
      <c r="H90" s="832">
        <v>296.32</v>
      </c>
      <c r="I90" s="832">
        <v>440.3</v>
      </c>
      <c r="J90" s="832">
        <v>581.4</v>
      </c>
      <c r="K90" s="832">
        <v>752.96</v>
      </c>
      <c r="L90" s="832">
        <v>921.09</v>
      </c>
      <c r="M90" s="832">
        <v>1052.8800000000001</v>
      </c>
      <c r="N90" s="832">
        <v>1182.04</v>
      </c>
      <c r="O90" s="832">
        <v>1308.6099999999999</v>
      </c>
      <c r="P90" s="832">
        <v>1365.55</v>
      </c>
      <c r="Q90" s="832">
        <v>1420.23</v>
      </c>
      <c r="R90" s="832">
        <v>1474.91</v>
      </c>
      <c r="S90" s="832">
        <v>129.11000000000001</v>
      </c>
      <c r="T90" s="832">
        <v>129.11000000000001</v>
      </c>
      <c r="U90" s="832">
        <v>0</v>
      </c>
      <c r="V90" s="832">
        <v>0</v>
      </c>
      <c r="W90" s="832">
        <v>0</v>
      </c>
      <c r="X90" s="832">
        <v>0</v>
      </c>
      <c r="Y90" s="832">
        <v>0</v>
      </c>
      <c r="Z90" s="832">
        <v>0</v>
      </c>
      <c r="AA90" s="832">
        <v>0</v>
      </c>
      <c r="AB90" s="832">
        <v>0</v>
      </c>
      <c r="AC90" s="832">
        <v>0</v>
      </c>
      <c r="AD90" s="832">
        <v>0</v>
      </c>
      <c r="AE90" s="832">
        <v>0</v>
      </c>
      <c r="AF90" s="832">
        <v>0</v>
      </c>
      <c r="AG90" s="832">
        <v>0</v>
      </c>
      <c r="AH90" s="832">
        <v>0</v>
      </c>
      <c r="AI90" s="832">
        <v>0</v>
      </c>
      <c r="AJ90" s="1030" t="str">
        <f t="shared" si="6"/>
        <v>H01361</v>
      </c>
      <c r="AK90" s="1030" t="str">
        <f t="shared" si="7"/>
        <v>OCC AMORT AMELIOR  LOC</v>
      </c>
      <c r="AL90" s="1030">
        <f>IFERROR(INDEX(G90:R90,1,MATCH(Parametres!$B$3,G$1:R$1,0)-1)*IF(OR(F90="L",F90="S",F90="I"),-1,1),"")</f>
        <v>581.4</v>
      </c>
      <c r="AM90" s="1030">
        <f t="shared" si="8"/>
        <v>171.56000000000006</v>
      </c>
      <c r="AN90" s="1030">
        <f>INDEX(G90:R90,1,MATCH(Parametres!$B$3,G$1:R$1,0))*IF(OR(F90="L",F90="S",F90="I"),-1,1)</f>
        <v>752.96</v>
      </c>
      <c r="AO90" s="598" t="str">
        <f>+VLOOKUP($AJ90,Data_Validation!$A:$D,1,0)</f>
        <v>H01361</v>
      </c>
      <c r="AP90" s="598" t="str">
        <f>+VLOOKUP($AJ90,Data_Validation!$A:$D,3,0)</f>
        <v>Véhicules usagés</v>
      </c>
      <c r="AQ90" s="598" t="str">
        <f>+VLOOKUP($AJ90,Data_Validation!$A:$D,4,0)</f>
        <v>Amortissement</v>
      </c>
      <c r="AR90" s="598" t="s">
        <v>299</v>
      </c>
      <c r="AS90" s="598">
        <f>+VLOOKUP($AJ90,Data_Validation!$A:$E,5,0)</f>
        <v>0</v>
      </c>
      <c r="AT90" s="1036" t="str">
        <f t="shared" si="9"/>
        <v>H01361</v>
      </c>
      <c r="AU90" s="599" t="str">
        <f t="shared" si="10"/>
        <v>OCC AMORT AMELIOR  LOC</v>
      </c>
      <c r="AV90" s="1030">
        <f>IFERROR(INDEX(V90:AG90,1,MATCH(Parametres!$B$3,V$1:AG$1,0)-1)*IF(OR(C90="L",C90="S",C90="I"),-1,1),"")</f>
        <v>0</v>
      </c>
      <c r="AW90" s="1030">
        <f t="shared" si="11"/>
        <v>0</v>
      </c>
      <c r="AX90" s="1030">
        <f>INDEX(V90:AG90,1,MATCH(Parametres!$B$3,V$1:AG$1,0))*IF(OR(C90="L",C90="S",C90="I"),-1,1)</f>
        <v>0</v>
      </c>
      <c r="AY90" s="598" t="s">
        <v>337</v>
      </c>
      <c r="AZ90" s="598">
        <f>+VLOOKUP($AJ90,Data_Validation!$A:$E,5,0)</f>
        <v>0</v>
      </c>
    </row>
    <row r="91" spans="1:52" ht="15" customHeight="1">
      <c r="A91" s="832" t="s">
        <v>1150</v>
      </c>
      <c r="B91" s="832">
        <v>2025</v>
      </c>
      <c r="C91" s="832" t="s">
        <v>1328</v>
      </c>
      <c r="D91" s="832" t="s">
        <v>1329</v>
      </c>
      <c r="E91" s="832" t="s">
        <v>333</v>
      </c>
      <c r="F91" s="832" t="s">
        <v>1119</v>
      </c>
      <c r="G91" s="832">
        <v>1759.27</v>
      </c>
      <c r="H91" s="832">
        <v>5011.2299999999996</v>
      </c>
      <c r="I91" s="832">
        <v>10399.879999999999</v>
      </c>
      <c r="J91" s="832">
        <v>13108.81</v>
      </c>
      <c r="K91" s="832">
        <v>14659.46</v>
      </c>
      <c r="L91" s="832">
        <v>16129.8</v>
      </c>
      <c r="M91" s="832">
        <v>19454.169999999998</v>
      </c>
      <c r="N91" s="832">
        <v>21996.73</v>
      </c>
      <c r="O91" s="832">
        <v>23615.759999999998</v>
      </c>
      <c r="P91" s="832">
        <v>25691.17</v>
      </c>
      <c r="Q91" s="832">
        <v>26486.400000000001</v>
      </c>
      <c r="R91" s="832">
        <v>26727.62</v>
      </c>
      <c r="S91" s="832">
        <v>2407.85</v>
      </c>
      <c r="T91" s="832">
        <v>2407.85</v>
      </c>
      <c r="U91" s="832">
        <v>0</v>
      </c>
      <c r="V91" s="832">
        <v>0</v>
      </c>
      <c r="W91" s="832">
        <v>0</v>
      </c>
      <c r="X91" s="832">
        <v>0</v>
      </c>
      <c r="Y91" s="832">
        <v>0</v>
      </c>
      <c r="Z91" s="832">
        <v>0</v>
      </c>
      <c r="AA91" s="832">
        <v>0</v>
      </c>
      <c r="AB91" s="832">
        <v>0</v>
      </c>
      <c r="AC91" s="832">
        <v>0</v>
      </c>
      <c r="AD91" s="832">
        <v>0</v>
      </c>
      <c r="AE91" s="832">
        <v>0</v>
      </c>
      <c r="AF91" s="832">
        <v>0</v>
      </c>
      <c r="AG91" s="832">
        <v>0</v>
      </c>
      <c r="AH91" s="832">
        <v>0</v>
      </c>
      <c r="AI91" s="832">
        <v>0</v>
      </c>
      <c r="AJ91" s="1030" t="str">
        <f t="shared" si="6"/>
        <v>H01362</v>
      </c>
      <c r="AK91" s="1030" t="str">
        <f t="shared" si="7"/>
        <v>OCC ENTRERIEN PROPRIÉTÉ</v>
      </c>
      <c r="AL91" s="1030">
        <f>IFERROR(INDEX(G91:R91,1,MATCH(Parametres!$B$3,G$1:R$1,0)-1)*IF(OR(F91="L",F91="S",F91="I"),-1,1),"")</f>
        <v>13108.81</v>
      </c>
      <c r="AM91" s="1030">
        <f t="shared" si="8"/>
        <v>1550.6499999999996</v>
      </c>
      <c r="AN91" s="1030">
        <f>INDEX(G91:R91,1,MATCH(Parametres!$B$3,G$1:R$1,0))*IF(OR(F91="L",F91="S",F91="I"),-1,1)</f>
        <v>14659.46</v>
      </c>
      <c r="AO91" s="598" t="str">
        <f>+VLOOKUP($AJ91,Data_Validation!$A:$D,1,0)</f>
        <v>H01362</v>
      </c>
      <c r="AP91" s="598" t="str">
        <f>+VLOOKUP($AJ91,Data_Validation!$A:$D,3,0)</f>
        <v>Autres</v>
      </c>
      <c r="AQ91" s="598" t="str">
        <f>+VLOOKUP($AJ91,Data_Validation!$A:$D,4,0)</f>
        <v>Services extérieurs</v>
      </c>
      <c r="AR91" s="598" t="s">
        <v>299</v>
      </c>
      <c r="AS91" s="598">
        <f>+VLOOKUP($AJ91,Data_Validation!$A:$E,5,0)</f>
        <v>0</v>
      </c>
      <c r="AT91" s="1036" t="str">
        <f t="shared" si="9"/>
        <v>H01362</v>
      </c>
      <c r="AU91" s="599" t="str">
        <f t="shared" si="10"/>
        <v>OCC ENTRERIEN PROPRIÉTÉ</v>
      </c>
      <c r="AV91" s="1030">
        <f>IFERROR(INDEX(V91:AG91,1,MATCH(Parametres!$B$3,V$1:AG$1,0)-1)*IF(OR(C91="L",C91="S",C91="I"),-1,1),"")</f>
        <v>0</v>
      </c>
      <c r="AW91" s="1030">
        <f t="shared" si="11"/>
        <v>0</v>
      </c>
      <c r="AX91" s="1030">
        <f>INDEX(V91:AG91,1,MATCH(Parametres!$B$3,V$1:AG$1,0))*IF(OR(C91="L",C91="S",C91="I"),-1,1)</f>
        <v>0</v>
      </c>
      <c r="AY91" s="598" t="s">
        <v>337</v>
      </c>
      <c r="AZ91" s="598">
        <f>+VLOOKUP($AJ91,Data_Validation!$A:$E,5,0)</f>
        <v>0</v>
      </c>
    </row>
    <row r="92" spans="1:52" ht="15" customHeight="1">
      <c r="A92" s="832" t="s">
        <v>1150</v>
      </c>
      <c r="B92" s="832">
        <v>2025</v>
      </c>
      <c r="C92" s="832" t="s">
        <v>1330</v>
      </c>
      <c r="D92" s="832" t="s">
        <v>1331</v>
      </c>
      <c r="E92" s="832" t="s">
        <v>333</v>
      </c>
      <c r="F92" s="832" t="s">
        <v>1119</v>
      </c>
      <c r="G92" s="832">
        <v>13676.84</v>
      </c>
      <c r="H92" s="832">
        <v>27819.26</v>
      </c>
      <c r="I92" s="832">
        <v>42106.21</v>
      </c>
      <c r="J92" s="832">
        <v>56393.16</v>
      </c>
      <c r="K92" s="832">
        <v>70680.11</v>
      </c>
      <c r="L92" s="832">
        <v>84967.06</v>
      </c>
      <c r="M92" s="832">
        <v>99254.01</v>
      </c>
      <c r="N92" s="832">
        <v>113540.96</v>
      </c>
      <c r="O92" s="832">
        <v>130559.94</v>
      </c>
      <c r="P92" s="832">
        <v>141638.63</v>
      </c>
      <c r="Q92" s="832">
        <v>155925.57999999999</v>
      </c>
      <c r="R92" s="832">
        <v>161833.09</v>
      </c>
      <c r="S92" s="832">
        <v>14175.05</v>
      </c>
      <c r="T92" s="832">
        <v>14175.05</v>
      </c>
      <c r="U92" s="832">
        <v>0</v>
      </c>
      <c r="V92" s="832">
        <v>0</v>
      </c>
      <c r="W92" s="832">
        <v>0</v>
      </c>
      <c r="X92" s="832">
        <v>0</v>
      </c>
      <c r="Y92" s="832">
        <v>0</v>
      </c>
      <c r="Z92" s="832">
        <v>0</v>
      </c>
      <c r="AA92" s="832">
        <v>0</v>
      </c>
      <c r="AB92" s="832">
        <v>0</v>
      </c>
      <c r="AC92" s="832">
        <v>0</v>
      </c>
      <c r="AD92" s="832">
        <v>0</v>
      </c>
      <c r="AE92" s="832">
        <v>0</v>
      </c>
      <c r="AF92" s="832">
        <v>0</v>
      </c>
      <c r="AG92" s="832">
        <v>0</v>
      </c>
      <c r="AH92" s="832">
        <v>0</v>
      </c>
      <c r="AI92" s="832">
        <v>0</v>
      </c>
      <c r="AJ92" s="1030" t="str">
        <f t="shared" si="6"/>
        <v>H01363</v>
      </c>
      <c r="AK92" s="1030" t="str">
        <f t="shared" si="7"/>
        <v>OCC TAXES PROPRIÉTÉ</v>
      </c>
      <c r="AL92" s="1030">
        <f>IFERROR(INDEX(G92:R92,1,MATCH(Parametres!$B$3,G$1:R$1,0)-1)*IF(OR(F92="L",F92="S",F92="I"),-1,1),"")</f>
        <v>56393.16</v>
      </c>
      <c r="AM92" s="1030">
        <f t="shared" si="8"/>
        <v>14286.949999999997</v>
      </c>
      <c r="AN92" s="1030">
        <f>INDEX(G92:R92,1,MATCH(Parametres!$B$3,G$1:R$1,0))*IF(OR(F92="L",F92="S",F92="I"),-1,1)</f>
        <v>70680.11</v>
      </c>
      <c r="AO92" s="598" t="str">
        <f>+VLOOKUP($AJ92,Data_Validation!$A:$D,1,0)</f>
        <v>H01363</v>
      </c>
      <c r="AP92" s="598" t="str">
        <f>+VLOOKUP($AJ92,Data_Validation!$A:$D,3,0)</f>
        <v>Véhicules usagés</v>
      </c>
      <c r="AQ92" s="598" t="str">
        <f>+VLOOKUP($AJ92,Data_Validation!$A:$D,4,0)</f>
        <v>Taxes foncières</v>
      </c>
      <c r="AR92" s="598" t="s">
        <v>299</v>
      </c>
      <c r="AS92" s="598">
        <f>+VLOOKUP($AJ92,Data_Validation!$A:$E,5,0)</f>
        <v>0</v>
      </c>
      <c r="AT92" s="1036" t="str">
        <f t="shared" si="9"/>
        <v>H01363</v>
      </c>
      <c r="AU92" s="599" t="str">
        <f t="shared" si="10"/>
        <v>OCC TAXES PROPRIÉTÉ</v>
      </c>
      <c r="AV92" s="1030">
        <f>IFERROR(INDEX(V92:AG92,1,MATCH(Parametres!$B$3,V$1:AG$1,0)-1)*IF(OR(C92="L",C92="S",C92="I"),-1,1),"")</f>
        <v>0</v>
      </c>
      <c r="AW92" s="1030">
        <f t="shared" si="11"/>
        <v>0</v>
      </c>
      <c r="AX92" s="1030">
        <f>INDEX(V92:AG92,1,MATCH(Parametres!$B$3,V$1:AG$1,0))*IF(OR(C92="L",C92="S",C92="I"),-1,1)</f>
        <v>0</v>
      </c>
      <c r="AY92" s="598" t="s">
        <v>337</v>
      </c>
      <c r="AZ92" s="598">
        <f>+VLOOKUP($AJ92,Data_Validation!$A:$E,5,0)</f>
        <v>0</v>
      </c>
    </row>
    <row r="93" spans="1:52" ht="15" customHeight="1">
      <c r="A93" s="832" t="s">
        <v>1150</v>
      </c>
      <c r="B93" s="832">
        <v>2025</v>
      </c>
      <c r="C93" s="832" t="s">
        <v>1332</v>
      </c>
      <c r="D93" s="832" t="s">
        <v>1333</v>
      </c>
      <c r="E93" s="832" t="s">
        <v>333</v>
      </c>
      <c r="F93" s="832" t="s">
        <v>1119</v>
      </c>
      <c r="G93" s="832">
        <v>1184.5999999999999</v>
      </c>
      <c r="H93" s="832">
        <v>2369.1999999999998</v>
      </c>
      <c r="I93" s="832">
        <v>3553.8</v>
      </c>
      <c r="J93" s="832">
        <v>4738.3999999999996</v>
      </c>
      <c r="K93" s="832">
        <v>5923</v>
      </c>
      <c r="L93" s="832">
        <v>7107.6</v>
      </c>
      <c r="M93" s="832">
        <v>8292.2000000000007</v>
      </c>
      <c r="N93" s="832">
        <v>9330.68</v>
      </c>
      <c r="O93" s="832">
        <v>10369.16</v>
      </c>
      <c r="P93" s="832">
        <v>11407.64</v>
      </c>
      <c r="Q93" s="832">
        <v>12138.04</v>
      </c>
      <c r="R93" s="832">
        <v>12868.44</v>
      </c>
      <c r="S93" s="832">
        <v>1103.46</v>
      </c>
      <c r="T93" s="832">
        <v>1103.46</v>
      </c>
      <c r="U93" s="832">
        <v>0</v>
      </c>
      <c r="V93" s="832">
        <v>0</v>
      </c>
      <c r="W93" s="832">
        <v>0</v>
      </c>
      <c r="X93" s="832">
        <v>0</v>
      </c>
      <c r="Y93" s="832">
        <v>0</v>
      </c>
      <c r="Z93" s="832">
        <v>0</v>
      </c>
      <c r="AA93" s="832">
        <v>0</v>
      </c>
      <c r="AB93" s="832">
        <v>0</v>
      </c>
      <c r="AC93" s="832">
        <v>0</v>
      </c>
      <c r="AD93" s="832">
        <v>0</v>
      </c>
      <c r="AE93" s="832">
        <v>0</v>
      </c>
      <c r="AF93" s="832">
        <v>0</v>
      </c>
      <c r="AG93" s="832">
        <v>0</v>
      </c>
      <c r="AH93" s="832">
        <v>0</v>
      </c>
      <c r="AI93" s="832">
        <v>0</v>
      </c>
      <c r="AJ93" s="1030" t="str">
        <f t="shared" si="6"/>
        <v>H01364</v>
      </c>
      <c r="AK93" s="1030" t="str">
        <f t="shared" si="7"/>
        <v>OCC ASSURANCE BATIMENT</v>
      </c>
      <c r="AL93" s="1030">
        <f>IFERROR(INDEX(G93:R93,1,MATCH(Parametres!$B$3,G$1:R$1,0)-1)*IF(OR(F93="L",F93="S",F93="I"),-1,1),"")</f>
        <v>4738.3999999999996</v>
      </c>
      <c r="AM93" s="1030">
        <f t="shared" si="8"/>
        <v>1184.6000000000004</v>
      </c>
      <c r="AN93" s="1030">
        <f>INDEX(G93:R93,1,MATCH(Parametres!$B$3,G$1:R$1,0))*IF(OR(F93="L",F93="S",F93="I"),-1,1)</f>
        <v>5923</v>
      </c>
      <c r="AO93" s="598" t="str">
        <f>+VLOOKUP($AJ93,Data_Validation!$A:$D,1,0)</f>
        <v>H01364</v>
      </c>
      <c r="AP93" s="598" t="str">
        <f>+VLOOKUP($AJ93,Data_Validation!$A:$D,3,0)</f>
        <v>Véhicules usagés</v>
      </c>
      <c r="AQ93" s="598" t="str">
        <f>+VLOOKUP($AJ93,Data_Validation!$A:$D,4,0)</f>
        <v>Assurances</v>
      </c>
      <c r="AR93" s="598" t="s">
        <v>299</v>
      </c>
      <c r="AS93" s="598">
        <f>+VLOOKUP($AJ93,Data_Validation!$A:$E,5,0)</f>
        <v>0</v>
      </c>
      <c r="AT93" s="1036" t="str">
        <f t="shared" si="9"/>
        <v>H01364</v>
      </c>
      <c r="AU93" s="599" t="str">
        <f t="shared" si="10"/>
        <v>OCC ASSURANCE BATIMENT</v>
      </c>
      <c r="AV93" s="1030">
        <f>IFERROR(INDEX(V93:AG93,1,MATCH(Parametres!$B$3,V$1:AG$1,0)-1)*IF(OR(C93="L",C93="S",C93="I"),-1,1),"")</f>
        <v>0</v>
      </c>
      <c r="AW93" s="1030">
        <f t="shared" si="11"/>
        <v>0</v>
      </c>
      <c r="AX93" s="1030">
        <f>INDEX(V93:AG93,1,MATCH(Parametres!$B$3,V$1:AG$1,0))*IF(OR(C93="L",C93="S",C93="I"),-1,1)</f>
        <v>0</v>
      </c>
      <c r="AY93" s="598" t="s">
        <v>337</v>
      </c>
      <c r="AZ93" s="598">
        <f>+VLOOKUP($AJ93,Data_Validation!$A:$E,5,0)</f>
        <v>0</v>
      </c>
    </row>
    <row r="94" spans="1:52" ht="15.75" customHeight="1">
      <c r="A94" s="832" t="s">
        <v>1150</v>
      </c>
      <c r="B94" s="832">
        <v>2025</v>
      </c>
      <c r="C94" s="832" t="s">
        <v>1334</v>
      </c>
      <c r="D94" s="832" t="s">
        <v>1335</v>
      </c>
      <c r="E94" s="832" t="s">
        <v>333</v>
      </c>
      <c r="F94" s="832" t="s">
        <v>1119</v>
      </c>
      <c r="G94" s="832">
        <v>0</v>
      </c>
      <c r="H94" s="832">
        <v>0</v>
      </c>
      <c r="I94" s="832">
        <v>0</v>
      </c>
      <c r="J94" s="832">
        <v>0</v>
      </c>
      <c r="K94" s="832">
        <v>0</v>
      </c>
      <c r="L94" s="832">
        <v>0</v>
      </c>
      <c r="M94" s="832">
        <v>0</v>
      </c>
      <c r="N94" s="832">
        <v>0</v>
      </c>
      <c r="O94" s="832">
        <v>0</v>
      </c>
      <c r="P94" s="832">
        <v>0</v>
      </c>
      <c r="Q94" s="832">
        <v>0</v>
      </c>
      <c r="R94" s="832">
        <v>0</v>
      </c>
      <c r="S94" s="832">
        <v>0</v>
      </c>
      <c r="T94" s="832">
        <v>0</v>
      </c>
      <c r="U94" s="832">
        <v>0</v>
      </c>
      <c r="V94" s="832">
        <v>0</v>
      </c>
      <c r="W94" s="832">
        <v>0</v>
      </c>
      <c r="X94" s="832">
        <v>0</v>
      </c>
      <c r="Y94" s="832">
        <v>0</v>
      </c>
      <c r="Z94" s="832">
        <v>0</v>
      </c>
      <c r="AA94" s="832">
        <v>0</v>
      </c>
      <c r="AB94" s="832">
        <v>0</v>
      </c>
      <c r="AC94" s="832">
        <v>0</v>
      </c>
      <c r="AD94" s="832">
        <v>0</v>
      </c>
      <c r="AE94" s="832">
        <v>0</v>
      </c>
      <c r="AF94" s="832">
        <v>0</v>
      </c>
      <c r="AG94" s="832">
        <v>0</v>
      </c>
      <c r="AH94" s="832">
        <v>0</v>
      </c>
      <c r="AI94" s="832">
        <v>0</v>
      </c>
      <c r="AJ94" s="1030" t="str">
        <f t="shared" si="6"/>
        <v>H01365</v>
      </c>
      <c r="AK94" s="1030" t="str">
        <f t="shared" si="7"/>
        <v>OCC AMORT BATIMENT</v>
      </c>
      <c r="AL94" s="1030">
        <f>IFERROR(INDEX(G94:R94,1,MATCH(Parametres!$B$3,G$1:R$1,0)-1)*IF(OR(F94="L",F94="S",F94="I"),-1,1),"")</f>
        <v>0</v>
      </c>
      <c r="AM94" s="1030">
        <f t="shared" si="8"/>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t="str">
        <f t="shared" si="9"/>
        <v>H01365</v>
      </c>
      <c r="AU94" s="599" t="str">
        <f t="shared" si="10"/>
        <v>OCC AMORT BATIMENT</v>
      </c>
      <c r="AV94" s="1030">
        <f>IFERROR(INDEX(V94:AG94,1,MATCH(Parametres!$B$3,V$1:AG$1,0)-1)*IF(OR(C94="L",C94="S",C94="I"),-1,1),"")</f>
        <v>0</v>
      </c>
      <c r="AW94" s="1030">
        <f t="shared" si="11"/>
        <v>0</v>
      </c>
      <c r="AX94" s="1030">
        <f>INDEX(V94:AG94,1,MATCH(Parametres!$B$3,V$1:AG$1,0))*IF(OR(C94="L",C94="S",C94="I"),-1,1)</f>
        <v>0</v>
      </c>
      <c r="AY94" s="598" t="s">
        <v>337</v>
      </c>
      <c r="AZ94" s="598" t="e">
        <f>+VLOOKUP($AJ94,Data_Validation!$A:$E,5,0)</f>
        <v>#N/A</v>
      </c>
    </row>
    <row r="95" spans="1:52" ht="15" customHeight="1">
      <c r="A95" s="832" t="s">
        <v>1150</v>
      </c>
      <c r="B95" s="832">
        <v>2025</v>
      </c>
      <c r="C95" s="832" t="s">
        <v>1336</v>
      </c>
      <c r="D95" s="832" t="s">
        <v>1337</v>
      </c>
      <c r="E95" s="832" t="s">
        <v>333</v>
      </c>
      <c r="F95" s="832" t="s">
        <v>1119</v>
      </c>
      <c r="G95" s="832">
        <v>0</v>
      </c>
      <c r="H95" s="832">
        <v>0</v>
      </c>
      <c r="I95" s="832">
        <v>0</v>
      </c>
      <c r="J95" s="832">
        <v>0</v>
      </c>
      <c r="K95" s="832">
        <v>0</v>
      </c>
      <c r="L95" s="832">
        <v>0</v>
      </c>
      <c r="M95" s="832">
        <v>0</v>
      </c>
      <c r="N95" s="832">
        <v>0</v>
      </c>
      <c r="O95" s="832">
        <v>0</v>
      </c>
      <c r="P95" s="832">
        <v>0</v>
      </c>
      <c r="Q95" s="832">
        <v>0</v>
      </c>
      <c r="R95" s="832">
        <v>0</v>
      </c>
      <c r="S95" s="832">
        <v>0</v>
      </c>
      <c r="T95" s="832">
        <v>0</v>
      </c>
      <c r="U95" s="832">
        <v>0</v>
      </c>
      <c r="V95" s="832">
        <v>0</v>
      </c>
      <c r="W95" s="832">
        <v>0</v>
      </c>
      <c r="X95" s="832">
        <v>0</v>
      </c>
      <c r="Y95" s="832">
        <v>0</v>
      </c>
      <c r="Z95" s="832">
        <v>0</v>
      </c>
      <c r="AA95" s="832">
        <v>0</v>
      </c>
      <c r="AB95" s="832">
        <v>0</v>
      </c>
      <c r="AC95" s="832">
        <v>0</v>
      </c>
      <c r="AD95" s="832">
        <v>0</v>
      </c>
      <c r="AE95" s="832">
        <v>0</v>
      </c>
      <c r="AF95" s="832">
        <v>0</v>
      </c>
      <c r="AG95" s="832">
        <v>0</v>
      </c>
      <c r="AH95" s="832">
        <v>0</v>
      </c>
      <c r="AI95" s="832">
        <v>0</v>
      </c>
      <c r="AJ95" s="1030" t="str">
        <f t="shared" si="6"/>
        <v>H01368</v>
      </c>
      <c r="AK95" s="1030" t="str">
        <f t="shared" si="7"/>
        <v>OCC TAXES AFFAIRES&amp;AUTRES</v>
      </c>
      <c r="AL95" s="1030">
        <f>IFERROR(INDEX(G95:R95,1,MATCH(Parametres!$B$3,G$1:R$1,0)-1)*IF(OR(F95="L",F95="S",F95="I"),-1,1),"")</f>
        <v>0</v>
      </c>
      <c r="AM95" s="1030">
        <f t="shared" si="8"/>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t="str">
        <f t="shared" si="9"/>
        <v>H01368</v>
      </c>
      <c r="AU95" s="599" t="str">
        <f t="shared" si="10"/>
        <v>OCC TAXES AFFAIRES&amp;AUTRES</v>
      </c>
      <c r="AV95" s="1030">
        <f>IFERROR(INDEX(V95:AG95,1,MATCH(Parametres!$B$3,V$1:AG$1,0)-1)*IF(OR(C95="L",C95="S",C95="I"),-1,1),"")</f>
        <v>0</v>
      </c>
      <c r="AW95" s="1030">
        <f t="shared" si="11"/>
        <v>0</v>
      </c>
      <c r="AX95" s="1030">
        <f>INDEX(V95:AG95,1,MATCH(Parametres!$B$3,V$1:AG$1,0))*IF(OR(C95="L",C95="S",C95="I"),-1,1)</f>
        <v>0</v>
      </c>
      <c r="AY95" s="598" t="s">
        <v>337</v>
      </c>
      <c r="AZ95" s="598" t="e">
        <f>+VLOOKUP($AJ95,Data_Validation!$A:$E,5,0)</f>
        <v>#N/A</v>
      </c>
    </row>
    <row r="96" spans="1:52" ht="15" customHeight="1">
      <c r="A96" s="832" t="s">
        <v>1150</v>
      </c>
      <c r="B96" s="832">
        <v>2025</v>
      </c>
      <c r="C96" s="832" t="s">
        <v>1338</v>
      </c>
      <c r="D96" s="832" t="s">
        <v>1339</v>
      </c>
      <c r="E96" s="832" t="s">
        <v>333</v>
      </c>
      <c r="F96" s="832" t="s">
        <v>1119</v>
      </c>
      <c r="G96" s="832">
        <v>876.71</v>
      </c>
      <c r="H96" s="832">
        <v>1753.42</v>
      </c>
      <c r="I96" s="832">
        <v>2656.83</v>
      </c>
      <c r="J96" s="832">
        <v>3551.37</v>
      </c>
      <c r="K96" s="832">
        <v>4427.04</v>
      </c>
      <c r="L96" s="832">
        <v>5284.24</v>
      </c>
      <c r="M96" s="832">
        <v>6140.46</v>
      </c>
      <c r="N96" s="832">
        <v>6978.65</v>
      </c>
      <c r="O96" s="832">
        <v>7799.2</v>
      </c>
      <c r="P96" s="832">
        <v>8729.11</v>
      </c>
      <c r="Q96" s="832">
        <v>9726</v>
      </c>
      <c r="R96" s="832">
        <v>10707.62</v>
      </c>
      <c r="S96" s="832">
        <v>884.18</v>
      </c>
      <c r="T96" s="832">
        <v>884.18</v>
      </c>
      <c r="U96" s="832">
        <v>0</v>
      </c>
      <c r="V96" s="832">
        <v>0</v>
      </c>
      <c r="W96" s="832">
        <v>0</v>
      </c>
      <c r="X96" s="832">
        <v>0</v>
      </c>
      <c r="Y96" s="832">
        <v>0</v>
      </c>
      <c r="Z96" s="832">
        <v>0</v>
      </c>
      <c r="AA96" s="832">
        <v>0</v>
      </c>
      <c r="AB96" s="832">
        <v>0</v>
      </c>
      <c r="AC96" s="832">
        <v>0</v>
      </c>
      <c r="AD96" s="832">
        <v>0</v>
      </c>
      <c r="AE96" s="832">
        <v>0</v>
      </c>
      <c r="AF96" s="832">
        <v>0</v>
      </c>
      <c r="AG96" s="832">
        <v>0</v>
      </c>
      <c r="AH96" s="832">
        <v>0</v>
      </c>
      <c r="AI96" s="832">
        <v>0</v>
      </c>
      <c r="AJ96" s="1030" t="str">
        <f t="shared" si="6"/>
        <v>H01369</v>
      </c>
      <c r="AK96" s="1030" t="str">
        <f t="shared" si="7"/>
        <v>OCC AMORT EQUIP &amp; INSTALL</v>
      </c>
      <c r="AL96" s="1030">
        <f>IFERROR(INDEX(G96:R96,1,MATCH(Parametres!$B$3,G$1:R$1,0)-1)*IF(OR(F96="L",F96="S",F96="I"),-1,1),"")</f>
        <v>3551.37</v>
      </c>
      <c r="AM96" s="1030">
        <f t="shared" si="8"/>
        <v>875.67000000000007</v>
      </c>
      <c r="AN96" s="1030">
        <f>INDEX(G96:R96,1,MATCH(Parametres!$B$3,G$1:R$1,0))*IF(OR(F96="L",F96="S",F96="I"),-1,1)</f>
        <v>4427.04</v>
      </c>
      <c r="AO96" s="598" t="str">
        <f>+VLOOKUP($AJ96,Data_Validation!$A:$D,1,0)</f>
        <v>H01369</v>
      </c>
      <c r="AP96" s="598" t="str">
        <f>+VLOOKUP($AJ96,Data_Validation!$A:$D,3,0)</f>
        <v>Véhicules usagés</v>
      </c>
      <c r="AQ96" s="598" t="str">
        <f>+VLOOKUP($AJ96,Data_Validation!$A:$D,4,0)</f>
        <v>Amortissement</v>
      </c>
      <c r="AR96" s="598" t="s">
        <v>299</v>
      </c>
      <c r="AS96" s="598">
        <f>+VLOOKUP($AJ96,Data_Validation!$A:$E,5,0)</f>
        <v>0</v>
      </c>
      <c r="AT96" s="1036" t="str">
        <f t="shared" si="9"/>
        <v>H01369</v>
      </c>
      <c r="AU96" s="599" t="str">
        <f t="shared" si="10"/>
        <v>OCC AMORT EQUIP &amp; INSTALL</v>
      </c>
      <c r="AV96" s="1030">
        <f>IFERROR(INDEX(V96:AG96,1,MATCH(Parametres!$B$3,V$1:AG$1,0)-1)*IF(OR(C96="L",C96="S",C96="I"),-1,1),"")</f>
        <v>0</v>
      </c>
      <c r="AW96" s="1030">
        <f t="shared" si="11"/>
        <v>0</v>
      </c>
      <c r="AX96" s="1030">
        <f>INDEX(V96:AG96,1,MATCH(Parametres!$B$3,V$1:AG$1,0))*IF(OR(C96="L",C96="S",C96="I"),-1,1)</f>
        <v>0</v>
      </c>
      <c r="AY96" s="598" t="s">
        <v>337</v>
      </c>
      <c r="AZ96" s="598">
        <f>+VLOOKUP($AJ96,Data_Validation!$A:$E,5,0)</f>
        <v>0</v>
      </c>
    </row>
    <row r="97" spans="1:52" ht="15" customHeight="1">
      <c r="A97" s="832" t="s">
        <v>1150</v>
      </c>
      <c r="B97" s="832">
        <v>2025</v>
      </c>
      <c r="C97" s="832" t="s">
        <v>1340</v>
      </c>
      <c r="D97" s="832" t="s">
        <v>1341</v>
      </c>
      <c r="E97" s="832" t="s">
        <v>333</v>
      </c>
      <c r="F97" s="832" t="s">
        <v>1119</v>
      </c>
      <c r="G97" s="832">
        <v>0</v>
      </c>
      <c r="H97" s="832">
        <v>0</v>
      </c>
      <c r="I97" s="832">
        <v>0</v>
      </c>
      <c r="J97" s="832">
        <v>0</v>
      </c>
      <c r="K97" s="832">
        <v>0</v>
      </c>
      <c r="L97" s="832">
        <v>0</v>
      </c>
      <c r="M97" s="832">
        <v>0</v>
      </c>
      <c r="N97" s="832">
        <v>0</v>
      </c>
      <c r="O97" s="832">
        <v>0</v>
      </c>
      <c r="P97" s="832">
        <v>0</v>
      </c>
      <c r="Q97" s="832">
        <v>0</v>
      </c>
      <c r="R97" s="832">
        <v>0</v>
      </c>
      <c r="S97" s="832">
        <v>0</v>
      </c>
      <c r="T97" s="832">
        <v>0</v>
      </c>
      <c r="U97" s="832">
        <v>0</v>
      </c>
      <c r="V97" s="832">
        <v>0</v>
      </c>
      <c r="W97" s="832">
        <v>0</v>
      </c>
      <c r="X97" s="832">
        <v>0</v>
      </c>
      <c r="Y97" s="832">
        <v>0</v>
      </c>
      <c r="Z97" s="832">
        <v>0</v>
      </c>
      <c r="AA97" s="832">
        <v>0</v>
      </c>
      <c r="AB97" s="832">
        <v>0</v>
      </c>
      <c r="AC97" s="832">
        <v>0</v>
      </c>
      <c r="AD97" s="832">
        <v>0</v>
      </c>
      <c r="AE97" s="832">
        <v>0</v>
      </c>
      <c r="AF97" s="832">
        <v>0</v>
      </c>
      <c r="AG97" s="832">
        <v>0</v>
      </c>
      <c r="AH97" s="832">
        <v>0</v>
      </c>
      <c r="AI97" s="832">
        <v>0</v>
      </c>
      <c r="AJ97" s="1030" t="str">
        <f t="shared" si="6"/>
        <v>H01370</v>
      </c>
      <c r="AK97" s="1030" t="str">
        <f t="shared" si="7"/>
        <v>OCC ASSURANCE GENERALE</v>
      </c>
      <c r="AL97" s="1030">
        <f>IFERROR(INDEX(G97:R97,1,MATCH(Parametres!$B$3,G$1:R$1,0)-1)*IF(OR(F97="L",F97="S",F97="I"),-1,1),"")</f>
        <v>0</v>
      </c>
      <c r="AM97" s="1030">
        <f t="shared" si="8"/>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t="str">
        <f t="shared" si="9"/>
        <v>H01370</v>
      </c>
      <c r="AU97" s="599" t="str">
        <f t="shared" si="10"/>
        <v>OCC ASSURANCE GENERALE</v>
      </c>
      <c r="AV97" s="1030">
        <f>IFERROR(INDEX(V97:AG97,1,MATCH(Parametres!$B$3,V$1:AG$1,0)-1)*IF(OR(C97="L",C97="S",C97="I"),-1,1),"")</f>
        <v>0</v>
      </c>
      <c r="AW97" s="1030">
        <f t="shared" si="11"/>
        <v>0</v>
      </c>
      <c r="AX97" s="1030">
        <f>INDEX(V97:AG97,1,MATCH(Parametres!$B$3,V$1:AG$1,0))*IF(OR(C97="L",C97="S",C97="I"),-1,1)</f>
        <v>0</v>
      </c>
      <c r="AY97" s="598" t="s">
        <v>337</v>
      </c>
      <c r="AZ97" s="598" t="e">
        <f>+VLOOKUP($AJ97,Data_Validation!$A:$E,5,0)</f>
        <v>#N/A</v>
      </c>
    </row>
    <row r="98" spans="1:52" ht="15" customHeight="1">
      <c r="A98" s="832" t="s">
        <v>1150</v>
      </c>
      <c r="B98" s="832">
        <v>2025</v>
      </c>
      <c r="C98" s="832" t="s">
        <v>1342</v>
      </c>
      <c r="D98" s="832" t="s">
        <v>1343</v>
      </c>
      <c r="E98" s="832" t="s">
        <v>333</v>
      </c>
      <c r="F98" s="832" t="s">
        <v>1119</v>
      </c>
      <c r="G98" s="832">
        <v>1906.36</v>
      </c>
      <c r="H98" s="832">
        <v>5997.37</v>
      </c>
      <c r="I98" s="832">
        <v>8530.4599999999991</v>
      </c>
      <c r="J98" s="832">
        <v>12236.89</v>
      </c>
      <c r="K98" s="832">
        <v>13991.2</v>
      </c>
      <c r="L98" s="832">
        <v>15829.17</v>
      </c>
      <c r="M98" s="832">
        <v>17398.77</v>
      </c>
      <c r="N98" s="832">
        <v>19641.669999999998</v>
      </c>
      <c r="O98" s="832">
        <v>21309.599999999999</v>
      </c>
      <c r="P98" s="832">
        <v>22691.49</v>
      </c>
      <c r="Q98" s="832">
        <v>24738.720000000001</v>
      </c>
      <c r="R98" s="832">
        <v>26872.07</v>
      </c>
      <c r="S98" s="832">
        <v>2248.9699999999998</v>
      </c>
      <c r="T98" s="832">
        <v>2248.9699999999998</v>
      </c>
      <c r="U98" s="832">
        <v>0</v>
      </c>
      <c r="V98" s="832">
        <v>0</v>
      </c>
      <c r="W98" s="832">
        <v>0</v>
      </c>
      <c r="X98" s="832">
        <v>0</v>
      </c>
      <c r="Y98" s="832">
        <v>0</v>
      </c>
      <c r="Z98" s="832">
        <v>0</v>
      </c>
      <c r="AA98" s="832">
        <v>0</v>
      </c>
      <c r="AB98" s="832">
        <v>0</v>
      </c>
      <c r="AC98" s="832">
        <v>0</v>
      </c>
      <c r="AD98" s="832">
        <v>0</v>
      </c>
      <c r="AE98" s="832">
        <v>0</v>
      </c>
      <c r="AF98" s="832">
        <v>0</v>
      </c>
      <c r="AG98" s="832">
        <v>0</v>
      </c>
      <c r="AH98" s="832">
        <v>0</v>
      </c>
      <c r="AI98" s="832">
        <v>0</v>
      </c>
      <c r="AJ98" s="1030" t="str">
        <f t="shared" si="6"/>
        <v>H01374</v>
      </c>
      <c r="AK98" s="1030" t="str">
        <f t="shared" si="7"/>
        <v>OCC EAU/ELECT/CHAUFFAGE</v>
      </c>
      <c r="AL98" s="1030">
        <f>IFERROR(INDEX(G98:R98,1,MATCH(Parametres!$B$3,G$1:R$1,0)-1)*IF(OR(F98="L",F98="S",F98="I"),-1,1),"")</f>
        <v>12236.89</v>
      </c>
      <c r="AM98" s="1030">
        <f t="shared" si="8"/>
        <v>1754.3100000000013</v>
      </c>
      <c r="AN98" s="1030">
        <f>INDEX(G98:R98,1,MATCH(Parametres!$B$3,G$1:R$1,0))*IF(OR(F98="L",F98="S",F98="I"),-1,1)</f>
        <v>13991.2</v>
      </c>
      <c r="AO98" s="598" t="str">
        <f>+VLOOKUP($AJ98,Data_Validation!$A:$D,1,0)</f>
        <v>H01374</v>
      </c>
      <c r="AP98" s="598" t="str">
        <f>+VLOOKUP($AJ98,Data_Validation!$A:$D,3,0)</f>
        <v>Véhicules usagés</v>
      </c>
      <c r="AQ98" s="598" t="str">
        <f>+VLOOKUP($AJ98,Data_Validation!$A:$D,4,0)</f>
        <v>Chauffage, éclairage</v>
      </c>
      <c r="AR98" s="598" t="s">
        <v>299</v>
      </c>
      <c r="AS98" s="598">
        <f>+VLOOKUP($AJ98,Data_Validation!$A:$E,5,0)</f>
        <v>0</v>
      </c>
      <c r="AT98" s="1036" t="str">
        <f t="shared" si="9"/>
        <v>H01374</v>
      </c>
      <c r="AU98" s="599" t="str">
        <f t="shared" si="10"/>
        <v>OCC EAU/ELECT/CHAUFFAGE</v>
      </c>
      <c r="AV98" s="1030">
        <f>IFERROR(INDEX(V98:AG98,1,MATCH(Parametres!$B$3,V$1:AG$1,0)-1)*IF(OR(C98="L",C98="S",C98="I"),-1,1),"")</f>
        <v>0</v>
      </c>
      <c r="AW98" s="1030">
        <f t="shared" si="11"/>
        <v>0</v>
      </c>
      <c r="AX98" s="1030">
        <f>INDEX(V98:AG98,1,MATCH(Parametres!$B$3,V$1:AG$1,0))*IF(OR(C98="L",C98="S",C98="I"),-1,1)</f>
        <v>0</v>
      </c>
      <c r="AY98" s="598" t="s">
        <v>337</v>
      </c>
      <c r="AZ98" s="598">
        <f>+VLOOKUP($AJ98,Data_Validation!$A:$E,5,0)</f>
        <v>0</v>
      </c>
    </row>
    <row r="99" spans="1:52" ht="15.75" customHeight="1">
      <c r="A99" s="832" t="s">
        <v>1150</v>
      </c>
      <c r="B99" s="832">
        <v>2025</v>
      </c>
      <c r="C99" s="832" t="s">
        <v>1344</v>
      </c>
      <c r="D99" s="832" t="s">
        <v>1345</v>
      </c>
      <c r="E99" s="832" t="s">
        <v>333</v>
      </c>
      <c r="F99" s="832" t="s">
        <v>1119</v>
      </c>
      <c r="G99" s="832">
        <v>1000</v>
      </c>
      <c r="H99" s="832">
        <v>2000</v>
      </c>
      <c r="I99" s="832">
        <v>2250</v>
      </c>
      <c r="J99" s="832">
        <v>2500</v>
      </c>
      <c r="K99" s="832">
        <v>2750</v>
      </c>
      <c r="L99" s="832">
        <v>3000</v>
      </c>
      <c r="M99" s="832">
        <v>3250</v>
      </c>
      <c r="N99" s="832">
        <v>3500</v>
      </c>
      <c r="O99" s="832">
        <v>2000</v>
      </c>
      <c r="P99" s="832">
        <v>2368.6999999999998</v>
      </c>
      <c r="Q99" s="832">
        <v>2618.6999999999998</v>
      </c>
      <c r="R99" s="832">
        <v>2868.7</v>
      </c>
      <c r="S99" s="832">
        <v>238.06</v>
      </c>
      <c r="T99" s="832">
        <v>238.06</v>
      </c>
      <c r="U99" s="832">
        <v>0</v>
      </c>
      <c r="V99" s="832">
        <v>0</v>
      </c>
      <c r="W99" s="832">
        <v>0</v>
      </c>
      <c r="X99" s="832">
        <v>0</v>
      </c>
      <c r="Y99" s="832">
        <v>0</v>
      </c>
      <c r="Z99" s="832">
        <v>0</v>
      </c>
      <c r="AA99" s="832">
        <v>0</v>
      </c>
      <c r="AB99" s="832">
        <v>0</v>
      </c>
      <c r="AC99" s="832">
        <v>0</v>
      </c>
      <c r="AD99" s="832">
        <v>0</v>
      </c>
      <c r="AE99" s="832">
        <v>0</v>
      </c>
      <c r="AF99" s="832">
        <v>0</v>
      </c>
      <c r="AG99" s="832">
        <v>0</v>
      </c>
      <c r="AH99" s="832">
        <v>0</v>
      </c>
      <c r="AI99" s="832">
        <v>0</v>
      </c>
      <c r="AJ99" s="1030" t="str">
        <f t="shared" si="6"/>
        <v>H01376</v>
      </c>
      <c r="AK99" s="1030" t="str">
        <f t="shared" si="7"/>
        <v>OCC VERIF. COMPTABLE</v>
      </c>
      <c r="AL99" s="1030">
        <f>IFERROR(INDEX(G99:R99,1,MATCH(Parametres!$B$3,G$1:R$1,0)-1)*IF(OR(F99="L",F99="S",F99="I"),-1,1),"")</f>
        <v>2500</v>
      </c>
      <c r="AM99" s="1030">
        <f t="shared" si="8"/>
        <v>250</v>
      </c>
      <c r="AN99" s="1030">
        <f>INDEX(G99:R99,1,MATCH(Parametres!$B$3,G$1:R$1,0))*IF(OR(F99="L",F99="S",F99="I"),-1,1)</f>
        <v>2750</v>
      </c>
      <c r="AO99" s="598" t="str">
        <f>+VLOOKUP($AJ99,Data_Validation!$A:$D,1,0)</f>
        <v>H01376</v>
      </c>
      <c r="AP99" s="598" t="str">
        <f>+VLOOKUP($AJ99,Data_Validation!$A:$D,3,0)</f>
        <v>Véhicules usagés</v>
      </c>
      <c r="AQ99" s="598" t="str">
        <f>+VLOOKUP($AJ99,Data_Validation!$A:$D,4,0)</f>
        <v>Honoraires</v>
      </c>
      <c r="AR99" s="598" t="s">
        <v>299</v>
      </c>
      <c r="AS99" s="598">
        <f>+VLOOKUP($AJ99,Data_Validation!$A:$E,5,0)</f>
        <v>0</v>
      </c>
      <c r="AT99" s="1036" t="str">
        <f t="shared" si="9"/>
        <v>H01376</v>
      </c>
      <c r="AU99" s="599" t="str">
        <f t="shared" si="10"/>
        <v>OCC VERIF. COMPTABLE</v>
      </c>
      <c r="AV99" s="1030">
        <f>IFERROR(INDEX(V99:AG99,1,MATCH(Parametres!$B$3,V$1:AG$1,0)-1)*IF(OR(C99="L",C99="S",C99="I"),-1,1),"")</f>
        <v>0</v>
      </c>
      <c r="AW99" s="1030">
        <f t="shared" si="11"/>
        <v>0</v>
      </c>
      <c r="AX99" s="1030">
        <f>INDEX(V99:AG99,1,MATCH(Parametres!$B$3,V$1:AG$1,0))*IF(OR(C99="L",C99="S",C99="I"),-1,1)</f>
        <v>0</v>
      </c>
      <c r="AY99" s="598" t="s">
        <v>337</v>
      </c>
      <c r="AZ99" s="598">
        <f>+VLOOKUP($AJ99,Data_Validation!$A:$E,5,0)</f>
        <v>0</v>
      </c>
    </row>
    <row r="100" spans="1:52" ht="15" customHeight="1">
      <c r="A100" s="832" t="s">
        <v>1150</v>
      </c>
      <c r="B100" s="832">
        <v>2025</v>
      </c>
      <c r="C100" s="832" t="s">
        <v>1346</v>
      </c>
      <c r="D100" s="832" t="s">
        <v>1347</v>
      </c>
      <c r="E100" s="832" t="s">
        <v>333</v>
      </c>
      <c r="F100" s="832" t="s">
        <v>1119</v>
      </c>
      <c r="G100" s="832">
        <v>486.86</v>
      </c>
      <c r="H100" s="832">
        <v>495.61</v>
      </c>
      <c r="I100" s="832">
        <v>504.36</v>
      </c>
      <c r="J100" s="832">
        <v>1009.11</v>
      </c>
      <c r="K100" s="832">
        <v>1573.93</v>
      </c>
      <c r="L100" s="832">
        <v>1573.93</v>
      </c>
      <c r="M100" s="832">
        <v>2087.4299999999998</v>
      </c>
      <c r="N100" s="832">
        <v>2096.1799999999998</v>
      </c>
      <c r="O100" s="832">
        <v>2104.9299999999998</v>
      </c>
      <c r="P100" s="832">
        <v>2609.6799999999998</v>
      </c>
      <c r="Q100" s="832">
        <v>2618.4299999999998</v>
      </c>
      <c r="R100" s="832">
        <v>3367.68</v>
      </c>
      <c r="S100" s="832">
        <v>238.04</v>
      </c>
      <c r="T100" s="832">
        <v>238.04</v>
      </c>
      <c r="U100" s="832">
        <v>0</v>
      </c>
      <c r="V100" s="832">
        <v>0</v>
      </c>
      <c r="W100" s="832">
        <v>0</v>
      </c>
      <c r="X100" s="832">
        <v>0</v>
      </c>
      <c r="Y100" s="832">
        <v>0</v>
      </c>
      <c r="Z100" s="832">
        <v>0</v>
      </c>
      <c r="AA100" s="832">
        <v>0</v>
      </c>
      <c r="AB100" s="832">
        <v>0</v>
      </c>
      <c r="AC100" s="832">
        <v>0</v>
      </c>
      <c r="AD100" s="832">
        <v>0</v>
      </c>
      <c r="AE100" s="832">
        <v>0</v>
      </c>
      <c r="AF100" s="832">
        <v>0</v>
      </c>
      <c r="AG100" s="832">
        <v>0</v>
      </c>
      <c r="AH100" s="832">
        <v>0</v>
      </c>
      <c r="AI100" s="832">
        <v>0</v>
      </c>
      <c r="AJ100" s="1030" t="str">
        <f t="shared" si="6"/>
        <v>H01377</v>
      </c>
      <c r="AK100" s="1030" t="str">
        <f t="shared" si="7"/>
        <v>OCC COTISATIONS SOUSCRIP.</v>
      </c>
      <c r="AL100" s="1030">
        <f>IFERROR(INDEX(G100:R100,1,MATCH(Parametres!$B$3,G$1:R$1,0)-1)*IF(OR(F100="L",F100="S",F100="I"),-1,1),"")</f>
        <v>1009.11</v>
      </c>
      <c r="AM100" s="1030">
        <f t="shared" si="8"/>
        <v>564.82000000000005</v>
      </c>
      <c r="AN100" s="1030">
        <f>INDEX(G100:R100,1,MATCH(Parametres!$B$3,G$1:R$1,0))*IF(OR(F100="L",F100="S",F100="I"),-1,1)</f>
        <v>1573.93</v>
      </c>
      <c r="AO100" s="598" t="str">
        <f>+VLOOKUP($AJ100,Data_Validation!$A:$D,1,0)</f>
        <v>H01377</v>
      </c>
      <c r="AP100" s="598" t="str">
        <f>+VLOOKUP($AJ100,Data_Validation!$A:$D,3,0)</f>
        <v>Autres</v>
      </c>
      <c r="AQ100" s="598" t="str">
        <f>+VLOOKUP($AJ100,Data_Validation!$A:$D,4,0)</f>
        <v>Divers</v>
      </c>
      <c r="AR100" s="598" t="s">
        <v>299</v>
      </c>
      <c r="AS100" s="598">
        <f>+VLOOKUP($AJ100,Data_Validation!$A:$E,5,0)</f>
        <v>0</v>
      </c>
      <c r="AT100" s="1036" t="str">
        <f t="shared" si="9"/>
        <v>H01377</v>
      </c>
      <c r="AU100" s="599" t="str">
        <f t="shared" si="10"/>
        <v>OCC COTISATIONS SOUSCRIP.</v>
      </c>
      <c r="AV100" s="1030">
        <f>IFERROR(INDEX(V100:AG100,1,MATCH(Parametres!$B$3,V$1:AG$1,0)-1)*IF(OR(C100="L",C100="S",C100="I"),-1,1),"")</f>
        <v>0</v>
      </c>
      <c r="AW100" s="1030">
        <f t="shared" si="11"/>
        <v>0</v>
      </c>
      <c r="AX100" s="1030">
        <f>INDEX(V100:AG100,1,MATCH(Parametres!$B$3,V$1:AG$1,0))*IF(OR(C100="L",C100="S",C100="I"),-1,1)</f>
        <v>0</v>
      </c>
      <c r="AY100" s="598" t="s">
        <v>337</v>
      </c>
      <c r="AZ100" s="598">
        <f>+VLOOKUP($AJ100,Data_Validation!$A:$E,5,0)</f>
        <v>0</v>
      </c>
    </row>
    <row r="101" spans="1:52" ht="15" customHeight="1">
      <c r="A101" s="832" t="s">
        <v>1150</v>
      </c>
      <c r="B101" s="832">
        <v>2025</v>
      </c>
      <c r="C101" s="832" t="s">
        <v>1348</v>
      </c>
      <c r="D101" s="832" t="s">
        <v>1349</v>
      </c>
      <c r="E101" s="832" t="s">
        <v>333</v>
      </c>
      <c r="F101" s="832" t="s">
        <v>1119</v>
      </c>
      <c r="G101" s="832">
        <v>0</v>
      </c>
      <c r="H101" s="832">
        <v>0</v>
      </c>
      <c r="I101" s="832">
        <v>0</v>
      </c>
      <c r="J101" s="832">
        <v>0</v>
      </c>
      <c r="K101" s="832">
        <v>0</v>
      </c>
      <c r="L101" s="832">
        <v>0</v>
      </c>
      <c r="M101" s="832">
        <v>0</v>
      </c>
      <c r="N101" s="832">
        <v>0</v>
      </c>
      <c r="O101" s="832">
        <v>0</v>
      </c>
      <c r="P101" s="832">
        <v>0</v>
      </c>
      <c r="Q101" s="832">
        <v>0</v>
      </c>
      <c r="R101" s="832">
        <v>487.5</v>
      </c>
      <c r="S101" s="832">
        <v>0</v>
      </c>
      <c r="T101" s="832">
        <v>0</v>
      </c>
      <c r="U101" s="832">
        <v>0</v>
      </c>
      <c r="V101" s="832">
        <v>0</v>
      </c>
      <c r="W101" s="832">
        <v>0</v>
      </c>
      <c r="X101" s="832">
        <v>0</v>
      </c>
      <c r="Y101" s="832">
        <v>0</v>
      </c>
      <c r="Z101" s="832">
        <v>0</v>
      </c>
      <c r="AA101" s="832">
        <v>0</v>
      </c>
      <c r="AB101" s="832">
        <v>0</v>
      </c>
      <c r="AC101" s="832">
        <v>0</v>
      </c>
      <c r="AD101" s="832">
        <v>0</v>
      </c>
      <c r="AE101" s="832">
        <v>0</v>
      </c>
      <c r="AF101" s="832">
        <v>0</v>
      </c>
      <c r="AG101" s="832">
        <v>0</v>
      </c>
      <c r="AH101" s="832">
        <v>0</v>
      </c>
      <c r="AI101" s="832">
        <v>0</v>
      </c>
      <c r="AJ101" s="1030" t="str">
        <f t="shared" si="6"/>
        <v>H01379</v>
      </c>
      <c r="AK101" s="1030" t="str">
        <f t="shared" si="7"/>
        <v>OCC DONATIONS</v>
      </c>
      <c r="AL101" s="1030">
        <f>IFERROR(INDEX(G101:R101,1,MATCH(Parametres!$B$3,G$1:R$1,0)-1)*IF(OR(F101="L",F101="S",F101="I"),-1,1),"")</f>
        <v>0</v>
      </c>
      <c r="AM101" s="1030">
        <f t="shared" si="8"/>
        <v>0</v>
      </c>
      <c r="AN101" s="1030">
        <f>INDEX(G101:R101,1,MATCH(Parametres!$B$3,G$1:R$1,0))*IF(OR(F101="L",F101="S",F101="I"),-1,1)</f>
        <v>0</v>
      </c>
      <c r="AO101" s="598" t="str">
        <f>+VLOOKUP($AJ101,Data_Validation!$A:$D,1,0)</f>
        <v>H01379</v>
      </c>
      <c r="AP101" s="598" t="str">
        <f>+VLOOKUP($AJ101,Data_Validation!$A:$D,3,0)</f>
        <v>Autres</v>
      </c>
      <c r="AQ101" s="598" t="str">
        <f>+VLOOKUP($AJ101,Data_Validation!$A:$D,4,0)</f>
        <v>Dons</v>
      </c>
      <c r="AR101" s="598" t="s">
        <v>299</v>
      </c>
      <c r="AS101" s="598">
        <f>+VLOOKUP($AJ101,Data_Validation!$A:$E,5,0)</f>
        <v>0</v>
      </c>
      <c r="AT101" s="1036" t="str">
        <f t="shared" si="9"/>
        <v>H01379</v>
      </c>
      <c r="AU101" s="599" t="str">
        <f t="shared" si="10"/>
        <v>OCC DONATIONS</v>
      </c>
      <c r="AV101" s="1030">
        <f>IFERROR(INDEX(V101:AG101,1,MATCH(Parametres!$B$3,V$1:AG$1,0)-1)*IF(OR(C101="L",C101="S",C101="I"),-1,1),"")</f>
        <v>0</v>
      </c>
      <c r="AW101" s="1030">
        <f t="shared" si="11"/>
        <v>0</v>
      </c>
      <c r="AX101" s="1030">
        <f>INDEX(V101:AG101,1,MATCH(Parametres!$B$3,V$1:AG$1,0))*IF(OR(C101="L",C101="S",C101="I"),-1,1)</f>
        <v>0</v>
      </c>
      <c r="AY101" s="598" t="s">
        <v>337</v>
      </c>
      <c r="AZ101" s="598">
        <f>+VLOOKUP($AJ101,Data_Validation!$A:$E,5,0)</f>
        <v>0</v>
      </c>
    </row>
    <row r="102" spans="1:52" ht="15" customHeight="1">
      <c r="A102" s="832" t="s">
        <v>1150</v>
      </c>
      <c r="B102" s="832">
        <v>2025</v>
      </c>
      <c r="C102" s="832" t="s">
        <v>1350</v>
      </c>
      <c r="D102" s="832" t="s">
        <v>1351</v>
      </c>
      <c r="E102" s="832" t="s">
        <v>333</v>
      </c>
      <c r="F102" s="832" t="s">
        <v>1119</v>
      </c>
      <c r="G102" s="832">
        <v>0</v>
      </c>
      <c r="H102" s="832">
        <v>0</v>
      </c>
      <c r="I102" s="832">
        <v>0</v>
      </c>
      <c r="J102" s="832">
        <v>0</v>
      </c>
      <c r="K102" s="832">
        <v>0</v>
      </c>
      <c r="L102" s="832">
        <v>0</v>
      </c>
      <c r="M102" s="832">
        <v>0</v>
      </c>
      <c r="N102" s="832">
        <v>0</v>
      </c>
      <c r="O102" s="832">
        <v>0</v>
      </c>
      <c r="P102" s="832">
        <v>325</v>
      </c>
      <c r="Q102" s="832">
        <v>325</v>
      </c>
      <c r="R102" s="832">
        <v>325</v>
      </c>
      <c r="S102" s="832">
        <v>29.55</v>
      </c>
      <c r="T102" s="832">
        <v>29.55</v>
      </c>
      <c r="U102" s="832">
        <v>0</v>
      </c>
      <c r="V102" s="832">
        <v>0</v>
      </c>
      <c r="W102" s="832">
        <v>0</v>
      </c>
      <c r="X102" s="832">
        <v>0</v>
      </c>
      <c r="Y102" s="832">
        <v>0</v>
      </c>
      <c r="Z102" s="832">
        <v>0</v>
      </c>
      <c r="AA102" s="832">
        <v>0</v>
      </c>
      <c r="AB102" s="832">
        <v>0</v>
      </c>
      <c r="AC102" s="832">
        <v>0</v>
      </c>
      <c r="AD102" s="832">
        <v>0</v>
      </c>
      <c r="AE102" s="832">
        <v>0</v>
      </c>
      <c r="AF102" s="832">
        <v>0</v>
      </c>
      <c r="AG102" s="832">
        <v>0</v>
      </c>
      <c r="AH102" s="832">
        <v>0</v>
      </c>
      <c r="AI102" s="832">
        <v>0</v>
      </c>
      <c r="AJ102" s="1030" t="str">
        <f t="shared" si="6"/>
        <v>H01380</v>
      </c>
      <c r="AK102" s="1030" t="str">
        <f t="shared" si="7"/>
        <v>OCC IMM &amp; PERMIS/CIE SEUL</v>
      </c>
      <c r="AL102" s="1030">
        <f>IFERROR(INDEX(G102:R102,1,MATCH(Parametres!$B$3,G$1:R$1,0)-1)*IF(OR(F102="L",F102="S",F102="I"),-1,1),"")</f>
        <v>0</v>
      </c>
      <c r="AM102" s="1030">
        <f t="shared" si="8"/>
        <v>0</v>
      </c>
      <c r="AN102" s="1030">
        <f>INDEX(G102:R102,1,MATCH(Parametres!$B$3,G$1:R$1,0))*IF(OR(F102="L",F102="S",F102="I"),-1,1)</f>
        <v>0</v>
      </c>
      <c r="AO102" s="598" t="str">
        <f>+VLOOKUP($AJ102,Data_Validation!$A:$D,1,0)</f>
        <v>H01380</v>
      </c>
      <c r="AP102" s="598" t="str">
        <f>+VLOOKUP($AJ102,Data_Validation!$A:$D,3,0)</f>
        <v>Véhicules usagés</v>
      </c>
      <c r="AQ102" s="598" t="str">
        <f>+VLOOKUP($AJ102,Data_Validation!$A:$D,4,0)</f>
        <v>Honoraires</v>
      </c>
      <c r="AR102" s="598" t="s">
        <v>299</v>
      </c>
      <c r="AS102" s="598">
        <f>+VLOOKUP($AJ102,Data_Validation!$A:$E,5,0)</f>
        <v>0</v>
      </c>
      <c r="AT102" s="1036" t="str">
        <f t="shared" si="9"/>
        <v>H01380</v>
      </c>
      <c r="AU102" s="599" t="str">
        <f t="shared" si="10"/>
        <v>OCC IMM &amp; PERMIS/CIE SEUL</v>
      </c>
      <c r="AV102" s="1030">
        <f>IFERROR(INDEX(V102:AG102,1,MATCH(Parametres!$B$3,V$1:AG$1,0)-1)*IF(OR(C102="L",C102="S",C102="I"),-1,1),"")</f>
        <v>0</v>
      </c>
      <c r="AW102" s="1030">
        <f t="shared" si="11"/>
        <v>0</v>
      </c>
      <c r="AX102" s="1030">
        <f>INDEX(V102:AG102,1,MATCH(Parametres!$B$3,V$1:AG$1,0))*IF(OR(C102="L",C102="S",C102="I"),-1,1)</f>
        <v>0</v>
      </c>
      <c r="AY102" s="598" t="s">
        <v>337</v>
      </c>
      <c r="AZ102" s="598">
        <f>+VLOOKUP($AJ102,Data_Validation!$A:$E,5,0)</f>
        <v>0</v>
      </c>
    </row>
    <row r="103" spans="1:52" ht="15.75" customHeight="1">
      <c r="A103" s="832" t="s">
        <v>1150</v>
      </c>
      <c r="B103" s="832">
        <v>2025</v>
      </c>
      <c r="C103" s="832" t="s">
        <v>1352</v>
      </c>
      <c r="D103" s="832" t="s">
        <v>1353</v>
      </c>
      <c r="E103" s="832" t="s">
        <v>333</v>
      </c>
      <c r="F103" s="832" t="s">
        <v>1119</v>
      </c>
      <c r="G103" s="832">
        <v>7654.25</v>
      </c>
      <c r="H103" s="832">
        <v>10001.549999999999</v>
      </c>
      <c r="I103" s="832">
        <v>15895.3</v>
      </c>
      <c r="J103" s="832">
        <v>25135.85</v>
      </c>
      <c r="K103" s="832">
        <v>30934.19</v>
      </c>
      <c r="L103" s="832">
        <v>33987.800000000003</v>
      </c>
      <c r="M103" s="832">
        <v>37930.449999999997</v>
      </c>
      <c r="N103" s="832">
        <v>43093.1</v>
      </c>
      <c r="O103" s="832">
        <v>50876.72</v>
      </c>
      <c r="P103" s="832">
        <v>54618.25</v>
      </c>
      <c r="Q103" s="832">
        <v>58592.33</v>
      </c>
      <c r="R103" s="832">
        <v>64424.27</v>
      </c>
      <c r="S103" s="832">
        <v>5326.58</v>
      </c>
      <c r="T103" s="832">
        <v>5326.58</v>
      </c>
      <c r="U103" s="832">
        <v>0</v>
      </c>
      <c r="V103" s="832">
        <v>0</v>
      </c>
      <c r="W103" s="832">
        <v>0</v>
      </c>
      <c r="X103" s="832">
        <v>0</v>
      </c>
      <c r="Y103" s="832">
        <v>0</v>
      </c>
      <c r="Z103" s="832">
        <v>0</v>
      </c>
      <c r="AA103" s="832">
        <v>0</v>
      </c>
      <c r="AB103" s="832">
        <v>0</v>
      </c>
      <c r="AC103" s="832">
        <v>0</v>
      </c>
      <c r="AD103" s="832">
        <v>0</v>
      </c>
      <c r="AE103" s="832">
        <v>0</v>
      </c>
      <c r="AF103" s="832">
        <v>0</v>
      </c>
      <c r="AG103" s="832">
        <v>0</v>
      </c>
      <c r="AH103" s="832">
        <v>0</v>
      </c>
      <c r="AI103" s="832">
        <v>0</v>
      </c>
      <c r="AJ103" s="1030" t="str">
        <f t="shared" si="6"/>
        <v>H01420</v>
      </c>
      <c r="AK103" s="1030" t="str">
        <f t="shared" si="7"/>
        <v>PCE SALAIRES-DIR-DEPT</v>
      </c>
      <c r="AL103" s="1030">
        <f>IFERROR(INDEX(G103:R103,1,MATCH(Parametres!$B$3,G$1:R$1,0)-1)*IF(OR(F103="L",F103="S",F103="I"),-1,1),"")</f>
        <v>25135.85</v>
      </c>
      <c r="AM103" s="1030">
        <f t="shared" si="8"/>
        <v>5798.34</v>
      </c>
      <c r="AN103" s="1030">
        <f>INDEX(G103:R103,1,MATCH(Parametres!$B$3,G$1:R$1,0))*IF(OR(F103="L",F103="S",F103="I"),-1,1)</f>
        <v>30934.19</v>
      </c>
      <c r="AO103" s="598" t="str">
        <f>+VLOOKUP($AJ103,Data_Validation!$A:$D,1,0)</f>
        <v>H01420</v>
      </c>
      <c r="AP103" s="598" t="str">
        <f>+VLOOKUP($AJ103,Data_Validation!$A:$D,3,0)</f>
        <v>Pièces</v>
      </c>
      <c r="AQ103" s="598" t="str">
        <f>+VLOOKUP($AJ103,Data_Validation!$A:$D,4,0)</f>
        <v>Salaires cadres</v>
      </c>
      <c r="AR103" s="598" t="s">
        <v>299</v>
      </c>
      <c r="AS103" s="598">
        <f>+VLOOKUP($AJ103,Data_Validation!$A:$E,5,0)</f>
        <v>0</v>
      </c>
      <c r="AT103" s="1036" t="str">
        <f t="shared" si="9"/>
        <v>H01420</v>
      </c>
      <c r="AU103" s="599" t="str">
        <f t="shared" si="10"/>
        <v>PCE SALAIRES-DIR-DEPT</v>
      </c>
      <c r="AV103" s="1030">
        <f>IFERROR(INDEX(V103:AG103,1,MATCH(Parametres!$B$3,V$1:AG$1,0)-1)*IF(OR(C103="L",C103="S",C103="I"),-1,1),"")</f>
        <v>0</v>
      </c>
      <c r="AW103" s="1030">
        <f t="shared" si="11"/>
        <v>0</v>
      </c>
      <c r="AX103" s="1030">
        <f>INDEX(V103:AG103,1,MATCH(Parametres!$B$3,V$1:AG$1,0))*IF(OR(C103="L",C103="S",C103="I"),-1,1)</f>
        <v>0</v>
      </c>
      <c r="AY103" s="598" t="s">
        <v>337</v>
      </c>
      <c r="AZ103" s="598">
        <f>+VLOOKUP($AJ103,Data_Validation!$A:$E,5,0)</f>
        <v>0</v>
      </c>
    </row>
    <row r="104" spans="1:52" ht="15" customHeight="1">
      <c r="A104" s="832" t="s">
        <v>1150</v>
      </c>
      <c r="B104" s="832">
        <v>2025</v>
      </c>
      <c r="C104" s="832" t="s">
        <v>1354</v>
      </c>
      <c r="D104" s="832" t="s">
        <v>1355</v>
      </c>
      <c r="E104" s="832" t="s">
        <v>333</v>
      </c>
      <c r="F104" s="832" t="s">
        <v>1119</v>
      </c>
      <c r="G104" s="832">
        <v>19589.32</v>
      </c>
      <c r="H104" s="832">
        <v>37790.639999999999</v>
      </c>
      <c r="I104" s="832">
        <v>56880.55</v>
      </c>
      <c r="J104" s="832">
        <v>76464.09</v>
      </c>
      <c r="K104" s="832">
        <v>96498.13</v>
      </c>
      <c r="L104" s="832">
        <v>114451.29</v>
      </c>
      <c r="M104" s="832">
        <v>133944.15</v>
      </c>
      <c r="N104" s="832">
        <v>151233.60999999999</v>
      </c>
      <c r="O104" s="832">
        <v>166938.18</v>
      </c>
      <c r="P104" s="832">
        <v>194401.64</v>
      </c>
      <c r="Q104" s="832">
        <v>215566.76</v>
      </c>
      <c r="R104" s="832">
        <v>234182.68</v>
      </c>
      <c r="S104" s="832">
        <v>19596.98</v>
      </c>
      <c r="T104" s="832">
        <v>19596.98</v>
      </c>
      <c r="U104" s="832">
        <v>0</v>
      </c>
      <c r="V104" s="832">
        <v>0</v>
      </c>
      <c r="W104" s="832">
        <v>0</v>
      </c>
      <c r="X104" s="832">
        <v>0</v>
      </c>
      <c r="Y104" s="832">
        <v>0</v>
      </c>
      <c r="Z104" s="832">
        <v>0</v>
      </c>
      <c r="AA104" s="832">
        <v>0</v>
      </c>
      <c r="AB104" s="832">
        <v>0</v>
      </c>
      <c r="AC104" s="832">
        <v>0</v>
      </c>
      <c r="AD104" s="832">
        <v>0</v>
      </c>
      <c r="AE104" s="832">
        <v>0</v>
      </c>
      <c r="AF104" s="832">
        <v>0</v>
      </c>
      <c r="AG104" s="832">
        <v>0</v>
      </c>
      <c r="AH104" s="832">
        <v>0</v>
      </c>
      <c r="AI104" s="832">
        <v>0</v>
      </c>
      <c r="AJ104" s="1030" t="str">
        <f t="shared" si="6"/>
        <v>H01421</v>
      </c>
      <c r="AK104" s="1030" t="str">
        <f t="shared" si="7"/>
        <v>PCE SALAIRES -AUTRES</v>
      </c>
      <c r="AL104" s="1030">
        <f>IFERROR(INDEX(G104:R104,1,MATCH(Parametres!$B$3,G$1:R$1,0)-1)*IF(OR(F104="L",F104="S",F104="I"),-1,1),"")</f>
        <v>76464.09</v>
      </c>
      <c r="AM104" s="1030">
        <f t="shared" si="8"/>
        <v>20034.040000000008</v>
      </c>
      <c r="AN104" s="1030">
        <f>INDEX(G104:R104,1,MATCH(Parametres!$B$3,G$1:R$1,0))*IF(OR(F104="L",F104="S",F104="I"),-1,1)</f>
        <v>96498.13</v>
      </c>
      <c r="AO104" s="598" t="str">
        <f>+VLOOKUP($AJ104,Data_Validation!$A:$D,1,0)</f>
        <v>H01421</v>
      </c>
      <c r="AP104" s="598" t="str">
        <f>+VLOOKUP($AJ104,Data_Validation!$A:$D,3,0)</f>
        <v>Pièces</v>
      </c>
      <c r="AQ104" s="598" t="str">
        <f>+VLOOKUP($AJ104,Data_Validation!$A:$D,4,0)</f>
        <v>Salaires autres</v>
      </c>
      <c r="AR104" s="598" t="s">
        <v>299</v>
      </c>
      <c r="AS104" s="598">
        <f>+VLOOKUP($AJ104,Data_Validation!$A:$E,5,0)</f>
        <v>0</v>
      </c>
      <c r="AT104" s="1036" t="str">
        <f t="shared" si="9"/>
        <v>H01421</v>
      </c>
      <c r="AU104" s="599" t="str">
        <f t="shared" si="10"/>
        <v>PCE SALAIRES -AUTRES</v>
      </c>
      <c r="AV104" s="1030">
        <f>IFERROR(INDEX(V104:AG104,1,MATCH(Parametres!$B$3,V$1:AG$1,0)-1)*IF(OR(C104="L",C104="S",C104="I"),-1,1),"")</f>
        <v>0</v>
      </c>
      <c r="AW104" s="1030">
        <f t="shared" si="11"/>
        <v>0</v>
      </c>
      <c r="AX104" s="1030">
        <f>INDEX(V104:AG104,1,MATCH(Parametres!$B$3,V$1:AG$1,0))*IF(OR(C104="L",C104="S",C104="I"),-1,1)</f>
        <v>0</v>
      </c>
      <c r="AY104" s="598" t="s">
        <v>337</v>
      </c>
      <c r="AZ104" s="598">
        <f>+VLOOKUP($AJ104,Data_Validation!$A:$E,5,0)</f>
        <v>0</v>
      </c>
    </row>
    <row r="105" spans="1:52" ht="15" customHeight="1">
      <c r="A105" s="832" t="s">
        <v>1150</v>
      </c>
      <c r="B105" s="832">
        <v>2025</v>
      </c>
      <c r="C105" s="832" t="s">
        <v>1356</v>
      </c>
      <c r="D105" s="832" t="s">
        <v>1357</v>
      </c>
      <c r="E105" s="832" t="s">
        <v>333</v>
      </c>
      <c r="F105" s="832" t="s">
        <v>1119</v>
      </c>
      <c r="G105" s="832">
        <v>4242.37</v>
      </c>
      <c r="H105" s="832">
        <v>5887.5</v>
      </c>
      <c r="I105" s="832">
        <v>7239.05</v>
      </c>
      <c r="J105" s="832">
        <v>9609.18</v>
      </c>
      <c r="K105" s="832">
        <v>12830.31</v>
      </c>
      <c r="L105" s="832">
        <v>15696.28</v>
      </c>
      <c r="M105" s="832">
        <v>18271.82</v>
      </c>
      <c r="N105" s="832">
        <v>20657.68</v>
      </c>
      <c r="O105" s="832">
        <v>22727.62</v>
      </c>
      <c r="P105" s="832">
        <v>25881.79</v>
      </c>
      <c r="Q105" s="832">
        <v>27045.83</v>
      </c>
      <c r="R105" s="832">
        <v>32526</v>
      </c>
      <c r="S105" s="832">
        <v>2458.71</v>
      </c>
      <c r="T105" s="832">
        <v>2458.71</v>
      </c>
      <c r="U105" s="832">
        <v>0</v>
      </c>
      <c r="V105" s="832">
        <v>0</v>
      </c>
      <c r="W105" s="832">
        <v>0</v>
      </c>
      <c r="X105" s="832">
        <v>0</v>
      </c>
      <c r="Y105" s="832">
        <v>0</v>
      </c>
      <c r="Z105" s="832">
        <v>0</v>
      </c>
      <c r="AA105" s="832">
        <v>0</v>
      </c>
      <c r="AB105" s="832">
        <v>0</v>
      </c>
      <c r="AC105" s="832">
        <v>0</v>
      </c>
      <c r="AD105" s="832">
        <v>0</v>
      </c>
      <c r="AE105" s="832">
        <v>0</v>
      </c>
      <c r="AF105" s="832">
        <v>0</v>
      </c>
      <c r="AG105" s="832">
        <v>0</v>
      </c>
      <c r="AH105" s="832">
        <v>0</v>
      </c>
      <c r="AI105" s="832">
        <v>0</v>
      </c>
      <c r="AJ105" s="1030" t="str">
        <f t="shared" si="6"/>
        <v>H01423</v>
      </c>
      <c r="AK105" s="1030" t="str">
        <f t="shared" si="7"/>
        <v>PCE ABSENCES&amp;CONGES PAYES</v>
      </c>
      <c r="AL105" s="1030">
        <f>IFERROR(INDEX(G105:R105,1,MATCH(Parametres!$B$3,G$1:R$1,0)-1)*IF(OR(F105="L",F105="S",F105="I"),-1,1),"")</f>
        <v>9609.18</v>
      </c>
      <c r="AM105" s="1030">
        <f t="shared" si="8"/>
        <v>3221.1299999999992</v>
      </c>
      <c r="AN105" s="1030">
        <f>INDEX(G105:R105,1,MATCH(Parametres!$B$3,G$1:R$1,0))*IF(OR(F105="L",F105="S",F105="I"),-1,1)</f>
        <v>12830.31</v>
      </c>
      <c r="AO105" s="598" t="str">
        <f>+VLOOKUP($AJ105,Data_Validation!$A:$D,1,0)</f>
        <v>H01423</v>
      </c>
      <c r="AP105" s="598" t="str">
        <f>+VLOOKUP($AJ105,Data_Validation!$A:$D,3,0)</f>
        <v>Pièces</v>
      </c>
      <c r="AQ105" s="598" t="str">
        <f>+VLOOKUP($AJ105,Data_Validation!$A:$D,4,0)</f>
        <v>Salaires en absences</v>
      </c>
      <c r="AR105" s="598" t="s">
        <v>299</v>
      </c>
      <c r="AS105" s="598">
        <f>+VLOOKUP($AJ105,Data_Validation!$A:$E,5,0)</f>
        <v>0</v>
      </c>
      <c r="AT105" s="1036" t="str">
        <f t="shared" si="9"/>
        <v>H01423</v>
      </c>
      <c r="AU105" s="599" t="str">
        <f t="shared" si="10"/>
        <v>PCE ABSENCES&amp;CONGES PAYES</v>
      </c>
      <c r="AV105" s="1030">
        <f>IFERROR(INDEX(V105:AG105,1,MATCH(Parametres!$B$3,V$1:AG$1,0)-1)*IF(OR(C105="L",C105="S",C105="I"),-1,1),"")</f>
        <v>0</v>
      </c>
      <c r="AW105" s="1030">
        <f t="shared" si="11"/>
        <v>0</v>
      </c>
      <c r="AX105" s="1030">
        <f>INDEX(V105:AG105,1,MATCH(Parametres!$B$3,V$1:AG$1,0))*IF(OR(C105="L",C105="S",C105="I"),-1,1)</f>
        <v>0</v>
      </c>
      <c r="AY105" s="598" t="s">
        <v>337</v>
      </c>
      <c r="AZ105" s="598">
        <f>+VLOOKUP($AJ105,Data_Validation!$A:$E,5,0)</f>
        <v>0</v>
      </c>
    </row>
    <row r="106" spans="1:52" ht="15" customHeight="1">
      <c r="A106" s="832" t="s">
        <v>1150</v>
      </c>
      <c r="B106" s="832">
        <v>2025</v>
      </c>
      <c r="C106" s="832" t="s">
        <v>1358</v>
      </c>
      <c r="D106" s="832" t="s">
        <v>1359</v>
      </c>
      <c r="E106" s="832" t="s">
        <v>333</v>
      </c>
      <c r="F106" s="832" t="s">
        <v>1119</v>
      </c>
      <c r="G106" s="832">
        <v>0</v>
      </c>
      <c r="H106" s="832">
        <v>0</v>
      </c>
      <c r="I106" s="832">
        <v>0</v>
      </c>
      <c r="J106" s="832">
        <v>0</v>
      </c>
      <c r="K106" s="832">
        <v>0</v>
      </c>
      <c r="L106" s="832">
        <v>0</v>
      </c>
      <c r="M106" s="832">
        <v>0</v>
      </c>
      <c r="N106" s="832">
        <v>0</v>
      </c>
      <c r="O106" s="832">
        <v>0</v>
      </c>
      <c r="P106" s="832">
        <v>0</v>
      </c>
      <c r="Q106" s="832">
        <v>0</v>
      </c>
      <c r="R106" s="832">
        <v>0</v>
      </c>
      <c r="S106" s="832">
        <v>0</v>
      </c>
      <c r="T106" s="832">
        <v>0</v>
      </c>
      <c r="U106" s="832">
        <v>0</v>
      </c>
      <c r="V106" s="832">
        <v>0</v>
      </c>
      <c r="W106" s="832">
        <v>0</v>
      </c>
      <c r="X106" s="832">
        <v>0</v>
      </c>
      <c r="Y106" s="832">
        <v>0</v>
      </c>
      <c r="Z106" s="832">
        <v>0</v>
      </c>
      <c r="AA106" s="832">
        <v>0</v>
      </c>
      <c r="AB106" s="832">
        <v>0</v>
      </c>
      <c r="AC106" s="832">
        <v>0</v>
      </c>
      <c r="AD106" s="832">
        <v>0</v>
      </c>
      <c r="AE106" s="832">
        <v>0</v>
      </c>
      <c r="AF106" s="832">
        <v>0</v>
      </c>
      <c r="AG106" s="832">
        <v>0</v>
      </c>
      <c r="AH106" s="832">
        <v>0</v>
      </c>
      <c r="AI106" s="832">
        <v>0</v>
      </c>
      <c r="AJ106" s="1030" t="str">
        <f t="shared" si="6"/>
        <v>H01424</v>
      </c>
      <c r="AK106" s="1030" t="str">
        <f t="shared" si="7"/>
        <v>PCE CSST</v>
      </c>
      <c r="AL106" s="1030">
        <f>IFERROR(INDEX(G106:R106,1,MATCH(Parametres!$B$3,G$1:R$1,0)-1)*IF(OR(F106="L",F106="S",F106="I"),-1,1),"")</f>
        <v>0</v>
      </c>
      <c r="AM106" s="1030">
        <f t="shared" si="8"/>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t="str">
        <f t="shared" si="9"/>
        <v>H01424</v>
      </c>
      <c r="AU106" s="599" t="str">
        <f t="shared" si="10"/>
        <v>PCE CSST</v>
      </c>
      <c r="AV106" s="1030">
        <f>IFERROR(INDEX(V106:AG106,1,MATCH(Parametres!$B$3,V$1:AG$1,0)-1)*IF(OR(C106="L",C106="S",C106="I"),-1,1),"")</f>
        <v>0</v>
      </c>
      <c r="AW106" s="1030">
        <f t="shared" si="11"/>
        <v>0</v>
      </c>
      <c r="AX106" s="1030">
        <f>INDEX(V106:AG106,1,MATCH(Parametres!$B$3,V$1:AG$1,0))*IF(OR(C106="L",C106="S",C106="I"),-1,1)</f>
        <v>0</v>
      </c>
      <c r="AY106" s="598" t="s">
        <v>337</v>
      </c>
      <c r="AZ106" s="598" t="e">
        <f>+VLOOKUP($AJ106,Data_Validation!$A:$E,5,0)</f>
        <v>#N/A</v>
      </c>
    </row>
    <row r="107" spans="1:52" ht="15" customHeight="1">
      <c r="A107" s="832" t="s">
        <v>1150</v>
      </c>
      <c r="B107" s="832">
        <v>2025</v>
      </c>
      <c r="C107" s="832" t="s">
        <v>1360</v>
      </c>
      <c r="D107" s="832" t="s">
        <v>1361</v>
      </c>
      <c r="E107" s="832" t="s">
        <v>333</v>
      </c>
      <c r="F107" s="832" t="s">
        <v>1119</v>
      </c>
      <c r="G107" s="832">
        <v>0</v>
      </c>
      <c r="H107" s="832">
        <v>0</v>
      </c>
      <c r="I107" s="832">
        <v>0</v>
      </c>
      <c r="J107" s="832">
        <v>0</v>
      </c>
      <c r="K107" s="832">
        <v>0</v>
      </c>
      <c r="L107" s="832">
        <v>0</v>
      </c>
      <c r="M107" s="832">
        <v>0</v>
      </c>
      <c r="N107" s="832">
        <v>0</v>
      </c>
      <c r="O107" s="832">
        <v>0</v>
      </c>
      <c r="P107" s="832">
        <v>0</v>
      </c>
      <c r="Q107" s="832">
        <v>0</v>
      </c>
      <c r="R107" s="832">
        <v>0</v>
      </c>
      <c r="S107" s="832">
        <v>0</v>
      </c>
      <c r="T107" s="832">
        <v>0</v>
      </c>
      <c r="U107" s="832">
        <v>0</v>
      </c>
      <c r="V107" s="832">
        <v>0</v>
      </c>
      <c r="W107" s="832">
        <v>0</v>
      </c>
      <c r="X107" s="832">
        <v>0</v>
      </c>
      <c r="Y107" s="832">
        <v>0</v>
      </c>
      <c r="Z107" s="832">
        <v>0</v>
      </c>
      <c r="AA107" s="832">
        <v>0</v>
      </c>
      <c r="AB107" s="832">
        <v>0</v>
      </c>
      <c r="AC107" s="832">
        <v>0</v>
      </c>
      <c r="AD107" s="832">
        <v>0</v>
      </c>
      <c r="AE107" s="832">
        <v>0</v>
      </c>
      <c r="AF107" s="832">
        <v>0</v>
      </c>
      <c r="AG107" s="832">
        <v>0</v>
      </c>
      <c r="AH107" s="832">
        <v>0</v>
      </c>
      <c r="AI107" s="832">
        <v>0</v>
      </c>
      <c r="AJ107" s="1030" t="str">
        <f t="shared" si="6"/>
        <v>H01425</v>
      </c>
      <c r="AK107" s="1030" t="str">
        <f t="shared" si="7"/>
        <v>PCE ASSURANCE CHOMAGE</v>
      </c>
      <c r="AL107" s="1030">
        <f>IFERROR(INDEX(G107:R107,1,MATCH(Parametres!$B$3,G$1:R$1,0)-1)*IF(OR(F107="L",F107="S",F107="I"),-1,1),"")</f>
        <v>0</v>
      </c>
      <c r="AM107" s="1030">
        <f t="shared" si="8"/>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t="str">
        <f t="shared" si="9"/>
        <v>H01425</v>
      </c>
      <c r="AU107" s="599" t="str">
        <f t="shared" si="10"/>
        <v>PCE ASSURANCE CHOMAGE</v>
      </c>
      <c r="AV107" s="1030">
        <f>IFERROR(INDEX(V107:AG107,1,MATCH(Parametres!$B$3,V$1:AG$1,0)-1)*IF(OR(C107="L",C107="S",C107="I"),-1,1),"")</f>
        <v>0</v>
      </c>
      <c r="AW107" s="1030">
        <f t="shared" si="11"/>
        <v>0</v>
      </c>
      <c r="AX107" s="1030">
        <f>INDEX(V107:AG107,1,MATCH(Parametres!$B$3,V$1:AG$1,0))*IF(OR(C107="L",C107="S",C107="I"),-1,1)</f>
        <v>0</v>
      </c>
      <c r="AY107" s="598" t="s">
        <v>337</v>
      </c>
      <c r="AZ107" s="598" t="e">
        <f>+VLOOKUP($AJ107,Data_Validation!$A:$E,5,0)</f>
        <v>#N/A</v>
      </c>
    </row>
    <row r="108" spans="1:52" ht="15" customHeight="1">
      <c r="A108" s="832" t="s">
        <v>1150</v>
      </c>
      <c r="B108" s="832">
        <v>2025</v>
      </c>
      <c r="C108" s="832" t="s">
        <v>1362</v>
      </c>
      <c r="D108" s="832" t="s">
        <v>1363</v>
      </c>
      <c r="E108" s="832" t="s">
        <v>333</v>
      </c>
      <c r="F108" s="832" t="s">
        <v>1119</v>
      </c>
      <c r="G108" s="832">
        <v>254.45</v>
      </c>
      <c r="H108" s="832">
        <v>453.36</v>
      </c>
      <c r="I108" s="832">
        <v>635.57000000000005</v>
      </c>
      <c r="J108" s="832">
        <v>822.46</v>
      </c>
      <c r="K108" s="832">
        <v>1236.9100000000001</v>
      </c>
      <c r="L108" s="832">
        <v>1629.58</v>
      </c>
      <c r="M108" s="832">
        <v>2032.47</v>
      </c>
      <c r="N108" s="832">
        <v>2420.31</v>
      </c>
      <c r="O108" s="832">
        <v>2723.41</v>
      </c>
      <c r="P108" s="832">
        <v>3240.06</v>
      </c>
      <c r="Q108" s="832">
        <v>3585.74</v>
      </c>
      <c r="R108" s="832">
        <v>3988.24</v>
      </c>
      <c r="S108" s="832">
        <v>325.98</v>
      </c>
      <c r="T108" s="832">
        <v>325.98</v>
      </c>
      <c r="U108" s="832">
        <v>0</v>
      </c>
      <c r="V108" s="832">
        <v>0</v>
      </c>
      <c r="W108" s="832">
        <v>0</v>
      </c>
      <c r="X108" s="832">
        <v>0</v>
      </c>
      <c r="Y108" s="832">
        <v>0</v>
      </c>
      <c r="Z108" s="832">
        <v>0</v>
      </c>
      <c r="AA108" s="832">
        <v>0</v>
      </c>
      <c r="AB108" s="832">
        <v>0</v>
      </c>
      <c r="AC108" s="832">
        <v>0</v>
      </c>
      <c r="AD108" s="832">
        <v>0</v>
      </c>
      <c r="AE108" s="832">
        <v>0</v>
      </c>
      <c r="AF108" s="832">
        <v>0</v>
      </c>
      <c r="AG108" s="832">
        <v>0</v>
      </c>
      <c r="AH108" s="832">
        <v>0</v>
      </c>
      <c r="AI108" s="832">
        <v>0</v>
      </c>
      <c r="AJ108" s="1030" t="str">
        <f t="shared" si="6"/>
        <v>H01426</v>
      </c>
      <c r="AK108" s="1030" t="str">
        <f t="shared" si="7"/>
        <v>PCE ASSURANCE GROUPE</v>
      </c>
      <c r="AL108" s="1030">
        <f>IFERROR(INDEX(G108:R108,1,MATCH(Parametres!$B$3,G$1:R$1,0)-1)*IF(OR(F108="L",F108="S",F108="I"),-1,1),"")</f>
        <v>822.46</v>
      </c>
      <c r="AM108" s="1030">
        <f t="shared" si="8"/>
        <v>414.45000000000005</v>
      </c>
      <c r="AN108" s="1030">
        <f>INDEX(G108:R108,1,MATCH(Parametres!$B$3,G$1:R$1,0))*IF(OR(F108="L",F108="S",F108="I"),-1,1)</f>
        <v>1236.9100000000001</v>
      </c>
      <c r="AO108" s="598" t="str">
        <f>+VLOOKUP($AJ108,Data_Validation!$A:$D,1,0)</f>
        <v>H01426</v>
      </c>
      <c r="AP108" s="598" t="str">
        <f>+VLOOKUP($AJ108,Data_Validation!$A:$D,3,0)</f>
        <v>Pièces</v>
      </c>
      <c r="AQ108" s="598" t="str">
        <f>+VLOOKUP($AJ108,Data_Validation!$A:$D,4,0)</f>
        <v>Bénéfices marginaux</v>
      </c>
      <c r="AR108" s="598" t="s">
        <v>299</v>
      </c>
      <c r="AS108" s="598">
        <f>+VLOOKUP($AJ108,Data_Validation!$A:$E,5,0)</f>
        <v>0</v>
      </c>
      <c r="AT108" s="1036" t="str">
        <f t="shared" si="9"/>
        <v>H01426</v>
      </c>
      <c r="AU108" s="599" t="str">
        <f t="shared" si="10"/>
        <v>PCE ASSURANCE GROUPE</v>
      </c>
      <c r="AV108" s="1030">
        <f>IFERROR(INDEX(V108:AG108,1,MATCH(Parametres!$B$3,V$1:AG$1,0)-1)*IF(OR(C108="L",C108="S",C108="I"),-1,1),"")</f>
        <v>0</v>
      </c>
      <c r="AW108" s="1030">
        <f t="shared" si="11"/>
        <v>0</v>
      </c>
      <c r="AX108" s="1030">
        <f>INDEX(V108:AG108,1,MATCH(Parametres!$B$3,V$1:AG$1,0))*IF(OR(C108="L",C108="S",C108="I"),-1,1)</f>
        <v>0</v>
      </c>
      <c r="AY108" s="598" t="s">
        <v>337</v>
      </c>
      <c r="AZ108" s="598">
        <f>+VLOOKUP($AJ108,Data_Validation!$A:$E,5,0)</f>
        <v>0</v>
      </c>
    </row>
    <row r="109" spans="1:52" ht="15.75" customHeight="1">
      <c r="A109" s="832" t="s">
        <v>1150</v>
      </c>
      <c r="B109" s="832">
        <v>2025</v>
      </c>
      <c r="C109" s="832" t="s">
        <v>1364</v>
      </c>
      <c r="D109" s="832" t="s">
        <v>1365</v>
      </c>
      <c r="E109" s="832" t="s">
        <v>333</v>
      </c>
      <c r="F109" s="832" t="s">
        <v>1119</v>
      </c>
      <c r="G109" s="832">
        <v>4437.24</v>
      </c>
      <c r="H109" s="832">
        <v>8290.67</v>
      </c>
      <c r="I109" s="832">
        <v>11800.02</v>
      </c>
      <c r="J109" s="832">
        <v>15568.77</v>
      </c>
      <c r="K109" s="832">
        <v>19766.349999999999</v>
      </c>
      <c r="L109" s="832">
        <v>23691.58</v>
      </c>
      <c r="M109" s="832">
        <v>26625.19</v>
      </c>
      <c r="N109" s="832">
        <v>29767.279999999999</v>
      </c>
      <c r="O109" s="832">
        <v>32069.95</v>
      </c>
      <c r="P109" s="832">
        <v>35724.47</v>
      </c>
      <c r="Q109" s="832">
        <v>37976.01</v>
      </c>
      <c r="R109" s="832">
        <v>41304.699999999997</v>
      </c>
      <c r="S109" s="832">
        <v>3452.36</v>
      </c>
      <c r="T109" s="832">
        <v>3452.36</v>
      </c>
      <c r="U109" s="832">
        <v>0</v>
      </c>
      <c r="V109" s="832">
        <v>0</v>
      </c>
      <c r="W109" s="832">
        <v>0</v>
      </c>
      <c r="X109" s="832">
        <v>0</v>
      </c>
      <c r="Y109" s="832">
        <v>0</v>
      </c>
      <c r="Z109" s="832">
        <v>0</v>
      </c>
      <c r="AA109" s="832">
        <v>0</v>
      </c>
      <c r="AB109" s="832">
        <v>0</v>
      </c>
      <c r="AC109" s="832">
        <v>0</v>
      </c>
      <c r="AD109" s="832">
        <v>0</v>
      </c>
      <c r="AE109" s="832">
        <v>0</v>
      </c>
      <c r="AF109" s="832">
        <v>0</v>
      </c>
      <c r="AG109" s="832">
        <v>0</v>
      </c>
      <c r="AH109" s="832">
        <v>0</v>
      </c>
      <c r="AI109" s="832">
        <v>0</v>
      </c>
      <c r="AJ109" s="1030" t="str">
        <f t="shared" si="6"/>
        <v>H01427</v>
      </c>
      <c r="AK109" s="1030" t="str">
        <f t="shared" si="7"/>
        <v>PCE AUTRES AV. SOCIAUX</v>
      </c>
      <c r="AL109" s="1030">
        <f>IFERROR(INDEX(G109:R109,1,MATCH(Parametres!$B$3,G$1:R$1,0)-1)*IF(OR(F109="L",F109="S",F109="I"),-1,1),"")</f>
        <v>15568.77</v>
      </c>
      <c r="AM109" s="1030">
        <f t="shared" si="8"/>
        <v>4197.5799999999981</v>
      </c>
      <c r="AN109" s="1030">
        <f>INDEX(G109:R109,1,MATCH(Parametres!$B$3,G$1:R$1,0))*IF(OR(F109="L",F109="S",F109="I"),-1,1)</f>
        <v>19766.349999999999</v>
      </c>
      <c r="AO109" s="598" t="str">
        <f>+VLOOKUP($AJ109,Data_Validation!$A:$D,1,0)</f>
        <v>H01427</v>
      </c>
      <c r="AP109" s="598" t="str">
        <f>+VLOOKUP($AJ109,Data_Validation!$A:$D,3,0)</f>
        <v>Pièces</v>
      </c>
      <c r="AQ109" s="598" t="str">
        <f>+VLOOKUP($AJ109,Data_Validation!$A:$D,4,0)</f>
        <v>Déduction à la source</v>
      </c>
      <c r="AR109" s="598" t="s">
        <v>299</v>
      </c>
      <c r="AS109" s="598">
        <f>+VLOOKUP($AJ109,Data_Validation!$A:$E,5,0)</f>
        <v>0</v>
      </c>
      <c r="AT109" s="1036" t="str">
        <f t="shared" si="9"/>
        <v>H01427</v>
      </c>
      <c r="AU109" s="599" t="str">
        <f t="shared" si="10"/>
        <v>PCE AUTRES AV. SOCIAUX</v>
      </c>
      <c r="AV109" s="1030">
        <f>IFERROR(INDEX(V109:AG109,1,MATCH(Parametres!$B$3,V$1:AG$1,0)-1)*IF(OR(C109="L",C109="S",C109="I"),-1,1),"")</f>
        <v>0</v>
      </c>
      <c r="AW109" s="1030">
        <f t="shared" si="11"/>
        <v>0</v>
      </c>
      <c r="AX109" s="1030">
        <f>INDEX(V109:AG109,1,MATCH(Parametres!$B$3,V$1:AG$1,0))*IF(OR(C109="L",C109="S",C109="I"),-1,1)</f>
        <v>0</v>
      </c>
      <c r="AY109" s="598" t="s">
        <v>337</v>
      </c>
      <c r="AZ109" s="598">
        <f>+VLOOKUP($AJ109,Data_Validation!$A:$E,5,0)</f>
        <v>0</v>
      </c>
    </row>
    <row r="110" spans="1:52" ht="15" customHeight="1">
      <c r="A110" s="832" t="s">
        <v>1150</v>
      </c>
      <c r="B110" s="832">
        <v>2025</v>
      </c>
      <c r="C110" s="832" t="s">
        <v>1366</v>
      </c>
      <c r="D110" s="832" t="s">
        <v>1367</v>
      </c>
      <c r="E110" s="832" t="s">
        <v>333</v>
      </c>
      <c r="F110" s="832" t="s">
        <v>1119</v>
      </c>
      <c r="G110" s="832">
        <v>0</v>
      </c>
      <c r="H110" s="832">
        <v>0</v>
      </c>
      <c r="I110" s="832">
        <v>0</v>
      </c>
      <c r="J110" s="832">
        <v>0</v>
      </c>
      <c r="K110" s="832">
        <v>0</v>
      </c>
      <c r="L110" s="832">
        <v>0</v>
      </c>
      <c r="M110" s="832">
        <v>0</v>
      </c>
      <c r="N110" s="832">
        <v>0</v>
      </c>
      <c r="O110" s="832">
        <v>0</v>
      </c>
      <c r="P110" s="832">
        <v>0</v>
      </c>
      <c r="Q110" s="832">
        <v>0</v>
      </c>
      <c r="R110" s="832">
        <v>0</v>
      </c>
      <c r="S110" s="832">
        <v>0</v>
      </c>
      <c r="T110" s="832">
        <v>0</v>
      </c>
      <c r="U110" s="832">
        <v>0</v>
      </c>
      <c r="V110" s="832">
        <v>0</v>
      </c>
      <c r="W110" s="832">
        <v>0</v>
      </c>
      <c r="X110" s="832">
        <v>0</v>
      </c>
      <c r="Y110" s="832">
        <v>0</v>
      </c>
      <c r="Z110" s="832">
        <v>0</v>
      </c>
      <c r="AA110" s="832">
        <v>0</v>
      </c>
      <c r="AB110" s="832">
        <v>0</v>
      </c>
      <c r="AC110" s="832">
        <v>0</v>
      </c>
      <c r="AD110" s="832">
        <v>0</v>
      </c>
      <c r="AE110" s="832">
        <v>0</v>
      </c>
      <c r="AF110" s="832">
        <v>0</v>
      </c>
      <c r="AG110" s="832">
        <v>0</v>
      </c>
      <c r="AH110" s="832">
        <v>0</v>
      </c>
      <c r="AI110" s="832">
        <v>0</v>
      </c>
      <c r="AJ110" s="1030" t="str">
        <f t="shared" si="6"/>
        <v>H01428</v>
      </c>
      <c r="AK110" s="1030" t="str">
        <f t="shared" si="7"/>
        <v>PCE FORMATION</v>
      </c>
      <c r="AL110" s="1030">
        <f>IFERROR(INDEX(G110:R110,1,MATCH(Parametres!$B$3,G$1:R$1,0)-1)*IF(OR(F110="L",F110="S",F110="I"),-1,1),"")</f>
        <v>0</v>
      </c>
      <c r="AM110" s="1030">
        <f t="shared" si="8"/>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t="str">
        <f t="shared" si="9"/>
        <v>H01428</v>
      </c>
      <c r="AU110" s="599" t="str">
        <f t="shared" si="10"/>
        <v>PCE FORMATION</v>
      </c>
      <c r="AV110" s="1030">
        <f>IFERROR(INDEX(V110:AG110,1,MATCH(Parametres!$B$3,V$1:AG$1,0)-1)*IF(OR(C110="L",C110="S",C110="I"),-1,1),"")</f>
        <v>0</v>
      </c>
      <c r="AW110" s="1030">
        <f t="shared" si="11"/>
        <v>0</v>
      </c>
      <c r="AX110" s="1030">
        <f>INDEX(V110:AG110,1,MATCH(Parametres!$B$3,V$1:AG$1,0))*IF(OR(C110="L",C110="S",C110="I"),-1,1)</f>
        <v>0</v>
      </c>
      <c r="AY110" s="598" t="s">
        <v>337</v>
      </c>
      <c r="AZ110" s="598" t="e">
        <f>+VLOOKUP($AJ110,Data_Validation!$A:$E,5,0)</f>
        <v>#N/A</v>
      </c>
    </row>
    <row r="111" spans="1:52" ht="15" customHeight="1">
      <c r="A111" s="832" t="s">
        <v>1150</v>
      </c>
      <c r="B111" s="832">
        <v>2025</v>
      </c>
      <c r="C111" s="832" t="s">
        <v>1368</v>
      </c>
      <c r="D111" s="832" t="s">
        <v>1369</v>
      </c>
      <c r="E111" s="832" t="s">
        <v>333</v>
      </c>
      <c r="F111" s="832" t="s">
        <v>1119</v>
      </c>
      <c r="G111" s="832">
        <v>744.95</v>
      </c>
      <c r="H111" s="832">
        <v>1501.94</v>
      </c>
      <c r="I111" s="832">
        <v>2108.5300000000002</v>
      </c>
      <c r="J111" s="832">
        <v>2730.86</v>
      </c>
      <c r="K111" s="832">
        <v>3540.65</v>
      </c>
      <c r="L111" s="832">
        <v>4179.12</v>
      </c>
      <c r="M111" s="832">
        <v>4709.68</v>
      </c>
      <c r="N111" s="832">
        <v>5939.46</v>
      </c>
      <c r="O111" s="832">
        <v>6701.29</v>
      </c>
      <c r="P111" s="832">
        <v>7174.11</v>
      </c>
      <c r="Q111" s="832">
        <v>7343.55</v>
      </c>
      <c r="R111" s="832">
        <v>7855.28</v>
      </c>
      <c r="S111" s="832">
        <v>667.6</v>
      </c>
      <c r="T111" s="832">
        <v>667.6</v>
      </c>
      <c r="U111" s="832">
        <v>0</v>
      </c>
      <c r="V111" s="832">
        <v>0</v>
      </c>
      <c r="W111" s="832">
        <v>0</v>
      </c>
      <c r="X111" s="832">
        <v>0</v>
      </c>
      <c r="Y111" s="832">
        <v>0</v>
      </c>
      <c r="Z111" s="832">
        <v>0</v>
      </c>
      <c r="AA111" s="832">
        <v>0</v>
      </c>
      <c r="AB111" s="832">
        <v>0</v>
      </c>
      <c r="AC111" s="832">
        <v>0</v>
      </c>
      <c r="AD111" s="832">
        <v>0</v>
      </c>
      <c r="AE111" s="832">
        <v>0</v>
      </c>
      <c r="AF111" s="832">
        <v>0</v>
      </c>
      <c r="AG111" s="832">
        <v>0</v>
      </c>
      <c r="AH111" s="832">
        <v>0</v>
      </c>
      <c r="AI111" s="832">
        <v>0</v>
      </c>
      <c r="AJ111" s="1030" t="str">
        <f t="shared" si="6"/>
        <v>H01430</v>
      </c>
      <c r="AK111" s="1030" t="str">
        <f t="shared" si="7"/>
        <v>PCE PAPETRIE-FOUR. BUREAU</v>
      </c>
      <c r="AL111" s="1030">
        <f>IFERROR(INDEX(G111:R111,1,MATCH(Parametres!$B$3,G$1:R$1,0)-1)*IF(OR(F111="L",F111="S",F111="I"),-1,1),"")</f>
        <v>2730.86</v>
      </c>
      <c r="AM111" s="1030">
        <f t="shared" si="8"/>
        <v>809.79</v>
      </c>
      <c r="AN111" s="1030">
        <f>INDEX(G111:R111,1,MATCH(Parametres!$B$3,G$1:R$1,0))*IF(OR(F111="L",F111="S",F111="I"),-1,1)</f>
        <v>3540.65</v>
      </c>
      <c r="AO111" s="598" t="str">
        <f>+VLOOKUP($AJ111,Data_Validation!$A:$D,1,0)</f>
        <v>H01430</v>
      </c>
      <c r="AP111" s="598" t="str">
        <f>+VLOOKUP($AJ111,Data_Validation!$A:$D,3,0)</f>
        <v>Pièces</v>
      </c>
      <c r="AQ111" s="598" t="str">
        <f>+VLOOKUP($AJ111,Data_Validation!$A:$D,4,0)</f>
        <v>Papeterie</v>
      </c>
      <c r="AR111" s="598" t="s">
        <v>299</v>
      </c>
      <c r="AS111" s="598">
        <f>+VLOOKUP($AJ111,Data_Validation!$A:$E,5,0)</f>
        <v>0</v>
      </c>
      <c r="AT111" s="1036" t="str">
        <f t="shared" si="9"/>
        <v>H01430</v>
      </c>
      <c r="AU111" s="599" t="str">
        <f t="shared" si="10"/>
        <v>PCE PAPETRIE-FOUR. BUREAU</v>
      </c>
      <c r="AV111" s="1030">
        <f>IFERROR(INDEX(V111:AG111,1,MATCH(Parametres!$B$3,V$1:AG$1,0)-1)*IF(OR(C111="L",C111="S",C111="I"),-1,1),"")</f>
        <v>0</v>
      </c>
      <c r="AW111" s="1030">
        <f t="shared" si="11"/>
        <v>0</v>
      </c>
      <c r="AX111" s="1030">
        <f>INDEX(V111:AG111,1,MATCH(Parametres!$B$3,V$1:AG$1,0))*IF(OR(C111="L",C111="S",C111="I"),-1,1)</f>
        <v>0</v>
      </c>
      <c r="AY111" s="598" t="s">
        <v>337</v>
      </c>
      <c r="AZ111" s="598">
        <f>+VLOOKUP($AJ111,Data_Validation!$A:$E,5,0)</f>
        <v>0</v>
      </c>
    </row>
    <row r="112" spans="1:52" ht="15" customHeight="1">
      <c r="A112" s="832" t="s">
        <v>1150</v>
      </c>
      <c r="B112" s="832">
        <v>2025</v>
      </c>
      <c r="C112" s="832" t="s">
        <v>1370</v>
      </c>
      <c r="D112" s="832" t="s">
        <v>1371</v>
      </c>
      <c r="E112" s="832" t="s">
        <v>333</v>
      </c>
      <c r="F112" s="832" t="s">
        <v>1119</v>
      </c>
      <c r="G112" s="832">
        <v>0</v>
      </c>
      <c r="H112" s="832">
        <v>0</v>
      </c>
      <c r="I112" s="832">
        <v>0</v>
      </c>
      <c r="J112" s="832">
        <v>0</v>
      </c>
      <c r="K112" s="832">
        <v>0</v>
      </c>
      <c r="L112" s="832">
        <v>0</v>
      </c>
      <c r="M112" s="832">
        <v>0</v>
      </c>
      <c r="N112" s="832">
        <v>0</v>
      </c>
      <c r="O112" s="832">
        <v>0</v>
      </c>
      <c r="P112" s="832">
        <v>0</v>
      </c>
      <c r="Q112" s="832">
        <v>0</v>
      </c>
      <c r="R112" s="832">
        <v>0</v>
      </c>
      <c r="S112" s="832">
        <v>0</v>
      </c>
      <c r="T112" s="832">
        <v>0</v>
      </c>
      <c r="U112" s="832">
        <v>0</v>
      </c>
      <c r="V112" s="832">
        <v>0</v>
      </c>
      <c r="W112" s="832">
        <v>0</v>
      </c>
      <c r="X112" s="832">
        <v>0</v>
      </c>
      <c r="Y112" s="832">
        <v>0</v>
      </c>
      <c r="Z112" s="832">
        <v>0</v>
      </c>
      <c r="AA112" s="832">
        <v>0</v>
      </c>
      <c r="AB112" s="832">
        <v>0</v>
      </c>
      <c r="AC112" s="832">
        <v>0</v>
      </c>
      <c r="AD112" s="832">
        <v>0</v>
      </c>
      <c r="AE112" s="832">
        <v>0</v>
      </c>
      <c r="AF112" s="832">
        <v>0</v>
      </c>
      <c r="AG112" s="832">
        <v>0</v>
      </c>
      <c r="AH112" s="832">
        <v>0</v>
      </c>
      <c r="AI112" s="832">
        <v>0</v>
      </c>
      <c r="AJ112" s="1030" t="str">
        <f t="shared" si="6"/>
        <v>H01431</v>
      </c>
      <c r="AK112" s="1030" t="str">
        <f t="shared" si="7"/>
        <v>PCE OUTIL-FOUR. DIVERS</v>
      </c>
      <c r="AL112" s="1030">
        <f>IFERROR(INDEX(G112:R112,1,MATCH(Parametres!$B$3,G$1:R$1,0)-1)*IF(OR(F112="L",F112="S",F112="I"),-1,1),"")</f>
        <v>0</v>
      </c>
      <c r="AM112" s="1030">
        <f t="shared" si="8"/>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t="str">
        <f t="shared" si="9"/>
        <v>H01431</v>
      </c>
      <c r="AU112" s="599" t="str">
        <f t="shared" si="10"/>
        <v>PCE OUTIL-FOUR. DIVERS</v>
      </c>
      <c r="AV112" s="1030">
        <f>IFERROR(INDEX(V112:AG112,1,MATCH(Parametres!$B$3,V$1:AG$1,0)-1)*IF(OR(C112="L",C112="S",C112="I"),-1,1),"")</f>
        <v>0</v>
      </c>
      <c r="AW112" s="1030">
        <f t="shared" si="11"/>
        <v>0</v>
      </c>
      <c r="AX112" s="1030">
        <f>INDEX(V112:AG112,1,MATCH(Parametres!$B$3,V$1:AG$1,0))*IF(OR(C112="L",C112="S",C112="I"),-1,1)</f>
        <v>0</v>
      </c>
      <c r="AY112" s="598" t="s">
        <v>337</v>
      </c>
      <c r="AZ112" s="598" t="e">
        <f>+VLOOKUP($AJ112,Data_Validation!$A:$E,5,0)</f>
        <v>#N/A</v>
      </c>
    </row>
    <row r="113" spans="1:52" ht="15.75" customHeight="1">
      <c r="A113" s="832" t="s">
        <v>1150</v>
      </c>
      <c r="B113" s="832">
        <v>2025</v>
      </c>
      <c r="C113" s="832" t="s">
        <v>1372</v>
      </c>
      <c r="D113" s="832" t="s">
        <v>1373</v>
      </c>
      <c r="E113" s="832" t="s">
        <v>333</v>
      </c>
      <c r="F113" s="832" t="s">
        <v>1119</v>
      </c>
      <c r="G113" s="832">
        <v>0</v>
      </c>
      <c r="H113" s="832">
        <v>0</v>
      </c>
      <c r="I113" s="832">
        <v>0</v>
      </c>
      <c r="J113" s="832">
        <v>0</v>
      </c>
      <c r="K113" s="832">
        <v>0</v>
      </c>
      <c r="L113" s="832">
        <v>0</v>
      </c>
      <c r="M113" s="832">
        <v>0</v>
      </c>
      <c r="N113" s="832">
        <v>0</v>
      </c>
      <c r="O113" s="832">
        <v>0</v>
      </c>
      <c r="P113" s="832">
        <v>0</v>
      </c>
      <c r="Q113" s="832">
        <v>0</v>
      </c>
      <c r="R113" s="832">
        <v>0</v>
      </c>
      <c r="S113" s="832">
        <v>0</v>
      </c>
      <c r="T113" s="832">
        <v>0</v>
      </c>
      <c r="U113" s="832">
        <v>0</v>
      </c>
      <c r="V113" s="832">
        <v>0</v>
      </c>
      <c r="W113" s="832">
        <v>0</v>
      </c>
      <c r="X113" s="832">
        <v>0</v>
      </c>
      <c r="Y113" s="832">
        <v>0</v>
      </c>
      <c r="Z113" s="832">
        <v>0</v>
      </c>
      <c r="AA113" s="832">
        <v>0</v>
      </c>
      <c r="AB113" s="832">
        <v>0</v>
      </c>
      <c r="AC113" s="832">
        <v>0</v>
      </c>
      <c r="AD113" s="832">
        <v>0</v>
      </c>
      <c r="AE113" s="832">
        <v>0</v>
      </c>
      <c r="AF113" s="832">
        <v>0</v>
      </c>
      <c r="AG113" s="832">
        <v>0</v>
      </c>
      <c r="AH113" s="832">
        <v>0</v>
      </c>
      <c r="AI113" s="832">
        <v>0</v>
      </c>
      <c r="AJ113" s="1030" t="str">
        <f t="shared" si="6"/>
        <v>H01434</v>
      </c>
      <c r="AK113" s="1030" t="str">
        <f t="shared" si="7"/>
        <v>PCE UNIFORMES-SALOPETTES</v>
      </c>
      <c r="AL113" s="1030">
        <f>IFERROR(INDEX(G113:R113,1,MATCH(Parametres!$B$3,G$1:R$1,0)-1)*IF(OR(F113="L",F113="S",F113="I"),-1,1),"")</f>
        <v>0</v>
      </c>
      <c r="AM113" s="1030">
        <f t="shared" si="8"/>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t="str">
        <f t="shared" si="9"/>
        <v>H01434</v>
      </c>
      <c r="AU113" s="599" t="str">
        <f t="shared" si="10"/>
        <v>PCE UNIFORMES-SALOPETTES</v>
      </c>
      <c r="AV113" s="1030">
        <f>IFERROR(INDEX(V113:AG113,1,MATCH(Parametres!$B$3,V$1:AG$1,0)-1)*IF(OR(C113="L",C113="S",C113="I"),-1,1),"")</f>
        <v>0</v>
      </c>
      <c r="AW113" s="1030">
        <f t="shared" si="11"/>
        <v>0</v>
      </c>
      <c r="AX113" s="1030">
        <f>INDEX(V113:AG113,1,MATCH(Parametres!$B$3,V$1:AG$1,0))*IF(OR(C113="L",C113="S",C113="I"),-1,1)</f>
        <v>0</v>
      </c>
      <c r="AY113" s="598" t="s">
        <v>337</v>
      </c>
      <c r="AZ113" s="598" t="e">
        <f>+VLOOKUP($AJ113,Data_Validation!$A:$E,5,0)</f>
        <v>#N/A</v>
      </c>
    </row>
    <row r="114" spans="1:52" ht="15" customHeight="1">
      <c r="A114" s="832" t="s">
        <v>1150</v>
      </c>
      <c r="B114" s="832">
        <v>2025</v>
      </c>
      <c r="C114" s="832" t="s">
        <v>1374</v>
      </c>
      <c r="D114" s="832" t="s">
        <v>1375</v>
      </c>
      <c r="E114" s="832" t="s">
        <v>333</v>
      </c>
      <c r="F114" s="832" t="s">
        <v>1119</v>
      </c>
      <c r="G114" s="832">
        <v>0</v>
      </c>
      <c r="H114" s="832">
        <v>0</v>
      </c>
      <c r="I114" s="832">
        <v>0</v>
      </c>
      <c r="J114" s="832">
        <v>0</v>
      </c>
      <c r="K114" s="832">
        <v>1365</v>
      </c>
      <c r="L114" s="832">
        <v>2665</v>
      </c>
      <c r="M114" s="832">
        <v>2665</v>
      </c>
      <c r="N114" s="832">
        <v>2665</v>
      </c>
      <c r="O114" s="832">
        <v>4030</v>
      </c>
      <c r="P114" s="832">
        <v>6124.58</v>
      </c>
      <c r="Q114" s="832">
        <v>8186.17</v>
      </c>
      <c r="R114" s="832">
        <v>10397.16</v>
      </c>
      <c r="S114" s="832">
        <v>744.2</v>
      </c>
      <c r="T114" s="832">
        <v>744.2</v>
      </c>
      <c r="U114" s="832">
        <v>0</v>
      </c>
      <c r="V114" s="832">
        <v>0</v>
      </c>
      <c r="W114" s="832">
        <v>0</v>
      </c>
      <c r="X114" s="832">
        <v>0</v>
      </c>
      <c r="Y114" s="832">
        <v>0</v>
      </c>
      <c r="Z114" s="832">
        <v>0</v>
      </c>
      <c r="AA114" s="832">
        <v>0</v>
      </c>
      <c r="AB114" s="832">
        <v>0</v>
      </c>
      <c r="AC114" s="832">
        <v>0</v>
      </c>
      <c r="AD114" s="832">
        <v>0</v>
      </c>
      <c r="AE114" s="832">
        <v>0</v>
      </c>
      <c r="AF114" s="832">
        <v>0</v>
      </c>
      <c r="AG114" s="832">
        <v>0</v>
      </c>
      <c r="AH114" s="832">
        <v>0</v>
      </c>
      <c r="AI114" s="832">
        <v>0</v>
      </c>
      <c r="AJ114" s="1030" t="str">
        <f t="shared" si="6"/>
        <v>H01435</v>
      </c>
      <c r="AK114" s="1030" t="str">
        <f t="shared" si="7"/>
        <v>PCE CONCIERGE-NETTOYAGE</v>
      </c>
      <c r="AL114" s="1030">
        <f>IFERROR(INDEX(G114:R114,1,MATCH(Parametres!$B$3,G$1:R$1,0)-1)*IF(OR(F114="L",F114="S",F114="I"),-1,1),"")</f>
        <v>0</v>
      </c>
      <c r="AM114" s="1030">
        <f t="shared" si="8"/>
        <v>1365</v>
      </c>
      <c r="AN114" s="1030">
        <f>INDEX(G114:R114,1,MATCH(Parametres!$B$3,G$1:R$1,0))*IF(OR(F114="L",F114="S",F114="I"),-1,1)</f>
        <v>1365</v>
      </c>
      <c r="AO114" s="598" t="str">
        <f>+VLOOKUP($AJ114,Data_Validation!$A:$D,1,0)</f>
        <v>H01435</v>
      </c>
      <c r="AP114" s="598" t="str">
        <f>+VLOOKUP($AJ114,Data_Validation!$A:$D,3,0)</f>
        <v>Pièces</v>
      </c>
      <c r="AQ114" s="598" t="str">
        <f>+VLOOKUP($AJ114,Data_Validation!$A:$D,4,0)</f>
        <v>Services extérieurs</v>
      </c>
      <c r="AR114" s="598" t="s">
        <v>299</v>
      </c>
      <c r="AS114" s="598">
        <f>+VLOOKUP($AJ114,Data_Validation!$A:$E,5,0)</f>
        <v>0</v>
      </c>
      <c r="AT114" s="1036" t="str">
        <f t="shared" si="9"/>
        <v>H01435</v>
      </c>
      <c r="AU114" s="599" t="str">
        <f t="shared" si="10"/>
        <v>PCE CONCIERGE-NETTOYAGE</v>
      </c>
      <c r="AV114" s="1030">
        <f>IFERROR(INDEX(V114:AG114,1,MATCH(Parametres!$B$3,V$1:AG$1,0)-1)*IF(OR(C114="L",C114="S",C114="I"),-1,1),"")</f>
        <v>0</v>
      </c>
      <c r="AW114" s="1030">
        <f t="shared" si="11"/>
        <v>0</v>
      </c>
      <c r="AX114" s="1030">
        <f>INDEX(V114:AG114,1,MATCH(Parametres!$B$3,V$1:AG$1,0))*IF(OR(C114="L",C114="S",C114="I"),-1,1)</f>
        <v>0</v>
      </c>
      <c r="AY114" s="598" t="s">
        <v>337</v>
      </c>
      <c r="AZ114" s="598">
        <f>+VLOOKUP($AJ114,Data_Validation!$A:$E,5,0)</f>
        <v>0</v>
      </c>
    </row>
    <row r="115" spans="1:52" ht="15" customHeight="1">
      <c r="A115" s="832" t="s">
        <v>1150</v>
      </c>
      <c r="B115" s="832">
        <v>2025</v>
      </c>
      <c r="C115" s="832" t="s">
        <v>1376</v>
      </c>
      <c r="D115" s="832" t="s">
        <v>1377</v>
      </c>
      <c r="E115" s="832" t="s">
        <v>333</v>
      </c>
      <c r="F115" s="832" t="s">
        <v>1119</v>
      </c>
      <c r="G115" s="832">
        <v>640.55999999999995</v>
      </c>
      <c r="H115" s="832">
        <v>989.22</v>
      </c>
      <c r="I115" s="832">
        <v>990.12</v>
      </c>
      <c r="J115" s="832">
        <v>990.12</v>
      </c>
      <c r="K115" s="832">
        <v>1295.02</v>
      </c>
      <c r="L115" s="832">
        <v>1318.99</v>
      </c>
      <c r="M115" s="832">
        <v>1318.99</v>
      </c>
      <c r="N115" s="832">
        <v>1360.37</v>
      </c>
      <c r="O115" s="832">
        <v>1414.93</v>
      </c>
      <c r="P115" s="832">
        <v>1418.11</v>
      </c>
      <c r="Q115" s="832">
        <v>1449.71</v>
      </c>
      <c r="R115" s="832">
        <v>1694.61</v>
      </c>
      <c r="S115" s="832">
        <v>131.79</v>
      </c>
      <c r="T115" s="832">
        <v>131.79</v>
      </c>
      <c r="U115" s="832">
        <v>0</v>
      </c>
      <c r="V115" s="832">
        <v>0</v>
      </c>
      <c r="W115" s="832">
        <v>0</v>
      </c>
      <c r="X115" s="832">
        <v>0</v>
      </c>
      <c r="Y115" s="832">
        <v>0</v>
      </c>
      <c r="Z115" s="832">
        <v>0</v>
      </c>
      <c r="AA115" s="832">
        <v>0</v>
      </c>
      <c r="AB115" s="832">
        <v>0</v>
      </c>
      <c r="AC115" s="832">
        <v>0</v>
      </c>
      <c r="AD115" s="832">
        <v>0</v>
      </c>
      <c r="AE115" s="832">
        <v>0</v>
      </c>
      <c r="AF115" s="832">
        <v>0</v>
      </c>
      <c r="AG115" s="832">
        <v>0</v>
      </c>
      <c r="AH115" s="832">
        <v>0</v>
      </c>
      <c r="AI115" s="832">
        <v>0</v>
      </c>
      <c r="AJ115" s="1030" t="str">
        <f t="shared" si="6"/>
        <v>H01437</v>
      </c>
      <c r="AK115" s="1030" t="str">
        <f t="shared" si="7"/>
        <v>PCE PRATIQUES COURTOISIE</v>
      </c>
      <c r="AL115" s="1030">
        <f>IFERROR(INDEX(G115:R115,1,MATCH(Parametres!$B$3,G$1:R$1,0)-1)*IF(OR(F115="L",F115="S",F115="I"),-1,1),"")</f>
        <v>990.12</v>
      </c>
      <c r="AM115" s="1030">
        <f t="shared" si="8"/>
        <v>304.89999999999998</v>
      </c>
      <c r="AN115" s="1030">
        <f>INDEX(G115:R115,1,MATCH(Parametres!$B$3,G$1:R$1,0))*IF(OR(F115="L",F115="S",F115="I"),-1,1)</f>
        <v>1295.02</v>
      </c>
      <c r="AO115" s="598" t="str">
        <f>+VLOOKUP($AJ115,Data_Validation!$A:$D,1,0)</f>
        <v>H01437</v>
      </c>
      <c r="AP115" s="598" t="str">
        <f>+VLOOKUP($AJ115,Data_Validation!$A:$D,3,0)</f>
        <v>Pièces</v>
      </c>
      <c r="AQ115" s="598" t="str">
        <f>+VLOOKUP($AJ115,Data_Validation!$A:$D,4,0)</f>
        <v>Frais véhicules de cie</v>
      </c>
      <c r="AR115" s="598" t="s">
        <v>299</v>
      </c>
      <c r="AS115" s="598">
        <f>+VLOOKUP($AJ115,Data_Validation!$A:$E,5,0)</f>
        <v>0</v>
      </c>
      <c r="AT115" s="1036" t="str">
        <f t="shared" si="9"/>
        <v>H01437</v>
      </c>
      <c r="AU115" s="599" t="str">
        <f t="shared" si="10"/>
        <v>PCE PRATIQUES COURTOISIE</v>
      </c>
      <c r="AV115" s="1030">
        <f>IFERROR(INDEX(V115:AG115,1,MATCH(Parametres!$B$3,V$1:AG$1,0)-1)*IF(OR(C115="L",C115="S",C115="I"),-1,1),"")</f>
        <v>0</v>
      </c>
      <c r="AW115" s="1030">
        <f t="shared" si="11"/>
        <v>0</v>
      </c>
      <c r="AX115" s="1030">
        <f>INDEX(V115:AG115,1,MATCH(Parametres!$B$3,V$1:AG$1,0))*IF(OR(C115="L",C115="S",C115="I"),-1,1)</f>
        <v>0</v>
      </c>
      <c r="AY115" s="598" t="s">
        <v>337</v>
      </c>
      <c r="AZ115" s="598">
        <f>+VLOOKUP($AJ115,Data_Validation!$A:$E,5,0)</f>
        <v>0</v>
      </c>
    </row>
    <row r="116" spans="1:52" ht="15" customHeight="1">
      <c r="A116" s="832" t="s">
        <v>1150</v>
      </c>
      <c r="B116" s="832">
        <v>2025</v>
      </c>
      <c r="C116" s="832" t="s">
        <v>1378</v>
      </c>
      <c r="D116" s="832" t="s">
        <v>1379</v>
      </c>
      <c r="E116" s="832" t="s">
        <v>333</v>
      </c>
      <c r="F116" s="832" t="s">
        <v>1119</v>
      </c>
      <c r="G116" s="832">
        <v>7094.24</v>
      </c>
      <c r="H116" s="832">
        <v>19218.900000000001</v>
      </c>
      <c r="I116" s="832">
        <v>38340.29</v>
      </c>
      <c r="J116" s="832">
        <v>54578.29</v>
      </c>
      <c r="K116" s="832">
        <v>65532.45</v>
      </c>
      <c r="L116" s="832">
        <v>86526.07</v>
      </c>
      <c r="M116" s="832">
        <v>105009.47</v>
      </c>
      <c r="N116" s="832">
        <v>136131.26</v>
      </c>
      <c r="O116" s="832">
        <v>136140.4</v>
      </c>
      <c r="P116" s="832">
        <v>157242.60999999999</v>
      </c>
      <c r="Q116" s="832">
        <v>177435.5</v>
      </c>
      <c r="R116" s="832">
        <v>194022.98</v>
      </c>
      <c r="S116" s="832">
        <v>16130.5</v>
      </c>
      <c r="T116" s="832">
        <v>16130.5</v>
      </c>
      <c r="U116" s="832">
        <v>0</v>
      </c>
      <c r="V116" s="832">
        <v>0</v>
      </c>
      <c r="W116" s="832">
        <v>0</v>
      </c>
      <c r="X116" s="832">
        <v>0</v>
      </c>
      <c r="Y116" s="832">
        <v>0</v>
      </c>
      <c r="Z116" s="832">
        <v>0</v>
      </c>
      <c r="AA116" s="832">
        <v>0</v>
      </c>
      <c r="AB116" s="832">
        <v>0</v>
      </c>
      <c r="AC116" s="832">
        <v>0</v>
      </c>
      <c r="AD116" s="832">
        <v>0</v>
      </c>
      <c r="AE116" s="832">
        <v>0</v>
      </c>
      <c r="AF116" s="832">
        <v>0</v>
      </c>
      <c r="AG116" s="832">
        <v>0</v>
      </c>
      <c r="AH116" s="832">
        <v>0</v>
      </c>
      <c r="AI116" s="832">
        <v>0</v>
      </c>
      <c r="AJ116" s="1030" t="str">
        <f t="shared" si="6"/>
        <v>H01438</v>
      </c>
      <c r="AK116" s="1030" t="str">
        <f t="shared" si="7"/>
        <v>PCE PUB-PROMOTION PCE</v>
      </c>
      <c r="AL116" s="1030">
        <f>IFERROR(INDEX(G116:R116,1,MATCH(Parametres!$B$3,G$1:R$1,0)-1)*IF(OR(F116="L",F116="S",F116="I"),-1,1),"")</f>
        <v>54578.29</v>
      </c>
      <c r="AM116" s="1030">
        <f t="shared" si="8"/>
        <v>10954.159999999996</v>
      </c>
      <c r="AN116" s="1030">
        <f>INDEX(G116:R116,1,MATCH(Parametres!$B$3,G$1:R$1,0))*IF(OR(F116="L",F116="S",F116="I"),-1,1)</f>
        <v>65532.45</v>
      </c>
      <c r="AO116" s="598" t="str">
        <f>+VLOOKUP($AJ116,Data_Validation!$A:$D,1,0)</f>
        <v>H01438</v>
      </c>
      <c r="AP116" s="598" t="str">
        <f>+VLOOKUP($AJ116,Data_Validation!$A:$D,3,0)</f>
        <v>Pièces</v>
      </c>
      <c r="AQ116" s="598" t="str">
        <f>+VLOOKUP($AJ116,Data_Validation!$A:$D,4,0)</f>
        <v>Publicité 2</v>
      </c>
      <c r="AR116" s="598" t="s">
        <v>299</v>
      </c>
      <c r="AS116" s="598">
        <f>+VLOOKUP($AJ116,Data_Validation!$A:$E,5,0)</f>
        <v>0</v>
      </c>
      <c r="AT116" s="1036" t="str">
        <f t="shared" si="9"/>
        <v>H01438</v>
      </c>
      <c r="AU116" s="599" t="str">
        <f t="shared" si="10"/>
        <v>PCE PUB-PROMOTION PCE</v>
      </c>
      <c r="AV116" s="1030">
        <f>IFERROR(INDEX(V116:AG116,1,MATCH(Parametres!$B$3,V$1:AG$1,0)-1)*IF(OR(C116="L",C116="S",C116="I"),-1,1),"")</f>
        <v>0</v>
      </c>
      <c r="AW116" s="1030">
        <f t="shared" si="11"/>
        <v>0</v>
      </c>
      <c r="AX116" s="1030">
        <f>INDEX(V116:AG116,1,MATCH(Parametres!$B$3,V$1:AG$1,0))*IF(OR(C116="L",C116="S",C116="I"),-1,1)</f>
        <v>0</v>
      </c>
      <c r="AY116" s="598" t="s">
        <v>337</v>
      </c>
      <c r="AZ116" s="598">
        <f>+VLOOKUP($AJ116,Data_Validation!$A:$E,5,0)</f>
        <v>0</v>
      </c>
    </row>
    <row r="117" spans="1:52" ht="15.75" customHeight="1">
      <c r="A117" s="832" t="s">
        <v>1150</v>
      </c>
      <c r="B117" s="832">
        <v>2025</v>
      </c>
      <c r="C117" s="832" t="s">
        <v>1380</v>
      </c>
      <c r="D117" s="832" t="s">
        <v>1381</v>
      </c>
      <c r="E117" s="832" t="s">
        <v>333</v>
      </c>
      <c r="F117" s="832" t="s">
        <v>1119</v>
      </c>
      <c r="G117" s="832">
        <v>0</v>
      </c>
      <c r="H117" s="832">
        <v>198.99</v>
      </c>
      <c r="I117" s="832">
        <v>238.79</v>
      </c>
      <c r="J117" s="832">
        <v>278.58999999999997</v>
      </c>
      <c r="K117" s="832">
        <v>318.39</v>
      </c>
      <c r="L117" s="832">
        <v>358.19</v>
      </c>
      <c r="M117" s="832">
        <v>397.99</v>
      </c>
      <c r="N117" s="832">
        <v>437.79</v>
      </c>
      <c r="O117" s="832">
        <v>477.59</v>
      </c>
      <c r="P117" s="832">
        <v>518.84</v>
      </c>
      <c r="Q117" s="832">
        <v>559.30999999999995</v>
      </c>
      <c r="R117" s="832">
        <v>599.78</v>
      </c>
      <c r="S117" s="832">
        <v>50.85</v>
      </c>
      <c r="T117" s="832">
        <v>50.85</v>
      </c>
      <c r="U117" s="832">
        <v>0</v>
      </c>
      <c r="V117" s="832">
        <v>0</v>
      </c>
      <c r="W117" s="832">
        <v>0</v>
      </c>
      <c r="X117" s="832">
        <v>0</v>
      </c>
      <c r="Y117" s="832">
        <v>0</v>
      </c>
      <c r="Z117" s="832">
        <v>0</v>
      </c>
      <c r="AA117" s="832">
        <v>0</v>
      </c>
      <c r="AB117" s="832">
        <v>0</v>
      </c>
      <c r="AC117" s="832">
        <v>0</v>
      </c>
      <c r="AD117" s="832">
        <v>0</v>
      </c>
      <c r="AE117" s="832">
        <v>0</v>
      </c>
      <c r="AF117" s="832">
        <v>0</v>
      </c>
      <c r="AG117" s="832">
        <v>0</v>
      </c>
      <c r="AH117" s="832">
        <v>0</v>
      </c>
      <c r="AI117" s="832">
        <v>0</v>
      </c>
      <c r="AJ117" s="1030" t="str">
        <f t="shared" si="6"/>
        <v>H01440</v>
      </c>
      <c r="AK117" s="1030" t="str">
        <f t="shared" si="7"/>
        <v>PCE ENT EQUIPEMENT</v>
      </c>
      <c r="AL117" s="1030">
        <f>IFERROR(INDEX(G117:R117,1,MATCH(Parametres!$B$3,G$1:R$1,0)-1)*IF(OR(F117="L",F117="S",F117="I"),-1,1),"")</f>
        <v>278.58999999999997</v>
      </c>
      <c r="AM117" s="1030">
        <f t="shared" si="8"/>
        <v>39.800000000000011</v>
      </c>
      <c r="AN117" s="1030">
        <f>INDEX(G117:R117,1,MATCH(Parametres!$B$3,G$1:R$1,0))*IF(OR(F117="L",F117="S",F117="I"),-1,1)</f>
        <v>318.39</v>
      </c>
      <c r="AO117" s="598" t="str">
        <f>+VLOOKUP($AJ117,Data_Validation!$A:$D,1,0)</f>
        <v>H01440</v>
      </c>
      <c r="AP117" s="598" t="str">
        <f>+VLOOKUP($AJ117,Data_Validation!$A:$D,3,0)</f>
        <v>Pièces</v>
      </c>
      <c r="AQ117" s="598" t="str">
        <f>+VLOOKUP($AJ117,Data_Validation!$A:$D,4,0)</f>
        <v>Services extérieurs</v>
      </c>
      <c r="AR117" s="598" t="s">
        <v>299</v>
      </c>
      <c r="AS117" s="598">
        <f>+VLOOKUP($AJ117,Data_Validation!$A:$E,5,0)</f>
        <v>0</v>
      </c>
      <c r="AT117" s="1036" t="str">
        <f t="shared" si="9"/>
        <v>H01440</v>
      </c>
      <c r="AU117" s="599" t="str">
        <f t="shared" si="10"/>
        <v>PCE ENT EQUIPEMENT</v>
      </c>
      <c r="AV117" s="1030">
        <f>IFERROR(INDEX(V117:AG117,1,MATCH(Parametres!$B$3,V$1:AG$1,0)-1)*IF(OR(C117="L",C117="S",C117="I"),-1,1),"")</f>
        <v>0</v>
      </c>
      <c r="AW117" s="1030">
        <f t="shared" si="11"/>
        <v>0</v>
      </c>
      <c r="AX117" s="1030">
        <f>INDEX(V117:AG117,1,MATCH(Parametres!$B$3,V$1:AG$1,0))*IF(OR(C117="L",C117="S",C117="I"),-1,1)</f>
        <v>0</v>
      </c>
      <c r="AY117" s="598" t="s">
        <v>337</v>
      </c>
      <c r="AZ117" s="598">
        <f>+VLOOKUP($AJ117,Data_Validation!$A:$E,5,0)</f>
        <v>0</v>
      </c>
    </row>
    <row r="118" spans="1:52" ht="15" customHeight="1">
      <c r="A118" s="832" t="s">
        <v>1150</v>
      </c>
      <c r="B118" s="832">
        <v>2025</v>
      </c>
      <c r="C118" s="832" t="s">
        <v>1382</v>
      </c>
      <c r="D118" s="832" t="s">
        <v>1383</v>
      </c>
      <c r="E118" s="832" t="s">
        <v>333</v>
      </c>
      <c r="F118" s="832" t="s">
        <v>1119</v>
      </c>
      <c r="G118" s="832">
        <v>0</v>
      </c>
      <c r="H118" s="832">
        <v>0</v>
      </c>
      <c r="I118" s="832">
        <v>0</v>
      </c>
      <c r="J118" s="832">
        <v>0</v>
      </c>
      <c r="K118" s="832">
        <v>0</v>
      </c>
      <c r="L118" s="832">
        <v>0</v>
      </c>
      <c r="M118" s="832">
        <v>0</v>
      </c>
      <c r="N118" s="832">
        <v>0</v>
      </c>
      <c r="O118" s="832">
        <v>0</v>
      </c>
      <c r="P118" s="832">
        <v>0</v>
      </c>
      <c r="Q118" s="832">
        <v>0</v>
      </c>
      <c r="R118" s="832">
        <v>0</v>
      </c>
      <c r="S118" s="832">
        <v>0</v>
      </c>
      <c r="T118" s="832">
        <v>0</v>
      </c>
      <c r="U118" s="832">
        <v>0</v>
      </c>
      <c r="V118" s="832">
        <v>0</v>
      </c>
      <c r="W118" s="832">
        <v>0</v>
      </c>
      <c r="X118" s="832">
        <v>0</v>
      </c>
      <c r="Y118" s="832">
        <v>0</v>
      </c>
      <c r="Z118" s="832">
        <v>0</v>
      </c>
      <c r="AA118" s="832">
        <v>0</v>
      </c>
      <c r="AB118" s="832">
        <v>0</v>
      </c>
      <c r="AC118" s="832">
        <v>0</v>
      </c>
      <c r="AD118" s="832">
        <v>0</v>
      </c>
      <c r="AE118" s="832">
        <v>0</v>
      </c>
      <c r="AF118" s="832">
        <v>0</v>
      </c>
      <c r="AG118" s="832">
        <v>0</v>
      </c>
      <c r="AH118" s="832">
        <v>0</v>
      </c>
      <c r="AI118" s="832">
        <v>0</v>
      </c>
      <c r="AJ118" s="1030" t="str">
        <f t="shared" si="6"/>
        <v>H01441</v>
      </c>
      <c r="AK118" s="1030" t="str">
        <f t="shared" si="7"/>
        <v>PCE VEH. DE SERVITUDES</v>
      </c>
      <c r="AL118" s="1030">
        <f>IFERROR(INDEX(G118:R118,1,MATCH(Parametres!$B$3,G$1:R$1,0)-1)*IF(OR(F118="L",F118="S",F118="I"),-1,1),"")</f>
        <v>0</v>
      </c>
      <c r="AM118" s="1030">
        <f t="shared" si="8"/>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t="str">
        <f t="shared" si="9"/>
        <v>H01441</v>
      </c>
      <c r="AU118" s="599" t="str">
        <f t="shared" si="10"/>
        <v>PCE VEH. DE SERVITUDES</v>
      </c>
      <c r="AV118" s="1030">
        <f>IFERROR(INDEX(V118:AG118,1,MATCH(Parametres!$B$3,V$1:AG$1,0)-1)*IF(OR(C118="L",C118="S",C118="I"),-1,1),"")</f>
        <v>0</v>
      </c>
      <c r="AW118" s="1030">
        <f t="shared" si="11"/>
        <v>0</v>
      </c>
      <c r="AX118" s="1030">
        <f>INDEX(V118:AG118,1,MATCH(Parametres!$B$3,V$1:AG$1,0))*IF(OR(C118="L",C118="S",C118="I"),-1,1)</f>
        <v>0</v>
      </c>
      <c r="AY118" s="598" t="s">
        <v>337</v>
      </c>
      <c r="AZ118" s="598" t="e">
        <f>+VLOOKUP($AJ118,Data_Validation!$A:$E,5,0)</f>
        <v>#N/A</v>
      </c>
    </row>
    <row r="119" spans="1:52" ht="15" customHeight="1">
      <c r="A119" s="832" t="s">
        <v>1150</v>
      </c>
      <c r="B119" s="832">
        <v>2025</v>
      </c>
      <c r="C119" s="832" t="s">
        <v>1384</v>
      </c>
      <c r="D119" s="832" t="s">
        <v>1385</v>
      </c>
      <c r="E119" s="832" t="s">
        <v>333</v>
      </c>
      <c r="F119" s="832" t="s">
        <v>1119</v>
      </c>
      <c r="G119" s="832">
        <v>0</v>
      </c>
      <c r="H119" s="832">
        <v>0</v>
      </c>
      <c r="I119" s="832">
        <v>0</v>
      </c>
      <c r="J119" s="832">
        <v>0</v>
      </c>
      <c r="K119" s="832">
        <v>0</v>
      </c>
      <c r="L119" s="832">
        <v>0</v>
      </c>
      <c r="M119" s="832">
        <v>0</v>
      </c>
      <c r="N119" s="832">
        <v>0</v>
      </c>
      <c r="O119" s="832">
        <v>100</v>
      </c>
      <c r="P119" s="832">
        <v>100</v>
      </c>
      <c r="Q119" s="832">
        <v>100</v>
      </c>
      <c r="R119" s="832">
        <v>100</v>
      </c>
      <c r="S119" s="832">
        <v>9.09</v>
      </c>
      <c r="T119" s="832">
        <v>9.09</v>
      </c>
      <c r="U119" s="832">
        <v>0</v>
      </c>
      <c r="V119" s="832">
        <v>0</v>
      </c>
      <c r="W119" s="832">
        <v>0</v>
      </c>
      <c r="X119" s="832">
        <v>0</v>
      </c>
      <c r="Y119" s="832">
        <v>0</v>
      </c>
      <c r="Z119" s="832">
        <v>0</v>
      </c>
      <c r="AA119" s="832">
        <v>0</v>
      </c>
      <c r="AB119" s="832">
        <v>0</v>
      </c>
      <c r="AC119" s="832">
        <v>0</v>
      </c>
      <c r="AD119" s="832">
        <v>0</v>
      </c>
      <c r="AE119" s="832">
        <v>0</v>
      </c>
      <c r="AF119" s="832">
        <v>0</v>
      </c>
      <c r="AG119" s="832">
        <v>0</v>
      </c>
      <c r="AH119" s="832">
        <v>0</v>
      </c>
      <c r="AI119" s="832">
        <v>0</v>
      </c>
      <c r="AJ119" s="1030" t="str">
        <f t="shared" si="6"/>
        <v>H01442</v>
      </c>
      <c r="AK119" s="1030" t="str">
        <f t="shared" si="7"/>
        <v>PCE ENT EQUIP</v>
      </c>
      <c r="AL119" s="1030">
        <f>IFERROR(INDEX(G119:R119,1,MATCH(Parametres!$B$3,G$1:R$1,0)-1)*IF(OR(F119="L",F119="S",F119="I"),-1,1),"")</f>
        <v>0</v>
      </c>
      <c r="AM119" s="1030">
        <f t="shared" si="8"/>
        <v>0</v>
      </c>
      <c r="AN119" s="1030">
        <f>INDEX(G119:R119,1,MATCH(Parametres!$B$3,G$1:R$1,0))*IF(OR(F119="L",F119="S",F119="I"),-1,1)</f>
        <v>0</v>
      </c>
      <c r="AO119" s="598" t="str">
        <f>+VLOOKUP($AJ119,Data_Validation!$A:$D,1,0)</f>
        <v>H01442</v>
      </c>
      <c r="AP119" s="598" t="str">
        <f>+VLOOKUP($AJ119,Data_Validation!$A:$D,3,0)</f>
        <v>Pièces</v>
      </c>
      <c r="AQ119" s="598" t="str">
        <f>+VLOOKUP($AJ119,Data_Validation!$A:$D,4,0)</f>
        <v>Services extérieurs</v>
      </c>
      <c r="AR119" s="598" t="s">
        <v>299</v>
      </c>
      <c r="AS119" s="598">
        <f>+VLOOKUP($AJ119,Data_Validation!$A:$E,5,0)</f>
        <v>0</v>
      </c>
      <c r="AT119" s="1036" t="str">
        <f t="shared" si="9"/>
        <v>H01442</v>
      </c>
      <c r="AU119" s="599" t="str">
        <f t="shared" si="10"/>
        <v>PCE ENT EQUIP</v>
      </c>
      <c r="AV119" s="1030">
        <f>IFERROR(INDEX(V119:AG119,1,MATCH(Parametres!$B$3,V$1:AG$1,0)-1)*IF(OR(C119="L",C119="S",C119="I"),-1,1),"")</f>
        <v>0</v>
      </c>
      <c r="AW119" s="1030">
        <f t="shared" si="11"/>
        <v>0</v>
      </c>
      <c r="AX119" s="1030">
        <f>INDEX(V119:AG119,1,MATCH(Parametres!$B$3,V$1:AG$1,0))*IF(OR(C119="L",C119="S",C119="I"),-1,1)</f>
        <v>0</v>
      </c>
      <c r="AY119" s="598" t="s">
        <v>337</v>
      </c>
      <c r="AZ119" s="598">
        <f>+VLOOKUP($AJ119,Data_Validation!$A:$E,5,0)</f>
        <v>0</v>
      </c>
    </row>
    <row r="120" spans="1:52" ht="15" customHeight="1">
      <c r="A120" s="832" t="s">
        <v>1150</v>
      </c>
      <c r="B120" s="832">
        <v>2025</v>
      </c>
      <c r="C120" s="832" t="s">
        <v>1386</v>
      </c>
      <c r="D120" s="832" t="s">
        <v>1387</v>
      </c>
      <c r="E120" s="832" t="s">
        <v>333</v>
      </c>
      <c r="F120" s="832" t="s">
        <v>1119</v>
      </c>
      <c r="G120" s="832">
        <v>500</v>
      </c>
      <c r="H120" s="832">
        <v>1000</v>
      </c>
      <c r="I120" s="832">
        <v>1639.16</v>
      </c>
      <c r="J120" s="832">
        <v>2139.16</v>
      </c>
      <c r="K120" s="832">
        <v>2884</v>
      </c>
      <c r="L120" s="832">
        <v>3393.15</v>
      </c>
      <c r="M120" s="832">
        <v>3914.91</v>
      </c>
      <c r="N120" s="832">
        <v>4414.91</v>
      </c>
      <c r="O120" s="832">
        <v>4914.91</v>
      </c>
      <c r="P120" s="832">
        <v>5414.91</v>
      </c>
      <c r="Q120" s="832">
        <v>5914.91</v>
      </c>
      <c r="R120" s="832">
        <v>6414.91</v>
      </c>
      <c r="S120" s="832">
        <v>537.72</v>
      </c>
      <c r="T120" s="832">
        <v>537.72</v>
      </c>
      <c r="U120" s="832">
        <v>0</v>
      </c>
      <c r="V120" s="832">
        <v>0</v>
      </c>
      <c r="W120" s="832">
        <v>0</v>
      </c>
      <c r="X120" s="832">
        <v>0</v>
      </c>
      <c r="Y120" s="832">
        <v>0</v>
      </c>
      <c r="Z120" s="832">
        <v>0</v>
      </c>
      <c r="AA120" s="832">
        <v>0</v>
      </c>
      <c r="AB120" s="832">
        <v>0</v>
      </c>
      <c r="AC120" s="832">
        <v>0</v>
      </c>
      <c r="AD120" s="832">
        <v>0</v>
      </c>
      <c r="AE120" s="832">
        <v>0</v>
      </c>
      <c r="AF120" s="832">
        <v>0</v>
      </c>
      <c r="AG120" s="832">
        <v>0</v>
      </c>
      <c r="AH120" s="832">
        <v>0</v>
      </c>
      <c r="AI120" s="832">
        <v>0</v>
      </c>
      <c r="AJ120" s="1030" t="str">
        <f t="shared" si="6"/>
        <v>H01443</v>
      </c>
      <c r="AK120" s="1030" t="str">
        <f t="shared" si="7"/>
        <v>PCE LOCATION EQUIPEMENT</v>
      </c>
      <c r="AL120" s="1030">
        <f>IFERROR(INDEX(G120:R120,1,MATCH(Parametres!$B$3,G$1:R$1,0)-1)*IF(OR(F120="L",F120="S",F120="I"),-1,1),"")</f>
        <v>2139.16</v>
      </c>
      <c r="AM120" s="1030">
        <f t="shared" si="8"/>
        <v>744.84000000000015</v>
      </c>
      <c r="AN120" s="1030">
        <f>INDEX(G120:R120,1,MATCH(Parametres!$B$3,G$1:R$1,0))*IF(OR(F120="L",F120="S",F120="I"),-1,1)</f>
        <v>2884</v>
      </c>
      <c r="AO120" s="598" t="str">
        <f>+VLOOKUP($AJ120,Data_Validation!$A:$D,1,0)</f>
        <v>H01443</v>
      </c>
      <c r="AP120" s="598" t="str">
        <f>+VLOOKUP($AJ120,Data_Validation!$A:$D,3,0)</f>
        <v>Pièces</v>
      </c>
      <c r="AQ120" s="598" t="str">
        <f>+VLOOKUP($AJ120,Data_Validation!$A:$D,4,0)</f>
        <v>Services extérieurs</v>
      </c>
      <c r="AR120" s="598" t="s">
        <v>299</v>
      </c>
      <c r="AS120" s="598">
        <f>+VLOOKUP($AJ120,Data_Validation!$A:$E,5,0)</f>
        <v>0</v>
      </c>
      <c r="AT120" s="1036" t="str">
        <f t="shared" si="9"/>
        <v>H01443</v>
      </c>
      <c r="AU120" s="599" t="str">
        <f t="shared" si="10"/>
        <v>PCE LOCATION EQUIPEMENT</v>
      </c>
      <c r="AV120" s="1030">
        <f>IFERROR(INDEX(V120:AG120,1,MATCH(Parametres!$B$3,V$1:AG$1,0)-1)*IF(OR(C120="L",C120="S",C120="I"),-1,1),"")</f>
        <v>0</v>
      </c>
      <c r="AW120" s="1030">
        <f t="shared" si="11"/>
        <v>0</v>
      </c>
      <c r="AX120" s="1030">
        <f>INDEX(V120:AG120,1,MATCH(Parametres!$B$3,V$1:AG$1,0))*IF(OR(C120="L",C120="S",C120="I"),-1,1)</f>
        <v>0</v>
      </c>
      <c r="AY120" s="598" t="s">
        <v>337</v>
      </c>
      <c r="AZ120" s="598">
        <f>+VLOOKUP($AJ120,Data_Validation!$A:$E,5,0)</f>
        <v>0</v>
      </c>
    </row>
    <row r="121" spans="1:52" ht="15" customHeight="1">
      <c r="A121" s="832" t="s">
        <v>1150</v>
      </c>
      <c r="B121" s="832">
        <v>2025</v>
      </c>
      <c r="C121" s="832" t="s">
        <v>1388</v>
      </c>
      <c r="D121" s="832" t="s">
        <v>1389</v>
      </c>
      <c r="E121" s="832" t="s">
        <v>333</v>
      </c>
      <c r="F121" s="832" t="s">
        <v>1119</v>
      </c>
      <c r="G121" s="832">
        <v>2166.16</v>
      </c>
      <c r="H121" s="832">
        <v>4263.08</v>
      </c>
      <c r="I121" s="832">
        <v>6361.77</v>
      </c>
      <c r="J121" s="832">
        <v>8733.75</v>
      </c>
      <c r="K121" s="832">
        <v>10251.56</v>
      </c>
      <c r="L121" s="832">
        <v>11808.28</v>
      </c>
      <c r="M121" s="832">
        <v>13309.37</v>
      </c>
      <c r="N121" s="832">
        <v>15251.63</v>
      </c>
      <c r="O121" s="832">
        <v>17267.32</v>
      </c>
      <c r="P121" s="832">
        <v>18930.32</v>
      </c>
      <c r="Q121" s="832">
        <v>20711.73</v>
      </c>
      <c r="R121" s="832">
        <v>22282.16</v>
      </c>
      <c r="S121" s="832">
        <v>1882.88</v>
      </c>
      <c r="T121" s="832">
        <v>1882.88</v>
      </c>
      <c r="U121" s="832">
        <v>0</v>
      </c>
      <c r="V121" s="832">
        <v>0</v>
      </c>
      <c r="W121" s="832">
        <v>0</v>
      </c>
      <c r="X121" s="832">
        <v>0</v>
      </c>
      <c r="Y121" s="832">
        <v>0</v>
      </c>
      <c r="Z121" s="832">
        <v>0</v>
      </c>
      <c r="AA121" s="832">
        <v>0</v>
      </c>
      <c r="AB121" s="832">
        <v>0</v>
      </c>
      <c r="AC121" s="832">
        <v>0</v>
      </c>
      <c r="AD121" s="832">
        <v>0</v>
      </c>
      <c r="AE121" s="832">
        <v>0</v>
      </c>
      <c r="AF121" s="832">
        <v>0</v>
      </c>
      <c r="AG121" s="832">
        <v>0</v>
      </c>
      <c r="AH121" s="832">
        <v>0</v>
      </c>
      <c r="AI121" s="832">
        <v>0</v>
      </c>
      <c r="AJ121" s="1030" t="str">
        <f t="shared" si="6"/>
        <v>H01444</v>
      </c>
      <c r="AK121" s="1030" t="str">
        <f t="shared" si="7"/>
        <v>PCE TRAITEMENT DONNEES</v>
      </c>
      <c r="AL121" s="1030">
        <f>IFERROR(INDEX(G121:R121,1,MATCH(Parametres!$B$3,G$1:R$1,0)-1)*IF(OR(F121="L",F121="S",F121="I"),-1,1),"")</f>
        <v>8733.75</v>
      </c>
      <c r="AM121" s="1030">
        <f t="shared" si="8"/>
        <v>1517.8099999999995</v>
      </c>
      <c r="AN121" s="1030">
        <f>INDEX(G121:R121,1,MATCH(Parametres!$B$3,G$1:R$1,0))*IF(OR(F121="L",F121="S",F121="I"),-1,1)</f>
        <v>10251.56</v>
      </c>
      <c r="AO121" s="598" t="str">
        <f>+VLOOKUP($AJ121,Data_Validation!$A:$D,1,0)</f>
        <v>H01444</v>
      </c>
      <c r="AP121" s="598" t="str">
        <f>+VLOOKUP($AJ121,Data_Validation!$A:$D,3,0)</f>
        <v>Pièces</v>
      </c>
      <c r="AQ121" s="598" t="str">
        <f>+VLOOKUP($AJ121,Data_Validation!$A:$D,4,0)</f>
        <v>Informatique</v>
      </c>
      <c r="AR121" s="598" t="s">
        <v>299</v>
      </c>
      <c r="AS121" s="598">
        <f>+VLOOKUP($AJ121,Data_Validation!$A:$E,5,0)</f>
        <v>0</v>
      </c>
      <c r="AT121" s="1036" t="str">
        <f t="shared" si="9"/>
        <v>H01444</v>
      </c>
      <c r="AU121" s="599" t="str">
        <f t="shared" si="10"/>
        <v>PCE TRAITEMENT DONNEES</v>
      </c>
      <c r="AV121" s="1030">
        <f>IFERROR(INDEX(V121:AG121,1,MATCH(Parametres!$B$3,V$1:AG$1,0)-1)*IF(OR(C121="L",C121="S",C121="I"),-1,1),"")</f>
        <v>0</v>
      </c>
      <c r="AW121" s="1030">
        <f t="shared" si="11"/>
        <v>0</v>
      </c>
      <c r="AX121" s="1030">
        <f>INDEX(V121:AG121,1,MATCH(Parametres!$B$3,V$1:AG$1,0))*IF(OR(C121="L",C121="S",C121="I"),-1,1)</f>
        <v>0</v>
      </c>
      <c r="AY121" s="598" t="s">
        <v>337</v>
      </c>
      <c r="AZ121" s="598">
        <f>+VLOOKUP($AJ121,Data_Validation!$A:$E,5,0)</f>
        <v>0</v>
      </c>
    </row>
    <row r="122" spans="1:52" ht="15" customHeight="1">
      <c r="A122" s="832" t="s">
        <v>1150</v>
      </c>
      <c r="B122" s="832">
        <v>2025</v>
      </c>
      <c r="C122" s="832" t="s">
        <v>1390</v>
      </c>
      <c r="D122" s="832" t="s">
        <v>1391</v>
      </c>
      <c r="E122" s="832" t="s">
        <v>333</v>
      </c>
      <c r="F122" s="832" t="s">
        <v>1119</v>
      </c>
      <c r="G122" s="832">
        <v>2099.63</v>
      </c>
      <c r="H122" s="832">
        <v>2230.63</v>
      </c>
      <c r="I122" s="832">
        <v>2905.45</v>
      </c>
      <c r="J122" s="832">
        <v>3648.69</v>
      </c>
      <c r="K122" s="832">
        <v>4277.28</v>
      </c>
      <c r="L122" s="832">
        <v>5000.18</v>
      </c>
      <c r="M122" s="832">
        <v>6199.41</v>
      </c>
      <c r="N122" s="832">
        <v>6724.92</v>
      </c>
      <c r="O122" s="832">
        <v>7436.62</v>
      </c>
      <c r="P122" s="832">
        <v>8543.74</v>
      </c>
      <c r="Q122" s="832">
        <v>8976.41</v>
      </c>
      <c r="R122" s="832">
        <v>9404.0400000000009</v>
      </c>
      <c r="S122" s="832">
        <v>816.04</v>
      </c>
      <c r="T122" s="832">
        <v>816.04</v>
      </c>
      <c r="U122" s="832">
        <v>0</v>
      </c>
      <c r="V122" s="832">
        <v>0</v>
      </c>
      <c r="W122" s="832">
        <v>0</v>
      </c>
      <c r="X122" s="832">
        <v>0</v>
      </c>
      <c r="Y122" s="832">
        <v>0</v>
      </c>
      <c r="Z122" s="832">
        <v>0</v>
      </c>
      <c r="AA122" s="832">
        <v>0</v>
      </c>
      <c r="AB122" s="832">
        <v>0</v>
      </c>
      <c r="AC122" s="832">
        <v>0</v>
      </c>
      <c r="AD122" s="832">
        <v>0</v>
      </c>
      <c r="AE122" s="832">
        <v>0</v>
      </c>
      <c r="AF122" s="832">
        <v>0</v>
      </c>
      <c r="AG122" s="832">
        <v>0</v>
      </c>
      <c r="AH122" s="832">
        <v>0</v>
      </c>
      <c r="AI122" s="832">
        <v>0</v>
      </c>
      <c r="AJ122" s="1030" t="str">
        <f t="shared" si="6"/>
        <v>H01445</v>
      </c>
      <c r="AK122" s="1030" t="str">
        <f t="shared" si="7"/>
        <v>PCE FRAIS REP/REPAS(80%)</v>
      </c>
      <c r="AL122" s="1030">
        <f>IFERROR(INDEX(G122:R122,1,MATCH(Parametres!$B$3,G$1:R$1,0)-1)*IF(OR(F122="L",F122="S",F122="I"),-1,1),"")</f>
        <v>3648.69</v>
      </c>
      <c r="AM122" s="1030">
        <f t="shared" si="8"/>
        <v>628.58999999999969</v>
      </c>
      <c r="AN122" s="1030">
        <f>INDEX(G122:R122,1,MATCH(Parametres!$B$3,G$1:R$1,0))*IF(OR(F122="L",F122="S",F122="I"),-1,1)</f>
        <v>4277.28</v>
      </c>
      <c r="AO122" s="598" t="str">
        <f>+VLOOKUP($AJ122,Data_Validation!$A:$D,1,0)</f>
        <v>H01445</v>
      </c>
      <c r="AP122" s="598" t="str">
        <f>+VLOOKUP($AJ122,Data_Validation!$A:$D,3,0)</f>
        <v>Pièces</v>
      </c>
      <c r="AQ122" s="598" t="str">
        <f>+VLOOKUP($AJ122,Data_Validation!$A:$D,4,0)</f>
        <v>Frais de déplacement</v>
      </c>
      <c r="AR122" s="598" t="s">
        <v>299</v>
      </c>
      <c r="AS122" s="598">
        <f>+VLOOKUP($AJ122,Data_Validation!$A:$E,5,0)</f>
        <v>0</v>
      </c>
      <c r="AT122" s="1036" t="str">
        <f t="shared" si="9"/>
        <v>H01445</v>
      </c>
      <c r="AU122" s="599" t="str">
        <f t="shared" si="10"/>
        <v>PCE FRAIS REP/REPAS(80%)</v>
      </c>
      <c r="AV122" s="1030">
        <f>IFERROR(INDEX(V122:AG122,1,MATCH(Parametres!$B$3,V$1:AG$1,0)-1)*IF(OR(C122="L",C122="S",C122="I"),-1,1),"")</f>
        <v>0</v>
      </c>
      <c r="AW122" s="1030">
        <f t="shared" si="11"/>
        <v>0</v>
      </c>
      <c r="AX122" s="1030">
        <f>INDEX(V122:AG122,1,MATCH(Parametres!$B$3,V$1:AG$1,0))*IF(OR(C122="L",C122="S",C122="I"),-1,1)</f>
        <v>0</v>
      </c>
      <c r="AY122" s="598" t="s">
        <v>337</v>
      </c>
      <c r="AZ122" s="598">
        <f>+VLOOKUP($AJ122,Data_Validation!$A:$E,5,0)</f>
        <v>0</v>
      </c>
    </row>
    <row r="123" spans="1:52" ht="15.75" customHeight="1">
      <c r="A123" s="832" t="s">
        <v>1150</v>
      </c>
      <c r="B123" s="832">
        <v>2025</v>
      </c>
      <c r="C123" s="832" t="s">
        <v>1392</v>
      </c>
      <c r="D123" s="832" t="s">
        <v>1393</v>
      </c>
      <c r="E123" s="832" t="s">
        <v>333</v>
      </c>
      <c r="F123" s="832" t="s">
        <v>1119</v>
      </c>
      <c r="G123" s="832">
        <v>65</v>
      </c>
      <c r="H123" s="832">
        <v>130</v>
      </c>
      <c r="I123" s="832">
        <v>260</v>
      </c>
      <c r="J123" s="832">
        <v>260</v>
      </c>
      <c r="K123" s="832">
        <v>325</v>
      </c>
      <c r="L123" s="832">
        <v>390</v>
      </c>
      <c r="M123" s="832">
        <v>455</v>
      </c>
      <c r="N123" s="832">
        <v>520</v>
      </c>
      <c r="O123" s="832">
        <v>585</v>
      </c>
      <c r="P123" s="832">
        <v>650</v>
      </c>
      <c r="Q123" s="832">
        <v>780</v>
      </c>
      <c r="R123" s="832">
        <v>780</v>
      </c>
      <c r="S123" s="832">
        <v>70.91</v>
      </c>
      <c r="T123" s="832">
        <v>70.91</v>
      </c>
      <c r="U123" s="832">
        <v>0</v>
      </c>
      <c r="V123" s="832">
        <v>0</v>
      </c>
      <c r="W123" s="832">
        <v>0</v>
      </c>
      <c r="X123" s="832">
        <v>0</v>
      </c>
      <c r="Y123" s="832">
        <v>0</v>
      </c>
      <c r="Z123" s="832">
        <v>0</v>
      </c>
      <c r="AA123" s="832">
        <v>0</v>
      </c>
      <c r="AB123" s="832">
        <v>0</v>
      </c>
      <c r="AC123" s="832">
        <v>0</v>
      </c>
      <c r="AD123" s="832">
        <v>0</v>
      </c>
      <c r="AE123" s="832">
        <v>0</v>
      </c>
      <c r="AF123" s="832">
        <v>0</v>
      </c>
      <c r="AG123" s="832">
        <v>0</v>
      </c>
      <c r="AH123" s="832">
        <v>0</v>
      </c>
      <c r="AI123" s="832">
        <v>0</v>
      </c>
      <c r="AJ123" s="1030" t="str">
        <f t="shared" si="6"/>
        <v>H01446</v>
      </c>
      <c r="AK123" s="1030" t="str">
        <f t="shared" si="7"/>
        <v>PCE DEPLACEMENT-REPRESENT</v>
      </c>
      <c r="AL123" s="1030">
        <f>IFERROR(INDEX(G123:R123,1,MATCH(Parametres!$B$3,G$1:R$1,0)-1)*IF(OR(F123="L",F123="S",F123="I"),-1,1),"")</f>
        <v>260</v>
      </c>
      <c r="AM123" s="1030">
        <f t="shared" si="8"/>
        <v>65</v>
      </c>
      <c r="AN123" s="1030">
        <f>INDEX(G123:R123,1,MATCH(Parametres!$B$3,G$1:R$1,0))*IF(OR(F123="L",F123="S",F123="I"),-1,1)</f>
        <v>325</v>
      </c>
      <c r="AO123" s="598" t="str">
        <f>+VLOOKUP($AJ123,Data_Validation!$A:$D,1,0)</f>
        <v>H01446</v>
      </c>
      <c r="AP123" s="598" t="str">
        <f>+VLOOKUP($AJ123,Data_Validation!$A:$D,3,0)</f>
        <v>Pièces</v>
      </c>
      <c r="AQ123" s="598" t="str">
        <f>+VLOOKUP($AJ123,Data_Validation!$A:$D,4,0)</f>
        <v>Frais de déplacement</v>
      </c>
      <c r="AR123" s="598" t="s">
        <v>299</v>
      </c>
      <c r="AS123" s="598">
        <f>+VLOOKUP($AJ123,Data_Validation!$A:$E,5,0)</f>
        <v>0</v>
      </c>
      <c r="AT123" s="1036" t="str">
        <f t="shared" si="9"/>
        <v>H01446</v>
      </c>
      <c r="AU123" s="599" t="str">
        <f t="shared" si="10"/>
        <v>PCE DEPLACEMENT-REPRESENT</v>
      </c>
      <c r="AV123" s="1030">
        <f>IFERROR(INDEX(V123:AG123,1,MATCH(Parametres!$B$3,V$1:AG$1,0)-1)*IF(OR(C123="L",C123="S",C123="I"),-1,1),"")</f>
        <v>0</v>
      </c>
      <c r="AW123" s="1030">
        <f t="shared" si="11"/>
        <v>0</v>
      </c>
      <c r="AX123" s="1030">
        <f>INDEX(V123:AG123,1,MATCH(Parametres!$B$3,V$1:AG$1,0))*IF(OR(C123="L",C123="S",C123="I"),-1,1)</f>
        <v>0</v>
      </c>
      <c r="AY123" s="598" t="s">
        <v>337</v>
      </c>
      <c r="AZ123" s="598">
        <f>+VLOOKUP($AJ123,Data_Validation!$A:$E,5,0)</f>
        <v>0</v>
      </c>
    </row>
    <row r="124" spans="1:52" ht="15" customHeight="1">
      <c r="A124" s="832" t="s">
        <v>1150</v>
      </c>
      <c r="B124" s="832">
        <v>2025</v>
      </c>
      <c r="C124" s="832" t="s">
        <v>1394</v>
      </c>
      <c r="D124" s="832" t="s">
        <v>1395</v>
      </c>
      <c r="E124" s="832" t="s">
        <v>333</v>
      </c>
      <c r="F124" s="832" t="s">
        <v>1119</v>
      </c>
      <c r="G124" s="832">
        <v>56.04</v>
      </c>
      <c r="H124" s="832">
        <v>215.83</v>
      </c>
      <c r="I124" s="832">
        <v>292.13</v>
      </c>
      <c r="J124" s="832">
        <v>396.77</v>
      </c>
      <c r="K124" s="832">
        <v>449.12</v>
      </c>
      <c r="L124" s="832">
        <v>501.47</v>
      </c>
      <c r="M124" s="832">
        <v>602.85</v>
      </c>
      <c r="N124" s="832">
        <v>782.17</v>
      </c>
      <c r="O124" s="832">
        <v>858.27</v>
      </c>
      <c r="P124" s="832">
        <v>974.37</v>
      </c>
      <c r="Q124" s="832">
        <v>1074.47</v>
      </c>
      <c r="R124" s="832">
        <v>1153.3900000000001</v>
      </c>
      <c r="S124" s="832">
        <v>97.68</v>
      </c>
      <c r="T124" s="832">
        <v>97.68</v>
      </c>
      <c r="U124" s="832">
        <v>0</v>
      </c>
      <c r="V124" s="832">
        <v>0</v>
      </c>
      <c r="W124" s="832">
        <v>0</v>
      </c>
      <c r="X124" s="832">
        <v>0</v>
      </c>
      <c r="Y124" s="832">
        <v>0</v>
      </c>
      <c r="Z124" s="832">
        <v>0</v>
      </c>
      <c r="AA124" s="832">
        <v>0</v>
      </c>
      <c r="AB124" s="832">
        <v>0</v>
      </c>
      <c r="AC124" s="832">
        <v>0</v>
      </c>
      <c r="AD124" s="832">
        <v>0</v>
      </c>
      <c r="AE124" s="832">
        <v>0</v>
      </c>
      <c r="AF124" s="832">
        <v>0</v>
      </c>
      <c r="AG124" s="832">
        <v>0</v>
      </c>
      <c r="AH124" s="832">
        <v>0</v>
      </c>
      <c r="AI124" s="832">
        <v>0</v>
      </c>
      <c r="AJ124" s="1030" t="str">
        <f t="shared" si="6"/>
        <v>H01447</v>
      </c>
      <c r="AK124" s="1030" t="str">
        <f t="shared" si="7"/>
        <v>PCE TELEPHONE-TELEGRAMMES</v>
      </c>
      <c r="AL124" s="1030">
        <f>IFERROR(INDEX(G124:R124,1,MATCH(Parametres!$B$3,G$1:R$1,0)-1)*IF(OR(F124="L",F124="S",F124="I"),-1,1),"")</f>
        <v>396.77</v>
      </c>
      <c r="AM124" s="1030">
        <f t="shared" si="8"/>
        <v>52.350000000000023</v>
      </c>
      <c r="AN124" s="1030">
        <f>INDEX(G124:R124,1,MATCH(Parametres!$B$3,G$1:R$1,0))*IF(OR(F124="L",F124="S",F124="I"),-1,1)</f>
        <v>449.12</v>
      </c>
      <c r="AO124" s="598" t="str">
        <f>+VLOOKUP($AJ124,Data_Validation!$A:$D,1,0)</f>
        <v>H01447</v>
      </c>
      <c r="AP124" s="598" t="str">
        <f>+VLOOKUP($AJ124,Data_Validation!$A:$D,3,0)</f>
        <v>Pièces</v>
      </c>
      <c r="AQ124" s="598" t="str">
        <f>+VLOOKUP($AJ124,Data_Validation!$A:$D,4,0)</f>
        <v>Téléphone</v>
      </c>
      <c r="AR124" s="598" t="s">
        <v>299</v>
      </c>
      <c r="AS124" s="598">
        <f>+VLOOKUP($AJ124,Data_Validation!$A:$E,5,0)</f>
        <v>0</v>
      </c>
      <c r="AT124" s="1036" t="str">
        <f t="shared" si="9"/>
        <v>H01447</v>
      </c>
      <c r="AU124" s="599" t="str">
        <f t="shared" si="10"/>
        <v>PCE TELEPHONE-TELEGRAMMES</v>
      </c>
      <c r="AV124" s="1030">
        <f>IFERROR(INDEX(V124:AG124,1,MATCH(Parametres!$B$3,V$1:AG$1,0)-1)*IF(OR(C124="L",C124="S",C124="I"),-1,1),"")</f>
        <v>0</v>
      </c>
      <c r="AW124" s="1030">
        <f t="shared" si="11"/>
        <v>0</v>
      </c>
      <c r="AX124" s="1030">
        <f>INDEX(V124:AG124,1,MATCH(Parametres!$B$3,V$1:AG$1,0))*IF(OR(C124="L",C124="S",C124="I"),-1,1)</f>
        <v>0</v>
      </c>
      <c r="AY124" s="598" t="s">
        <v>337</v>
      </c>
      <c r="AZ124" s="598">
        <f>+VLOOKUP($AJ124,Data_Validation!$A:$E,5,0)</f>
        <v>0</v>
      </c>
    </row>
    <row r="125" spans="1:52" ht="15" customHeight="1">
      <c r="A125" s="832" t="s">
        <v>1150</v>
      </c>
      <c r="B125" s="832">
        <v>2025</v>
      </c>
      <c r="C125" s="832" t="s">
        <v>1396</v>
      </c>
      <c r="D125" s="832" t="s">
        <v>1397</v>
      </c>
      <c r="E125" s="832" t="s">
        <v>333</v>
      </c>
      <c r="F125" s="832" t="s">
        <v>1119</v>
      </c>
      <c r="G125" s="832">
        <v>0</v>
      </c>
      <c r="H125" s="832">
        <v>0</v>
      </c>
      <c r="I125" s="832">
        <v>0</v>
      </c>
      <c r="J125" s="832">
        <v>0</v>
      </c>
      <c r="K125" s="832">
        <v>0</v>
      </c>
      <c r="L125" s="832">
        <v>0</v>
      </c>
      <c r="M125" s="832">
        <v>0</v>
      </c>
      <c r="N125" s="832">
        <v>0</v>
      </c>
      <c r="O125" s="832">
        <v>0</v>
      </c>
      <c r="P125" s="832">
        <v>0</v>
      </c>
      <c r="Q125" s="832">
        <v>0</v>
      </c>
      <c r="R125" s="832">
        <v>0</v>
      </c>
      <c r="S125" s="832">
        <v>0</v>
      </c>
      <c r="T125" s="832">
        <v>0</v>
      </c>
      <c r="U125" s="832">
        <v>0</v>
      </c>
      <c r="V125" s="832">
        <v>0</v>
      </c>
      <c r="W125" s="832">
        <v>0</v>
      </c>
      <c r="X125" s="832">
        <v>0</v>
      </c>
      <c r="Y125" s="832">
        <v>0</v>
      </c>
      <c r="Z125" s="832">
        <v>0</v>
      </c>
      <c r="AA125" s="832">
        <v>0</v>
      </c>
      <c r="AB125" s="832">
        <v>0</v>
      </c>
      <c r="AC125" s="832">
        <v>0</v>
      </c>
      <c r="AD125" s="832">
        <v>0</v>
      </c>
      <c r="AE125" s="832">
        <v>0</v>
      </c>
      <c r="AF125" s="832">
        <v>0</v>
      </c>
      <c r="AG125" s="832">
        <v>0</v>
      </c>
      <c r="AH125" s="832">
        <v>0</v>
      </c>
      <c r="AI125" s="832">
        <v>0</v>
      </c>
      <c r="AJ125" s="1030" t="str">
        <f t="shared" si="6"/>
        <v>H01448</v>
      </c>
      <c r="AK125" s="1030" t="str">
        <f t="shared" si="7"/>
        <v>PCE FRAIS POSTAUX</v>
      </c>
      <c r="AL125" s="1030">
        <f>IFERROR(INDEX(G125:R125,1,MATCH(Parametres!$B$3,G$1:R$1,0)-1)*IF(OR(F125="L",F125="S",F125="I"),-1,1),"")</f>
        <v>0</v>
      </c>
      <c r="AM125" s="1030">
        <f t="shared" si="8"/>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t="str">
        <f t="shared" si="9"/>
        <v>H01448</v>
      </c>
      <c r="AU125" s="599" t="str">
        <f t="shared" si="10"/>
        <v>PCE FRAIS POSTAUX</v>
      </c>
      <c r="AV125" s="1030">
        <f>IFERROR(INDEX(V125:AG125,1,MATCH(Parametres!$B$3,V$1:AG$1,0)-1)*IF(OR(C125="L",C125="S",C125="I"),-1,1),"")</f>
        <v>0</v>
      </c>
      <c r="AW125" s="1030">
        <f t="shared" si="11"/>
        <v>0</v>
      </c>
      <c r="AX125" s="1030">
        <f>INDEX(V125:AG125,1,MATCH(Parametres!$B$3,V$1:AG$1,0))*IF(OR(C125="L",C125="S",C125="I"),-1,1)</f>
        <v>0</v>
      </c>
      <c r="AY125" s="598" t="s">
        <v>337</v>
      </c>
      <c r="AZ125" s="598" t="e">
        <f>+VLOOKUP($AJ125,Data_Validation!$A:$E,5,0)</f>
        <v>#N/A</v>
      </c>
    </row>
    <row r="126" spans="1:52" ht="15" customHeight="1">
      <c r="A126" s="832" t="s">
        <v>1150</v>
      </c>
      <c r="B126" s="832">
        <v>2025</v>
      </c>
      <c r="C126" s="832" t="s">
        <v>1398</v>
      </c>
      <c r="D126" s="832" t="s">
        <v>1399</v>
      </c>
      <c r="E126" s="832" t="s">
        <v>333</v>
      </c>
      <c r="F126" s="832" t="s">
        <v>1119</v>
      </c>
      <c r="G126" s="832">
        <v>15876.92</v>
      </c>
      <c r="H126" s="832">
        <v>35040.78</v>
      </c>
      <c r="I126" s="832">
        <v>58012.7</v>
      </c>
      <c r="J126" s="832">
        <v>71393.789999999994</v>
      </c>
      <c r="K126" s="832">
        <v>86949.58</v>
      </c>
      <c r="L126" s="832">
        <v>100770.52</v>
      </c>
      <c r="M126" s="832">
        <v>118222.92</v>
      </c>
      <c r="N126" s="832">
        <v>131667.76999999999</v>
      </c>
      <c r="O126" s="832">
        <v>149538.76</v>
      </c>
      <c r="P126" s="832">
        <v>168914.21</v>
      </c>
      <c r="Q126" s="832">
        <v>184048.49</v>
      </c>
      <c r="R126" s="832">
        <v>198117.63</v>
      </c>
      <c r="S126" s="832">
        <v>16731.68</v>
      </c>
      <c r="T126" s="832">
        <v>16731.68</v>
      </c>
      <c r="U126" s="832">
        <v>0</v>
      </c>
      <c r="V126" s="832">
        <v>0</v>
      </c>
      <c r="W126" s="832">
        <v>0</v>
      </c>
      <c r="X126" s="832">
        <v>0</v>
      </c>
      <c r="Y126" s="832">
        <v>0</v>
      </c>
      <c r="Z126" s="832">
        <v>0</v>
      </c>
      <c r="AA126" s="832">
        <v>0</v>
      </c>
      <c r="AB126" s="832">
        <v>0</v>
      </c>
      <c r="AC126" s="832">
        <v>0</v>
      </c>
      <c r="AD126" s="832">
        <v>0</v>
      </c>
      <c r="AE126" s="832">
        <v>0</v>
      </c>
      <c r="AF126" s="832">
        <v>0</v>
      </c>
      <c r="AG126" s="832">
        <v>0</v>
      </c>
      <c r="AH126" s="832">
        <v>0</v>
      </c>
      <c r="AI126" s="832">
        <v>0</v>
      </c>
      <c r="AJ126" s="1030" t="str">
        <f t="shared" si="6"/>
        <v>H01449</v>
      </c>
      <c r="AK126" s="1030" t="str">
        <f t="shared" si="7"/>
        <v>PCE FRET &amp; MESSAGERIE</v>
      </c>
      <c r="AL126" s="1030">
        <f>IFERROR(INDEX(G126:R126,1,MATCH(Parametres!$B$3,G$1:R$1,0)-1)*IF(OR(F126="L",F126="S",F126="I"),-1,1),"")</f>
        <v>71393.789999999994</v>
      </c>
      <c r="AM126" s="1030">
        <f t="shared" si="8"/>
        <v>15555.790000000008</v>
      </c>
      <c r="AN126" s="1030">
        <f>INDEX(G126:R126,1,MATCH(Parametres!$B$3,G$1:R$1,0))*IF(OR(F126="L",F126="S",F126="I"),-1,1)</f>
        <v>86949.58</v>
      </c>
      <c r="AO126" s="598" t="str">
        <f>+VLOOKUP($AJ126,Data_Validation!$A:$D,1,0)</f>
        <v>H01449</v>
      </c>
      <c r="AP126" s="598" t="str">
        <f>+VLOOKUP($AJ126,Data_Validation!$A:$D,3,0)</f>
        <v>Pièces</v>
      </c>
      <c r="AQ126" s="598" t="str">
        <f>+VLOOKUP($AJ126,Data_Validation!$A:$D,4,0)</f>
        <v>Services extérieurs</v>
      </c>
      <c r="AR126" s="598" t="s">
        <v>299</v>
      </c>
      <c r="AS126" s="598">
        <f>+VLOOKUP($AJ126,Data_Validation!$A:$E,5,0)</f>
        <v>0</v>
      </c>
      <c r="AT126" s="1036" t="str">
        <f t="shared" si="9"/>
        <v>H01449</v>
      </c>
      <c r="AU126" s="599" t="str">
        <f t="shared" si="10"/>
        <v>PCE FRET &amp; MESSAGERIE</v>
      </c>
      <c r="AV126" s="1030">
        <f>IFERROR(INDEX(V126:AG126,1,MATCH(Parametres!$B$3,V$1:AG$1,0)-1)*IF(OR(C126="L",C126="S",C126="I"),-1,1),"")</f>
        <v>0</v>
      </c>
      <c r="AW126" s="1030">
        <f t="shared" si="11"/>
        <v>0</v>
      </c>
      <c r="AX126" s="1030">
        <f>INDEX(V126:AG126,1,MATCH(Parametres!$B$3,V$1:AG$1,0))*IF(OR(C126="L",C126="S",C126="I"),-1,1)</f>
        <v>0</v>
      </c>
      <c r="AY126" s="598" t="s">
        <v>337</v>
      </c>
      <c r="AZ126" s="598">
        <f>+VLOOKUP($AJ126,Data_Validation!$A:$E,5,0)</f>
        <v>0</v>
      </c>
    </row>
    <row r="127" spans="1:52" ht="15" customHeight="1">
      <c r="A127" s="832" t="s">
        <v>1150</v>
      </c>
      <c r="B127" s="832">
        <v>2025</v>
      </c>
      <c r="C127" s="832" t="s">
        <v>1400</v>
      </c>
      <c r="D127" s="832" t="s">
        <v>1401</v>
      </c>
      <c r="E127" s="832" t="s">
        <v>333</v>
      </c>
      <c r="F127" s="832" t="s">
        <v>1119</v>
      </c>
      <c r="G127" s="832">
        <v>74.760000000000005</v>
      </c>
      <c r="H127" s="832">
        <v>74.760000000000005</v>
      </c>
      <c r="I127" s="832">
        <v>139.76</v>
      </c>
      <c r="J127" s="832">
        <v>139.76</v>
      </c>
      <c r="K127" s="832">
        <v>139.76</v>
      </c>
      <c r="L127" s="832">
        <v>139.76</v>
      </c>
      <c r="M127" s="832">
        <v>139.76</v>
      </c>
      <c r="N127" s="832">
        <v>139.76</v>
      </c>
      <c r="O127" s="832">
        <v>204.76</v>
      </c>
      <c r="P127" s="832">
        <v>204.76</v>
      </c>
      <c r="Q127" s="832">
        <v>244.76</v>
      </c>
      <c r="R127" s="832">
        <v>244.76</v>
      </c>
      <c r="S127" s="832">
        <v>22.25</v>
      </c>
      <c r="T127" s="832">
        <v>22.25</v>
      </c>
      <c r="U127" s="832">
        <v>0</v>
      </c>
      <c r="V127" s="832">
        <v>0</v>
      </c>
      <c r="W127" s="832">
        <v>0</v>
      </c>
      <c r="X127" s="832">
        <v>0</v>
      </c>
      <c r="Y127" s="832">
        <v>0</v>
      </c>
      <c r="Z127" s="832">
        <v>0</v>
      </c>
      <c r="AA127" s="832">
        <v>0</v>
      </c>
      <c r="AB127" s="832">
        <v>0</v>
      </c>
      <c r="AC127" s="832">
        <v>0</v>
      </c>
      <c r="AD127" s="832">
        <v>0</v>
      </c>
      <c r="AE127" s="832">
        <v>0</v>
      </c>
      <c r="AF127" s="832">
        <v>0</v>
      </c>
      <c r="AG127" s="832">
        <v>0</v>
      </c>
      <c r="AH127" s="832">
        <v>0</v>
      </c>
      <c r="AI127" s="832">
        <v>0</v>
      </c>
      <c r="AJ127" s="1030" t="str">
        <f t="shared" si="6"/>
        <v>H01452</v>
      </c>
      <c r="AK127" s="1030" t="str">
        <f t="shared" si="7"/>
        <v>PCE FRAIS DIVERS</v>
      </c>
      <c r="AL127" s="1030">
        <f>IFERROR(INDEX(G127:R127,1,MATCH(Parametres!$B$3,G$1:R$1,0)-1)*IF(OR(F127="L",F127="S",F127="I"),-1,1),"")</f>
        <v>139.76</v>
      </c>
      <c r="AM127" s="1030">
        <f t="shared" si="8"/>
        <v>0</v>
      </c>
      <c r="AN127" s="1030">
        <f>INDEX(G127:R127,1,MATCH(Parametres!$B$3,G$1:R$1,0))*IF(OR(F127="L",F127="S",F127="I"),-1,1)</f>
        <v>139.76</v>
      </c>
      <c r="AO127" s="598" t="str">
        <f>+VLOOKUP($AJ127,Data_Validation!$A:$D,1,0)</f>
        <v>H01452</v>
      </c>
      <c r="AP127" s="598" t="str">
        <f>+VLOOKUP($AJ127,Data_Validation!$A:$D,3,0)</f>
        <v>Pièces</v>
      </c>
      <c r="AQ127" s="598" t="str">
        <f>+VLOOKUP($AJ127,Data_Validation!$A:$D,4,0)</f>
        <v>Divers</v>
      </c>
      <c r="AR127" s="598" t="s">
        <v>299</v>
      </c>
      <c r="AS127" s="598">
        <f>+VLOOKUP($AJ127,Data_Validation!$A:$E,5,0)</f>
        <v>0</v>
      </c>
      <c r="AT127" s="1036" t="str">
        <f t="shared" si="9"/>
        <v>H01452</v>
      </c>
      <c r="AU127" s="599" t="str">
        <f t="shared" si="10"/>
        <v>PCE FRAIS DIVERS</v>
      </c>
      <c r="AV127" s="1030">
        <f>IFERROR(INDEX(V127:AG127,1,MATCH(Parametres!$B$3,V$1:AG$1,0)-1)*IF(OR(C127="L",C127="S",C127="I"),-1,1),"")</f>
        <v>0</v>
      </c>
      <c r="AW127" s="1030">
        <f t="shared" si="11"/>
        <v>0</v>
      </c>
      <c r="AX127" s="1030">
        <f>INDEX(V127:AG127,1,MATCH(Parametres!$B$3,V$1:AG$1,0))*IF(OR(C127="L",C127="S",C127="I"),-1,1)</f>
        <v>0</v>
      </c>
      <c r="AY127" s="598" t="s">
        <v>337</v>
      </c>
      <c r="AZ127" s="598">
        <f>+VLOOKUP($AJ127,Data_Validation!$A:$E,5,0)</f>
        <v>0</v>
      </c>
    </row>
    <row r="128" spans="1:52" ht="15" customHeight="1">
      <c r="A128" s="832" t="s">
        <v>1150</v>
      </c>
      <c r="B128" s="832">
        <v>2025</v>
      </c>
      <c r="C128" s="832" t="s">
        <v>1402</v>
      </c>
      <c r="D128" s="832" t="s">
        <v>1403</v>
      </c>
      <c r="E128" s="832" t="s">
        <v>333</v>
      </c>
      <c r="F128" s="832" t="s">
        <v>1119</v>
      </c>
      <c r="G128" s="832">
        <v>32500</v>
      </c>
      <c r="H128" s="832">
        <v>65000</v>
      </c>
      <c r="I128" s="832">
        <v>97500</v>
      </c>
      <c r="J128" s="832">
        <v>130000</v>
      </c>
      <c r="K128" s="832">
        <v>162500</v>
      </c>
      <c r="L128" s="832">
        <v>195000</v>
      </c>
      <c r="M128" s="832">
        <v>227500</v>
      </c>
      <c r="N128" s="832">
        <v>260000</v>
      </c>
      <c r="O128" s="832">
        <v>292500</v>
      </c>
      <c r="P128" s="832">
        <v>325000</v>
      </c>
      <c r="Q128" s="832">
        <v>357500</v>
      </c>
      <c r="R128" s="832">
        <v>381250</v>
      </c>
      <c r="S128" s="832">
        <v>32500</v>
      </c>
      <c r="T128" s="832">
        <v>32500</v>
      </c>
      <c r="U128" s="832">
        <v>0</v>
      </c>
      <c r="V128" s="832">
        <v>0</v>
      </c>
      <c r="W128" s="832">
        <v>0</v>
      </c>
      <c r="X128" s="832">
        <v>0</v>
      </c>
      <c r="Y128" s="832">
        <v>0</v>
      </c>
      <c r="Z128" s="832">
        <v>0</v>
      </c>
      <c r="AA128" s="832">
        <v>0</v>
      </c>
      <c r="AB128" s="832">
        <v>0</v>
      </c>
      <c r="AC128" s="832">
        <v>0</v>
      </c>
      <c r="AD128" s="832">
        <v>0</v>
      </c>
      <c r="AE128" s="832">
        <v>0</v>
      </c>
      <c r="AF128" s="832">
        <v>0</v>
      </c>
      <c r="AG128" s="832">
        <v>0</v>
      </c>
      <c r="AH128" s="832">
        <v>0</v>
      </c>
      <c r="AI128" s="832">
        <v>0</v>
      </c>
      <c r="AJ128" s="1030" t="str">
        <f t="shared" si="6"/>
        <v>H01460</v>
      </c>
      <c r="AK128" s="1030" t="str">
        <f t="shared" si="7"/>
        <v>PCE LOYER INT HYPOTH.</v>
      </c>
      <c r="AL128" s="1030">
        <f>IFERROR(INDEX(G128:R128,1,MATCH(Parametres!$B$3,G$1:R$1,0)-1)*IF(OR(F128="L",F128="S",F128="I"),-1,1),"")</f>
        <v>130000</v>
      </c>
      <c r="AM128" s="1030">
        <f t="shared" si="8"/>
        <v>32500</v>
      </c>
      <c r="AN128" s="1030">
        <f>INDEX(G128:R128,1,MATCH(Parametres!$B$3,G$1:R$1,0))*IF(OR(F128="L",F128="S",F128="I"),-1,1)</f>
        <v>162500</v>
      </c>
      <c r="AO128" s="598" t="str">
        <f>+VLOOKUP($AJ128,Data_Validation!$A:$D,1,0)</f>
        <v>H01460</v>
      </c>
      <c r="AP128" s="598" t="str">
        <f>+VLOOKUP($AJ128,Data_Validation!$A:$D,3,0)</f>
        <v>Pièces</v>
      </c>
      <c r="AQ128" s="598" t="str">
        <f>+VLOOKUP($AJ128,Data_Validation!$A:$D,4,0)</f>
        <v>Loyer</v>
      </c>
      <c r="AR128" s="598" t="s">
        <v>299</v>
      </c>
      <c r="AS128" s="598">
        <f>+VLOOKUP($AJ128,Data_Validation!$A:$E,5,0)</f>
        <v>0</v>
      </c>
      <c r="AT128" s="1036" t="str">
        <f t="shared" si="9"/>
        <v>H01460</v>
      </c>
      <c r="AU128" s="599" t="str">
        <f t="shared" si="10"/>
        <v>PCE LOYER INT HYPOTH.</v>
      </c>
      <c r="AV128" s="1030">
        <f>IFERROR(INDEX(V128:AG128,1,MATCH(Parametres!$B$3,V$1:AG$1,0)-1)*IF(OR(C128="L",C128="S",C128="I"),-1,1),"")</f>
        <v>0</v>
      </c>
      <c r="AW128" s="1030">
        <f t="shared" si="11"/>
        <v>0</v>
      </c>
      <c r="AX128" s="1030">
        <f>INDEX(V128:AG128,1,MATCH(Parametres!$B$3,V$1:AG$1,0))*IF(OR(C128="L",C128="S",C128="I"),-1,1)</f>
        <v>0</v>
      </c>
      <c r="AY128" s="598" t="s">
        <v>337</v>
      </c>
      <c r="AZ128" s="598">
        <f>+VLOOKUP($AJ128,Data_Validation!$A:$E,5,0)</f>
        <v>0</v>
      </c>
    </row>
    <row r="129" spans="1:52" ht="15" customHeight="1">
      <c r="A129" s="832" t="s">
        <v>1150</v>
      </c>
      <c r="B129" s="832">
        <v>2025</v>
      </c>
      <c r="C129" s="832" t="s">
        <v>1404</v>
      </c>
      <c r="D129" s="832" t="s">
        <v>1405</v>
      </c>
      <c r="E129" s="832" t="s">
        <v>333</v>
      </c>
      <c r="F129" s="832" t="s">
        <v>1119</v>
      </c>
      <c r="G129" s="832">
        <v>148.16</v>
      </c>
      <c r="H129" s="832">
        <v>296.32</v>
      </c>
      <c r="I129" s="832">
        <v>440.3</v>
      </c>
      <c r="J129" s="832">
        <v>581.4</v>
      </c>
      <c r="K129" s="832">
        <v>752.96</v>
      </c>
      <c r="L129" s="832">
        <v>921.09</v>
      </c>
      <c r="M129" s="832">
        <v>1052.8800000000001</v>
      </c>
      <c r="N129" s="832">
        <v>1182.04</v>
      </c>
      <c r="O129" s="832">
        <v>1308.6099999999999</v>
      </c>
      <c r="P129" s="832">
        <v>1365.55</v>
      </c>
      <c r="Q129" s="832">
        <v>1420.23</v>
      </c>
      <c r="R129" s="832">
        <v>1474.91</v>
      </c>
      <c r="S129" s="832">
        <v>129.11000000000001</v>
      </c>
      <c r="T129" s="832">
        <v>129.11000000000001</v>
      </c>
      <c r="U129" s="832">
        <v>0</v>
      </c>
      <c r="V129" s="832">
        <v>0</v>
      </c>
      <c r="W129" s="832">
        <v>0</v>
      </c>
      <c r="X129" s="832">
        <v>0</v>
      </c>
      <c r="Y129" s="832">
        <v>0</v>
      </c>
      <c r="Z129" s="832">
        <v>0</v>
      </c>
      <c r="AA129" s="832">
        <v>0</v>
      </c>
      <c r="AB129" s="832">
        <v>0</v>
      </c>
      <c r="AC129" s="832">
        <v>0</v>
      </c>
      <c r="AD129" s="832">
        <v>0</v>
      </c>
      <c r="AE129" s="832">
        <v>0</v>
      </c>
      <c r="AF129" s="832">
        <v>0</v>
      </c>
      <c r="AG129" s="832">
        <v>0</v>
      </c>
      <c r="AH129" s="832">
        <v>0</v>
      </c>
      <c r="AI129" s="832">
        <v>0</v>
      </c>
      <c r="AJ129" s="1030" t="str">
        <f t="shared" si="6"/>
        <v>H01461</v>
      </c>
      <c r="AK129" s="1030" t="str">
        <f t="shared" si="7"/>
        <v>PCE AMORT AMELIOR  LOC</v>
      </c>
      <c r="AL129" s="1030">
        <f>IFERROR(INDEX(G129:R129,1,MATCH(Parametres!$B$3,G$1:R$1,0)-1)*IF(OR(F129="L",F129="S",F129="I"),-1,1),"")</f>
        <v>581.4</v>
      </c>
      <c r="AM129" s="1030">
        <f t="shared" si="8"/>
        <v>171.56000000000006</v>
      </c>
      <c r="AN129" s="1030">
        <f>INDEX(G129:R129,1,MATCH(Parametres!$B$3,G$1:R$1,0))*IF(OR(F129="L",F129="S",F129="I"),-1,1)</f>
        <v>752.96</v>
      </c>
      <c r="AO129" s="598" t="str">
        <f>+VLOOKUP($AJ129,Data_Validation!$A:$D,1,0)</f>
        <v>H01461</v>
      </c>
      <c r="AP129" s="598" t="str">
        <f>+VLOOKUP($AJ129,Data_Validation!$A:$D,3,0)</f>
        <v>Pièces</v>
      </c>
      <c r="AQ129" s="598" t="str">
        <f>+VLOOKUP($AJ129,Data_Validation!$A:$D,4,0)</f>
        <v>Amortissement</v>
      </c>
      <c r="AR129" s="598" t="s">
        <v>299</v>
      </c>
      <c r="AS129" s="598">
        <f>+VLOOKUP($AJ129,Data_Validation!$A:$E,5,0)</f>
        <v>0</v>
      </c>
      <c r="AT129" s="1036" t="str">
        <f t="shared" si="9"/>
        <v>H01461</v>
      </c>
      <c r="AU129" s="599" t="str">
        <f t="shared" si="10"/>
        <v>PCE AMORT AMELIOR  LOC</v>
      </c>
      <c r="AV129" s="1030">
        <f>IFERROR(INDEX(V129:AG129,1,MATCH(Parametres!$B$3,V$1:AG$1,0)-1)*IF(OR(C129="L",C129="S",C129="I"),-1,1),"")</f>
        <v>0</v>
      </c>
      <c r="AW129" s="1030">
        <f t="shared" si="11"/>
        <v>0</v>
      </c>
      <c r="AX129" s="1030">
        <f>INDEX(V129:AG129,1,MATCH(Parametres!$B$3,V$1:AG$1,0))*IF(OR(C129="L",C129="S",C129="I"),-1,1)</f>
        <v>0</v>
      </c>
      <c r="AY129" s="598" t="s">
        <v>337</v>
      </c>
      <c r="AZ129" s="598">
        <f>+VLOOKUP($AJ129,Data_Validation!$A:$E,5,0)</f>
        <v>0</v>
      </c>
    </row>
    <row r="130" spans="1:52" ht="15" customHeight="1">
      <c r="A130" s="832" t="s">
        <v>1150</v>
      </c>
      <c r="B130" s="832">
        <v>2025</v>
      </c>
      <c r="C130" s="832" t="s">
        <v>1406</v>
      </c>
      <c r="D130" s="832" t="s">
        <v>1407</v>
      </c>
      <c r="E130" s="832" t="s">
        <v>333</v>
      </c>
      <c r="F130" s="832" t="s">
        <v>1119</v>
      </c>
      <c r="G130" s="832">
        <v>1459.27</v>
      </c>
      <c r="H130" s="832">
        <v>4411.2299999999996</v>
      </c>
      <c r="I130" s="832">
        <v>9355.36</v>
      </c>
      <c r="J130" s="832">
        <v>11636.46</v>
      </c>
      <c r="K130" s="832">
        <v>12887.11</v>
      </c>
      <c r="L130" s="832">
        <v>13912.93</v>
      </c>
      <c r="M130" s="832">
        <v>16849.47</v>
      </c>
      <c r="N130" s="832">
        <v>19092.03</v>
      </c>
      <c r="O130" s="832">
        <v>20411.060000000001</v>
      </c>
      <c r="P130" s="832">
        <v>22148.97</v>
      </c>
      <c r="Q130" s="832">
        <v>22606.7</v>
      </c>
      <c r="R130" s="832">
        <v>22847.919999999998</v>
      </c>
      <c r="S130" s="832">
        <v>2055.15</v>
      </c>
      <c r="T130" s="832">
        <v>2055.15</v>
      </c>
      <c r="U130" s="832">
        <v>0</v>
      </c>
      <c r="V130" s="832">
        <v>0</v>
      </c>
      <c r="W130" s="832">
        <v>0</v>
      </c>
      <c r="X130" s="832">
        <v>0</v>
      </c>
      <c r="Y130" s="832">
        <v>0</v>
      </c>
      <c r="Z130" s="832">
        <v>0</v>
      </c>
      <c r="AA130" s="832">
        <v>0</v>
      </c>
      <c r="AB130" s="832">
        <v>0</v>
      </c>
      <c r="AC130" s="832">
        <v>0</v>
      </c>
      <c r="AD130" s="832">
        <v>0</v>
      </c>
      <c r="AE130" s="832">
        <v>0</v>
      </c>
      <c r="AF130" s="832">
        <v>0</v>
      </c>
      <c r="AG130" s="832">
        <v>0</v>
      </c>
      <c r="AH130" s="832">
        <v>0</v>
      </c>
      <c r="AI130" s="832">
        <v>0</v>
      </c>
      <c r="AJ130" s="1030" t="str">
        <f t="shared" si="6"/>
        <v>H01462</v>
      </c>
      <c r="AK130" s="1030" t="str">
        <f t="shared" si="7"/>
        <v>PCE ENTRERIEN PROPRIÉTÉ</v>
      </c>
      <c r="AL130" s="1030">
        <f>IFERROR(INDEX(G130:R130,1,MATCH(Parametres!$B$3,G$1:R$1,0)-1)*IF(OR(F130="L",F130="S",F130="I"),-1,1),"")</f>
        <v>11636.46</v>
      </c>
      <c r="AM130" s="1030">
        <f t="shared" si="8"/>
        <v>1250.6500000000015</v>
      </c>
      <c r="AN130" s="1030">
        <f>INDEX(G130:R130,1,MATCH(Parametres!$B$3,G$1:R$1,0))*IF(OR(F130="L",F130="S",F130="I"),-1,1)</f>
        <v>12887.11</v>
      </c>
      <c r="AO130" s="598" t="str">
        <f>+VLOOKUP($AJ130,Data_Validation!$A:$D,1,0)</f>
        <v>H01462</v>
      </c>
      <c r="AP130" s="598" t="str">
        <f>+VLOOKUP($AJ130,Data_Validation!$A:$D,3,0)</f>
        <v>Autres</v>
      </c>
      <c r="AQ130" s="598" t="str">
        <f>+VLOOKUP($AJ130,Data_Validation!$A:$D,4,0)</f>
        <v>Services extérieurs</v>
      </c>
      <c r="AR130" s="598" t="s">
        <v>299</v>
      </c>
      <c r="AS130" s="598">
        <f>+VLOOKUP($AJ130,Data_Validation!$A:$E,5,0)</f>
        <v>0</v>
      </c>
      <c r="AT130" s="1036" t="str">
        <f t="shared" si="9"/>
        <v>H01462</v>
      </c>
      <c r="AU130" s="599" t="str">
        <f t="shared" si="10"/>
        <v>PCE ENTRERIEN PROPRIÉTÉ</v>
      </c>
      <c r="AV130" s="1030">
        <f>IFERROR(INDEX(V130:AG130,1,MATCH(Parametres!$B$3,V$1:AG$1,0)-1)*IF(OR(C130="L",C130="S",C130="I"),-1,1),"")</f>
        <v>0</v>
      </c>
      <c r="AW130" s="1030">
        <f t="shared" si="11"/>
        <v>0</v>
      </c>
      <c r="AX130" s="1030">
        <f>INDEX(V130:AG130,1,MATCH(Parametres!$B$3,V$1:AG$1,0))*IF(OR(C130="L",C130="S",C130="I"),-1,1)</f>
        <v>0</v>
      </c>
      <c r="AY130" s="598" t="s">
        <v>337</v>
      </c>
      <c r="AZ130" s="598">
        <f>+VLOOKUP($AJ130,Data_Validation!$A:$E,5,0)</f>
        <v>0</v>
      </c>
    </row>
    <row r="131" spans="1:52" ht="15.75" customHeight="1">
      <c r="A131" s="832" t="s">
        <v>1150</v>
      </c>
      <c r="B131" s="832">
        <v>2025</v>
      </c>
      <c r="C131" s="832" t="s">
        <v>1408</v>
      </c>
      <c r="D131" s="832" t="s">
        <v>1409</v>
      </c>
      <c r="E131" s="832" t="s">
        <v>333</v>
      </c>
      <c r="F131" s="832" t="s">
        <v>1119</v>
      </c>
      <c r="G131" s="832">
        <v>8402.6</v>
      </c>
      <c r="H131" s="832">
        <v>16339.61</v>
      </c>
      <c r="I131" s="832">
        <v>24210.03</v>
      </c>
      <c r="J131" s="832">
        <v>32080.45</v>
      </c>
      <c r="K131" s="832">
        <v>39950.870000000003</v>
      </c>
      <c r="L131" s="832">
        <v>47821.29</v>
      </c>
      <c r="M131" s="832">
        <v>55691.71</v>
      </c>
      <c r="N131" s="832">
        <v>63562.13</v>
      </c>
      <c r="O131" s="832">
        <v>74164.58</v>
      </c>
      <c r="P131" s="832">
        <v>85243.27</v>
      </c>
      <c r="Q131" s="832">
        <v>93113.69</v>
      </c>
      <c r="R131" s="832">
        <v>99021.2</v>
      </c>
      <c r="S131" s="832">
        <v>8464.8799999999992</v>
      </c>
      <c r="T131" s="832">
        <v>8464.8799999999992</v>
      </c>
      <c r="U131" s="832">
        <v>0</v>
      </c>
      <c r="V131" s="832">
        <v>0</v>
      </c>
      <c r="W131" s="832">
        <v>0</v>
      </c>
      <c r="X131" s="832">
        <v>0</v>
      </c>
      <c r="Y131" s="832">
        <v>0</v>
      </c>
      <c r="Z131" s="832">
        <v>0</v>
      </c>
      <c r="AA131" s="832">
        <v>0</v>
      </c>
      <c r="AB131" s="832">
        <v>0</v>
      </c>
      <c r="AC131" s="832">
        <v>0</v>
      </c>
      <c r="AD131" s="832">
        <v>0</v>
      </c>
      <c r="AE131" s="832">
        <v>0</v>
      </c>
      <c r="AF131" s="832">
        <v>0</v>
      </c>
      <c r="AG131" s="832">
        <v>0</v>
      </c>
      <c r="AH131" s="832">
        <v>0</v>
      </c>
      <c r="AI131" s="832">
        <v>0</v>
      </c>
      <c r="AJ131" s="1030" t="str">
        <f t="shared" si="6"/>
        <v>H01463</v>
      </c>
      <c r="AK131" s="1030" t="str">
        <f t="shared" si="7"/>
        <v>PCE TAXES PROPRIÉTÉ</v>
      </c>
      <c r="AL131" s="1030">
        <f>IFERROR(INDEX(G131:R131,1,MATCH(Parametres!$B$3,G$1:R$1,0)-1)*IF(OR(F131="L",F131="S",F131="I"),-1,1),"")</f>
        <v>32080.45</v>
      </c>
      <c r="AM131" s="1030">
        <f t="shared" si="8"/>
        <v>7870.4200000000019</v>
      </c>
      <c r="AN131" s="1030">
        <f>INDEX(G131:R131,1,MATCH(Parametres!$B$3,G$1:R$1,0))*IF(OR(F131="L",F131="S",F131="I"),-1,1)</f>
        <v>39950.870000000003</v>
      </c>
      <c r="AO131" s="598" t="str">
        <f>+VLOOKUP($AJ131,Data_Validation!$A:$D,1,0)</f>
        <v>H01463</v>
      </c>
      <c r="AP131" s="598" t="str">
        <f>+VLOOKUP($AJ131,Data_Validation!$A:$D,3,0)</f>
        <v>Pièces</v>
      </c>
      <c r="AQ131" s="598" t="str">
        <f>+VLOOKUP($AJ131,Data_Validation!$A:$D,4,0)</f>
        <v>Taxes foncières</v>
      </c>
      <c r="AR131" s="598" t="s">
        <v>299</v>
      </c>
      <c r="AS131" s="598">
        <f>+VLOOKUP($AJ131,Data_Validation!$A:$E,5,0)</f>
        <v>0</v>
      </c>
      <c r="AT131" s="1036" t="str">
        <f t="shared" si="9"/>
        <v>H01463</v>
      </c>
      <c r="AU131" s="599" t="str">
        <f t="shared" si="10"/>
        <v>PCE TAXES PROPRIÉTÉ</v>
      </c>
      <c r="AV131" s="1030">
        <f>IFERROR(INDEX(V131:AG131,1,MATCH(Parametres!$B$3,V$1:AG$1,0)-1)*IF(OR(C131="L",C131="S",C131="I"),-1,1),"")</f>
        <v>0</v>
      </c>
      <c r="AW131" s="1030">
        <f t="shared" si="11"/>
        <v>0</v>
      </c>
      <c r="AX131" s="1030">
        <f>INDEX(V131:AG131,1,MATCH(Parametres!$B$3,V$1:AG$1,0))*IF(OR(C131="L",C131="S",C131="I"),-1,1)</f>
        <v>0</v>
      </c>
      <c r="AY131" s="598" t="s">
        <v>337</v>
      </c>
      <c r="AZ131" s="598">
        <f>+VLOOKUP($AJ131,Data_Validation!$A:$E,5,0)</f>
        <v>0</v>
      </c>
    </row>
    <row r="132" spans="1:52" ht="15" customHeight="1">
      <c r="A132" s="832" t="s">
        <v>1150</v>
      </c>
      <c r="B132" s="832">
        <v>2025</v>
      </c>
      <c r="C132" s="832" t="s">
        <v>1410</v>
      </c>
      <c r="D132" s="832" t="s">
        <v>1411</v>
      </c>
      <c r="E132" s="832" t="s">
        <v>333</v>
      </c>
      <c r="F132" s="832" t="s">
        <v>1119</v>
      </c>
      <c r="G132" s="832">
        <v>1184.5999999999999</v>
      </c>
      <c r="H132" s="832">
        <v>2369.1999999999998</v>
      </c>
      <c r="I132" s="832">
        <v>3553.8</v>
      </c>
      <c r="J132" s="832">
        <v>4738.3999999999996</v>
      </c>
      <c r="K132" s="832">
        <v>5923</v>
      </c>
      <c r="L132" s="832">
        <v>7107.6</v>
      </c>
      <c r="M132" s="832">
        <v>8292.2000000000007</v>
      </c>
      <c r="N132" s="832">
        <v>9330.68</v>
      </c>
      <c r="O132" s="832">
        <v>10369.16</v>
      </c>
      <c r="P132" s="832">
        <v>11407.64</v>
      </c>
      <c r="Q132" s="832">
        <v>12138.04</v>
      </c>
      <c r="R132" s="832">
        <v>12868.44</v>
      </c>
      <c r="S132" s="832">
        <v>1103.46</v>
      </c>
      <c r="T132" s="832">
        <v>1103.46</v>
      </c>
      <c r="U132" s="832">
        <v>0</v>
      </c>
      <c r="V132" s="832">
        <v>0</v>
      </c>
      <c r="W132" s="832">
        <v>0</v>
      </c>
      <c r="X132" s="832">
        <v>0</v>
      </c>
      <c r="Y132" s="832">
        <v>0</v>
      </c>
      <c r="Z132" s="832">
        <v>0</v>
      </c>
      <c r="AA132" s="832">
        <v>0</v>
      </c>
      <c r="AB132" s="832">
        <v>0</v>
      </c>
      <c r="AC132" s="832">
        <v>0</v>
      </c>
      <c r="AD132" s="832">
        <v>0</v>
      </c>
      <c r="AE132" s="832">
        <v>0</v>
      </c>
      <c r="AF132" s="832">
        <v>0</v>
      </c>
      <c r="AG132" s="832">
        <v>0</v>
      </c>
      <c r="AH132" s="832">
        <v>0</v>
      </c>
      <c r="AI132" s="832">
        <v>0</v>
      </c>
      <c r="AJ132" s="1030" t="str">
        <f t="shared" ref="AJ132:AJ195" si="12">C132</f>
        <v>H01464</v>
      </c>
      <c r="AK132" s="1030" t="str">
        <f t="shared" ref="AK132:AK195" si="13">D132</f>
        <v>PCE ASSURANCE BATIMENT</v>
      </c>
      <c r="AL132" s="1030">
        <f>IFERROR(INDEX(G132:R132,1,MATCH(Parametres!$B$3,G$1:R$1,0)-1)*IF(OR(F132="L",F132="S",F132="I"),-1,1),"")</f>
        <v>4738.3999999999996</v>
      </c>
      <c r="AM132" s="1030">
        <f t="shared" ref="AM132:AM195" si="14">AN132-N(AL132)</f>
        <v>1184.6000000000004</v>
      </c>
      <c r="AN132" s="1030">
        <f>INDEX(G132:R132,1,MATCH(Parametres!$B$3,G$1:R$1,0))*IF(OR(F132="L",F132="S",F132="I"),-1,1)</f>
        <v>5923</v>
      </c>
      <c r="AO132" s="598" t="str">
        <f>+VLOOKUP($AJ132,Data_Validation!$A:$D,1,0)</f>
        <v>H01464</v>
      </c>
      <c r="AP132" s="598" t="str">
        <f>+VLOOKUP($AJ132,Data_Validation!$A:$D,3,0)</f>
        <v>Pièces</v>
      </c>
      <c r="AQ132" s="598" t="str">
        <f>+VLOOKUP($AJ132,Data_Validation!$A:$D,4,0)</f>
        <v>Assurances</v>
      </c>
      <c r="AR132" s="598" t="s">
        <v>299</v>
      </c>
      <c r="AS132" s="598">
        <f>+VLOOKUP($AJ132,Data_Validation!$A:$E,5,0)</f>
        <v>0</v>
      </c>
      <c r="AT132" s="1036" t="str">
        <f t="shared" ref="AT132:AT195" si="15">C132</f>
        <v>H01464</v>
      </c>
      <c r="AU132" s="599" t="str">
        <f t="shared" ref="AU132:AU195" si="16">D132</f>
        <v>PCE ASSURANCE BATIMENT</v>
      </c>
      <c r="AV132" s="1030">
        <f>IFERROR(INDEX(V132:AG132,1,MATCH(Parametres!$B$3,V$1:AG$1,0)-1)*IF(OR(C132="L",C132="S",C132="I"),-1,1),"")</f>
        <v>0</v>
      </c>
      <c r="AW132" s="1030">
        <f t="shared" ref="AW132:AW195" si="17">AX132-N(AV132)</f>
        <v>0</v>
      </c>
      <c r="AX132" s="1030">
        <f>INDEX(V132:AG132,1,MATCH(Parametres!$B$3,V$1:AG$1,0))*IF(OR(C132="L",C132="S",C132="I"),-1,1)</f>
        <v>0</v>
      </c>
      <c r="AY132" s="598" t="s">
        <v>337</v>
      </c>
      <c r="AZ132" s="598">
        <f>+VLOOKUP($AJ132,Data_Validation!$A:$E,5,0)</f>
        <v>0</v>
      </c>
    </row>
    <row r="133" spans="1:52" ht="15" customHeight="1">
      <c r="A133" s="832" t="s">
        <v>1150</v>
      </c>
      <c r="B133" s="832">
        <v>2025</v>
      </c>
      <c r="C133" s="832" t="s">
        <v>1412</v>
      </c>
      <c r="D133" s="832" t="s">
        <v>1413</v>
      </c>
      <c r="E133" s="832" t="s">
        <v>333</v>
      </c>
      <c r="F133" s="832" t="s">
        <v>1119</v>
      </c>
      <c r="G133" s="832">
        <v>0</v>
      </c>
      <c r="H133" s="832">
        <v>0</v>
      </c>
      <c r="I133" s="832">
        <v>0</v>
      </c>
      <c r="J133" s="832">
        <v>0</v>
      </c>
      <c r="K133" s="832">
        <v>0</v>
      </c>
      <c r="L133" s="832">
        <v>0</v>
      </c>
      <c r="M133" s="832">
        <v>0</v>
      </c>
      <c r="N133" s="832">
        <v>0</v>
      </c>
      <c r="O133" s="832">
        <v>0</v>
      </c>
      <c r="P133" s="832">
        <v>0</v>
      </c>
      <c r="Q133" s="832">
        <v>0</v>
      </c>
      <c r="R133" s="832">
        <v>0</v>
      </c>
      <c r="S133" s="832">
        <v>0</v>
      </c>
      <c r="T133" s="832">
        <v>0</v>
      </c>
      <c r="U133" s="832">
        <v>0</v>
      </c>
      <c r="V133" s="832">
        <v>0</v>
      </c>
      <c r="W133" s="832">
        <v>0</v>
      </c>
      <c r="X133" s="832">
        <v>0</v>
      </c>
      <c r="Y133" s="832">
        <v>0</v>
      </c>
      <c r="Z133" s="832">
        <v>0</v>
      </c>
      <c r="AA133" s="832">
        <v>0</v>
      </c>
      <c r="AB133" s="832">
        <v>0</v>
      </c>
      <c r="AC133" s="832">
        <v>0</v>
      </c>
      <c r="AD133" s="832">
        <v>0</v>
      </c>
      <c r="AE133" s="832">
        <v>0</v>
      </c>
      <c r="AF133" s="832">
        <v>0</v>
      </c>
      <c r="AG133" s="832">
        <v>0</v>
      </c>
      <c r="AH133" s="832">
        <v>0</v>
      </c>
      <c r="AI133" s="832">
        <v>0</v>
      </c>
      <c r="AJ133" s="1030" t="str">
        <f t="shared" si="12"/>
        <v>H01465</v>
      </c>
      <c r="AK133" s="1030" t="str">
        <f t="shared" si="13"/>
        <v>PCE AMORT BATIMENT</v>
      </c>
      <c r="AL133" s="1030">
        <f>IFERROR(INDEX(G133:R133,1,MATCH(Parametres!$B$3,G$1:R$1,0)-1)*IF(OR(F133="L",F133="S",F133="I"),-1,1),"")</f>
        <v>0</v>
      </c>
      <c r="AM133" s="1030">
        <f t="shared" si="14"/>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t="str">
        <f t="shared" si="15"/>
        <v>H01465</v>
      </c>
      <c r="AU133" s="599" t="str">
        <f t="shared" si="16"/>
        <v>PCE AMORT BATIMENT</v>
      </c>
      <c r="AV133" s="1030">
        <f>IFERROR(INDEX(V133:AG133,1,MATCH(Parametres!$B$3,V$1:AG$1,0)-1)*IF(OR(C133="L",C133="S",C133="I"),-1,1),"")</f>
        <v>0</v>
      </c>
      <c r="AW133" s="1030">
        <f t="shared" si="17"/>
        <v>0</v>
      </c>
      <c r="AX133" s="1030">
        <f>INDEX(V133:AG133,1,MATCH(Parametres!$B$3,V$1:AG$1,0))*IF(OR(C133="L",C133="S",C133="I"),-1,1)</f>
        <v>0</v>
      </c>
      <c r="AY133" s="598" t="s">
        <v>337</v>
      </c>
      <c r="AZ133" s="598" t="e">
        <f>+VLOOKUP($AJ133,Data_Validation!$A:$E,5,0)</f>
        <v>#N/A</v>
      </c>
    </row>
    <row r="134" spans="1:52" ht="15" customHeight="1">
      <c r="A134" s="832" t="s">
        <v>1150</v>
      </c>
      <c r="B134" s="832">
        <v>2025</v>
      </c>
      <c r="C134" s="832" t="s">
        <v>1414</v>
      </c>
      <c r="D134" s="832" t="s">
        <v>1415</v>
      </c>
      <c r="E134" s="832" t="s">
        <v>333</v>
      </c>
      <c r="F134" s="832" t="s">
        <v>1119</v>
      </c>
      <c r="G134" s="832">
        <v>0</v>
      </c>
      <c r="H134" s="832">
        <v>0</v>
      </c>
      <c r="I134" s="832">
        <v>0</v>
      </c>
      <c r="J134" s="832">
        <v>0</v>
      </c>
      <c r="K134" s="832">
        <v>0</v>
      </c>
      <c r="L134" s="832">
        <v>0</v>
      </c>
      <c r="M134" s="832">
        <v>0</v>
      </c>
      <c r="N134" s="832">
        <v>0</v>
      </c>
      <c r="O134" s="832">
        <v>0</v>
      </c>
      <c r="P134" s="832">
        <v>0</v>
      </c>
      <c r="Q134" s="832">
        <v>0</v>
      </c>
      <c r="R134" s="832">
        <v>0</v>
      </c>
      <c r="S134" s="832">
        <v>0</v>
      </c>
      <c r="T134" s="832">
        <v>0</v>
      </c>
      <c r="U134" s="832">
        <v>0</v>
      </c>
      <c r="V134" s="832">
        <v>0</v>
      </c>
      <c r="W134" s="832">
        <v>0</v>
      </c>
      <c r="X134" s="832">
        <v>0</v>
      </c>
      <c r="Y134" s="832">
        <v>0</v>
      </c>
      <c r="Z134" s="832">
        <v>0</v>
      </c>
      <c r="AA134" s="832">
        <v>0</v>
      </c>
      <c r="AB134" s="832">
        <v>0</v>
      </c>
      <c r="AC134" s="832">
        <v>0</v>
      </c>
      <c r="AD134" s="832">
        <v>0</v>
      </c>
      <c r="AE134" s="832">
        <v>0</v>
      </c>
      <c r="AF134" s="832">
        <v>0</v>
      </c>
      <c r="AG134" s="832">
        <v>0</v>
      </c>
      <c r="AH134" s="832">
        <v>0</v>
      </c>
      <c r="AI134" s="832">
        <v>0</v>
      </c>
      <c r="AJ134" s="1030" t="str">
        <f t="shared" si="12"/>
        <v>H01468</v>
      </c>
      <c r="AK134" s="1030" t="str">
        <f t="shared" si="13"/>
        <v>PCE TAXES AFFAIRES&amp;AUTRES</v>
      </c>
      <c r="AL134" s="1030">
        <f>IFERROR(INDEX(G134:R134,1,MATCH(Parametres!$B$3,G$1:R$1,0)-1)*IF(OR(F134="L",F134="S",F134="I"),-1,1),"")</f>
        <v>0</v>
      </c>
      <c r="AM134" s="1030">
        <f t="shared" si="14"/>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t="str">
        <f t="shared" si="15"/>
        <v>H01468</v>
      </c>
      <c r="AU134" s="599" t="str">
        <f t="shared" si="16"/>
        <v>PCE TAXES AFFAIRES&amp;AUTRES</v>
      </c>
      <c r="AV134" s="1030">
        <f>IFERROR(INDEX(V134:AG134,1,MATCH(Parametres!$B$3,V$1:AG$1,0)-1)*IF(OR(C134="L",C134="S",C134="I"),-1,1),"")</f>
        <v>0</v>
      </c>
      <c r="AW134" s="1030">
        <f t="shared" si="17"/>
        <v>0</v>
      </c>
      <c r="AX134" s="1030">
        <f>INDEX(V134:AG134,1,MATCH(Parametres!$B$3,V$1:AG$1,0))*IF(OR(C134="L",C134="S",C134="I"),-1,1)</f>
        <v>0</v>
      </c>
      <c r="AY134" s="598" t="s">
        <v>337</v>
      </c>
      <c r="AZ134" s="598" t="e">
        <f>+VLOOKUP($AJ134,Data_Validation!$A:$E,5,0)</f>
        <v>#N/A</v>
      </c>
    </row>
    <row r="135" spans="1:52" ht="15.75" customHeight="1">
      <c r="A135" s="832" t="s">
        <v>1150</v>
      </c>
      <c r="B135" s="832">
        <v>2025</v>
      </c>
      <c r="C135" s="832" t="s">
        <v>1416</v>
      </c>
      <c r="D135" s="832" t="s">
        <v>1417</v>
      </c>
      <c r="E135" s="832" t="s">
        <v>333</v>
      </c>
      <c r="F135" s="832" t="s">
        <v>1119</v>
      </c>
      <c r="G135" s="832">
        <v>876.71</v>
      </c>
      <c r="H135" s="832">
        <v>1753.42</v>
      </c>
      <c r="I135" s="832">
        <v>2656.83</v>
      </c>
      <c r="J135" s="832">
        <v>3551.37</v>
      </c>
      <c r="K135" s="832">
        <v>4427.04</v>
      </c>
      <c r="L135" s="832">
        <v>5284.24</v>
      </c>
      <c r="M135" s="832">
        <v>6140.46</v>
      </c>
      <c r="N135" s="832">
        <v>6978.65</v>
      </c>
      <c r="O135" s="832">
        <v>7799.2</v>
      </c>
      <c r="P135" s="832">
        <v>8729.11</v>
      </c>
      <c r="Q135" s="832">
        <v>9726</v>
      </c>
      <c r="R135" s="832">
        <v>10707.62</v>
      </c>
      <c r="S135" s="832">
        <v>884.18</v>
      </c>
      <c r="T135" s="832">
        <v>884.18</v>
      </c>
      <c r="U135" s="832">
        <v>0</v>
      </c>
      <c r="V135" s="832">
        <v>0</v>
      </c>
      <c r="W135" s="832">
        <v>0</v>
      </c>
      <c r="X135" s="832">
        <v>0</v>
      </c>
      <c r="Y135" s="832">
        <v>0</v>
      </c>
      <c r="Z135" s="832">
        <v>0</v>
      </c>
      <c r="AA135" s="832">
        <v>0</v>
      </c>
      <c r="AB135" s="832">
        <v>0</v>
      </c>
      <c r="AC135" s="832">
        <v>0</v>
      </c>
      <c r="AD135" s="832">
        <v>0</v>
      </c>
      <c r="AE135" s="832">
        <v>0</v>
      </c>
      <c r="AF135" s="832">
        <v>0</v>
      </c>
      <c r="AG135" s="832">
        <v>0</v>
      </c>
      <c r="AH135" s="832">
        <v>0</v>
      </c>
      <c r="AI135" s="832">
        <v>0</v>
      </c>
      <c r="AJ135" s="1030" t="str">
        <f t="shared" si="12"/>
        <v>H01469</v>
      </c>
      <c r="AK135" s="1030" t="str">
        <f t="shared" si="13"/>
        <v>PCE AMORT EQUIP &amp; INSTALL</v>
      </c>
      <c r="AL135" s="1030">
        <f>IFERROR(INDEX(G135:R135,1,MATCH(Parametres!$B$3,G$1:R$1,0)-1)*IF(OR(F135="L",F135="S",F135="I"),-1,1),"")</f>
        <v>3551.37</v>
      </c>
      <c r="AM135" s="1030">
        <f t="shared" si="14"/>
        <v>875.67000000000007</v>
      </c>
      <c r="AN135" s="1030">
        <f>INDEX(G135:R135,1,MATCH(Parametres!$B$3,G$1:R$1,0))*IF(OR(F135="L",F135="S",F135="I"),-1,1)</f>
        <v>4427.04</v>
      </c>
      <c r="AO135" s="598" t="str">
        <f>+VLOOKUP($AJ135,Data_Validation!$A:$D,1,0)</f>
        <v>H01469</v>
      </c>
      <c r="AP135" s="598" t="str">
        <f>+VLOOKUP($AJ135,Data_Validation!$A:$D,3,0)</f>
        <v>Pièces</v>
      </c>
      <c r="AQ135" s="598" t="str">
        <f>+VLOOKUP($AJ135,Data_Validation!$A:$D,4,0)</f>
        <v>Amortissement</v>
      </c>
      <c r="AR135" s="598" t="s">
        <v>299</v>
      </c>
      <c r="AS135" s="598">
        <f>+VLOOKUP($AJ135,Data_Validation!$A:$E,5,0)</f>
        <v>0</v>
      </c>
      <c r="AT135" s="1036" t="str">
        <f t="shared" si="15"/>
        <v>H01469</v>
      </c>
      <c r="AU135" s="599" t="str">
        <f t="shared" si="16"/>
        <v>PCE AMORT EQUIP &amp; INSTALL</v>
      </c>
      <c r="AV135" s="1030">
        <f>IFERROR(INDEX(V135:AG135,1,MATCH(Parametres!$B$3,V$1:AG$1,0)-1)*IF(OR(C135="L",C135="S",C135="I"),-1,1),"")</f>
        <v>0</v>
      </c>
      <c r="AW135" s="1030">
        <f t="shared" si="17"/>
        <v>0</v>
      </c>
      <c r="AX135" s="1030">
        <f>INDEX(V135:AG135,1,MATCH(Parametres!$B$3,V$1:AG$1,0))*IF(OR(C135="L",C135="S",C135="I"),-1,1)</f>
        <v>0</v>
      </c>
      <c r="AY135" s="598" t="s">
        <v>337</v>
      </c>
      <c r="AZ135" s="598">
        <f>+VLOOKUP($AJ135,Data_Validation!$A:$E,5,0)</f>
        <v>0</v>
      </c>
    </row>
    <row r="136" spans="1:52" ht="15" customHeight="1">
      <c r="A136" s="832" t="s">
        <v>1150</v>
      </c>
      <c r="B136" s="832">
        <v>2025</v>
      </c>
      <c r="C136" s="832" t="s">
        <v>1418</v>
      </c>
      <c r="D136" s="832" t="s">
        <v>1419</v>
      </c>
      <c r="E136" s="832" t="s">
        <v>333</v>
      </c>
      <c r="F136" s="832" t="s">
        <v>1119</v>
      </c>
      <c r="G136" s="832">
        <v>0</v>
      </c>
      <c r="H136" s="832">
        <v>0</v>
      </c>
      <c r="I136" s="832">
        <v>0</v>
      </c>
      <c r="J136" s="832">
        <v>0</v>
      </c>
      <c r="K136" s="832">
        <v>0</v>
      </c>
      <c r="L136" s="832">
        <v>0</v>
      </c>
      <c r="M136" s="832">
        <v>0</v>
      </c>
      <c r="N136" s="832">
        <v>0</v>
      </c>
      <c r="O136" s="832">
        <v>0</v>
      </c>
      <c r="P136" s="832">
        <v>0</v>
      </c>
      <c r="Q136" s="832">
        <v>0</v>
      </c>
      <c r="R136" s="832">
        <v>0</v>
      </c>
      <c r="S136" s="832">
        <v>0</v>
      </c>
      <c r="T136" s="832">
        <v>0</v>
      </c>
      <c r="U136" s="832">
        <v>0</v>
      </c>
      <c r="V136" s="832">
        <v>0</v>
      </c>
      <c r="W136" s="832">
        <v>0</v>
      </c>
      <c r="X136" s="832">
        <v>0</v>
      </c>
      <c r="Y136" s="832">
        <v>0</v>
      </c>
      <c r="Z136" s="832">
        <v>0</v>
      </c>
      <c r="AA136" s="832">
        <v>0</v>
      </c>
      <c r="AB136" s="832">
        <v>0</v>
      </c>
      <c r="AC136" s="832">
        <v>0</v>
      </c>
      <c r="AD136" s="832">
        <v>0</v>
      </c>
      <c r="AE136" s="832">
        <v>0</v>
      </c>
      <c r="AF136" s="832">
        <v>0</v>
      </c>
      <c r="AG136" s="832">
        <v>0</v>
      </c>
      <c r="AH136" s="832">
        <v>0</v>
      </c>
      <c r="AI136" s="832">
        <v>0</v>
      </c>
      <c r="AJ136" s="1030" t="str">
        <f t="shared" si="12"/>
        <v>H01470</v>
      </c>
      <c r="AK136" s="1030" t="str">
        <f t="shared" si="13"/>
        <v>PCE ASSURANCE GENERALE</v>
      </c>
      <c r="AL136" s="1030">
        <f>IFERROR(INDEX(G136:R136,1,MATCH(Parametres!$B$3,G$1:R$1,0)-1)*IF(OR(F136="L",F136="S",F136="I"),-1,1),"")</f>
        <v>0</v>
      </c>
      <c r="AM136" s="1030">
        <f t="shared" si="14"/>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t="str">
        <f t="shared" si="15"/>
        <v>H01470</v>
      </c>
      <c r="AU136" s="599" t="str">
        <f t="shared" si="16"/>
        <v>PCE ASSURANCE GENERALE</v>
      </c>
      <c r="AV136" s="1030">
        <f>IFERROR(INDEX(V136:AG136,1,MATCH(Parametres!$B$3,V$1:AG$1,0)-1)*IF(OR(C136="L",C136="S",C136="I"),-1,1),"")</f>
        <v>0</v>
      </c>
      <c r="AW136" s="1030">
        <f t="shared" si="17"/>
        <v>0</v>
      </c>
      <c r="AX136" s="1030">
        <f>INDEX(V136:AG136,1,MATCH(Parametres!$B$3,V$1:AG$1,0))*IF(OR(C136="L",C136="S",C136="I"),-1,1)</f>
        <v>0</v>
      </c>
      <c r="AY136" s="598" t="s">
        <v>337</v>
      </c>
      <c r="AZ136" s="598" t="e">
        <f>+VLOOKUP($AJ136,Data_Validation!$A:$E,5,0)</f>
        <v>#N/A</v>
      </c>
    </row>
    <row r="137" spans="1:52" ht="15" customHeight="1">
      <c r="A137" s="832" t="s">
        <v>1150</v>
      </c>
      <c r="B137" s="832">
        <v>2025</v>
      </c>
      <c r="C137" s="832" t="s">
        <v>1420</v>
      </c>
      <c r="D137" s="832" t="s">
        <v>1421</v>
      </c>
      <c r="E137" s="832" t="s">
        <v>333</v>
      </c>
      <c r="F137" s="832" t="s">
        <v>1119</v>
      </c>
      <c r="G137" s="832">
        <v>1906.36</v>
      </c>
      <c r="H137" s="832">
        <v>5997.37</v>
      </c>
      <c r="I137" s="832">
        <v>8530.4599999999991</v>
      </c>
      <c r="J137" s="832">
        <v>12236.89</v>
      </c>
      <c r="K137" s="832">
        <v>13991.2</v>
      </c>
      <c r="L137" s="832">
        <v>15829.17</v>
      </c>
      <c r="M137" s="832">
        <v>17398.77</v>
      </c>
      <c r="N137" s="832">
        <v>19641.669999999998</v>
      </c>
      <c r="O137" s="832">
        <v>21309.599999999999</v>
      </c>
      <c r="P137" s="832">
        <v>22691.49</v>
      </c>
      <c r="Q137" s="832">
        <v>24738.720000000001</v>
      </c>
      <c r="R137" s="832">
        <v>26872.07</v>
      </c>
      <c r="S137" s="832">
        <v>2248.9699999999998</v>
      </c>
      <c r="T137" s="832">
        <v>2248.9699999999998</v>
      </c>
      <c r="U137" s="832">
        <v>0</v>
      </c>
      <c r="V137" s="832">
        <v>0</v>
      </c>
      <c r="W137" s="832">
        <v>0</v>
      </c>
      <c r="X137" s="832">
        <v>0</v>
      </c>
      <c r="Y137" s="832">
        <v>0</v>
      </c>
      <c r="Z137" s="832">
        <v>0</v>
      </c>
      <c r="AA137" s="832">
        <v>0</v>
      </c>
      <c r="AB137" s="832">
        <v>0</v>
      </c>
      <c r="AC137" s="832">
        <v>0</v>
      </c>
      <c r="AD137" s="832">
        <v>0</v>
      </c>
      <c r="AE137" s="832">
        <v>0</v>
      </c>
      <c r="AF137" s="832">
        <v>0</v>
      </c>
      <c r="AG137" s="832">
        <v>0</v>
      </c>
      <c r="AH137" s="832">
        <v>0</v>
      </c>
      <c r="AI137" s="832">
        <v>0</v>
      </c>
      <c r="AJ137" s="1030" t="str">
        <f t="shared" si="12"/>
        <v>H01474</v>
      </c>
      <c r="AK137" s="1030" t="str">
        <f t="shared" si="13"/>
        <v>PCE EAU/ELECT/CHAUFFAGE</v>
      </c>
      <c r="AL137" s="1030">
        <f>IFERROR(INDEX(G137:R137,1,MATCH(Parametres!$B$3,G$1:R$1,0)-1)*IF(OR(F137="L",F137="S",F137="I"),-1,1),"")</f>
        <v>12236.89</v>
      </c>
      <c r="AM137" s="1030">
        <f t="shared" si="14"/>
        <v>1754.3100000000013</v>
      </c>
      <c r="AN137" s="1030">
        <f>INDEX(G137:R137,1,MATCH(Parametres!$B$3,G$1:R$1,0))*IF(OR(F137="L",F137="S",F137="I"),-1,1)</f>
        <v>13991.2</v>
      </c>
      <c r="AO137" s="598" t="str">
        <f>+VLOOKUP($AJ137,Data_Validation!$A:$D,1,0)</f>
        <v>H01474</v>
      </c>
      <c r="AP137" s="598" t="str">
        <f>+VLOOKUP($AJ137,Data_Validation!$A:$D,3,0)</f>
        <v>Pièces</v>
      </c>
      <c r="AQ137" s="598" t="str">
        <f>+VLOOKUP($AJ137,Data_Validation!$A:$D,4,0)</f>
        <v>Chauffage, éclairage</v>
      </c>
      <c r="AR137" s="598" t="s">
        <v>299</v>
      </c>
      <c r="AS137" s="598">
        <f>+VLOOKUP($AJ137,Data_Validation!$A:$E,5,0)</f>
        <v>0</v>
      </c>
      <c r="AT137" s="1036" t="str">
        <f t="shared" si="15"/>
        <v>H01474</v>
      </c>
      <c r="AU137" s="599" t="str">
        <f t="shared" si="16"/>
        <v>PCE EAU/ELECT/CHAUFFAGE</v>
      </c>
      <c r="AV137" s="1030">
        <f>IFERROR(INDEX(V137:AG137,1,MATCH(Parametres!$B$3,V$1:AG$1,0)-1)*IF(OR(C137="L",C137="S",C137="I"),-1,1),"")</f>
        <v>0</v>
      </c>
      <c r="AW137" s="1030">
        <f t="shared" si="17"/>
        <v>0</v>
      </c>
      <c r="AX137" s="1030">
        <f>INDEX(V137:AG137,1,MATCH(Parametres!$B$3,V$1:AG$1,0))*IF(OR(C137="L",C137="S",C137="I"),-1,1)</f>
        <v>0</v>
      </c>
      <c r="AY137" s="598" t="s">
        <v>337</v>
      </c>
      <c r="AZ137" s="598">
        <f>+VLOOKUP($AJ137,Data_Validation!$A:$E,5,0)</f>
        <v>0</v>
      </c>
    </row>
    <row r="138" spans="1:52" ht="15" customHeight="1">
      <c r="A138" s="832" t="s">
        <v>1150</v>
      </c>
      <c r="B138" s="832">
        <v>2025</v>
      </c>
      <c r="C138" s="832" t="s">
        <v>1422</v>
      </c>
      <c r="D138" s="832" t="s">
        <v>1423</v>
      </c>
      <c r="E138" s="832" t="s">
        <v>333</v>
      </c>
      <c r="F138" s="832" t="s">
        <v>1119</v>
      </c>
      <c r="G138" s="832">
        <v>1000</v>
      </c>
      <c r="H138" s="832">
        <v>2000</v>
      </c>
      <c r="I138" s="832">
        <v>2250</v>
      </c>
      <c r="J138" s="832">
        <v>2500</v>
      </c>
      <c r="K138" s="832">
        <v>2750</v>
      </c>
      <c r="L138" s="832">
        <v>3000</v>
      </c>
      <c r="M138" s="832">
        <v>3250</v>
      </c>
      <c r="N138" s="832">
        <v>3500</v>
      </c>
      <c r="O138" s="832">
        <v>2000</v>
      </c>
      <c r="P138" s="832">
        <v>2368.6999999999998</v>
      </c>
      <c r="Q138" s="832">
        <v>2618.6999999999998</v>
      </c>
      <c r="R138" s="832">
        <v>2868.7</v>
      </c>
      <c r="S138" s="832">
        <v>238.06</v>
      </c>
      <c r="T138" s="832">
        <v>238.06</v>
      </c>
      <c r="U138" s="832">
        <v>0</v>
      </c>
      <c r="V138" s="832">
        <v>0</v>
      </c>
      <c r="W138" s="832">
        <v>0</v>
      </c>
      <c r="X138" s="832">
        <v>0</v>
      </c>
      <c r="Y138" s="832">
        <v>0</v>
      </c>
      <c r="Z138" s="832">
        <v>0</v>
      </c>
      <c r="AA138" s="832">
        <v>0</v>
      </c>
      <c r="AB138" s="832">
        <v>0</v>
      </c>
      <c r="AC138" s="832">
        <v>0</v>
      </c>
      <c r="AD138" s="832">
        <v>0</v>
      </c>
      <c r="AE138" s="832">
        <v>0</v>
      </c>
      <c r="AF138" s="832">
        <v>0</v>
      </c>
      <c r="AG138" s="832">
        <v>0</v>
      </c>
      <c r="AH138" s="832">
        <v>0</v>
      </c>
      <c r="AI138" s="832">
        <v>0</v>
      </c>
      <c r="AJ138" s="1030" t="str">
        <f t="shared" si="12"/>
        <v>H01476</v>
      </c>
      <c r="AK138" s="1030" t="str">
        <f t="shared" si="13"/>
        <v>PCE VERIF. COMPTABLE</v>
      </c>
      <c r="AL138" s="1030">
        <f>IFERROR(INDEX(G138:R138,1,MATCH(Parametres!$B$3,G$1:R$1,0)-1)*IF(OR(F138="L",F138="S",F138="I"),-1,1),"")</f>
        <v>2500</v>
      </c>
      <c r="AM138" s="1030">
        <f t="shared" si="14"/>
        <v>250</v>
      </c>
      <c r="AN138" s="1030">
        <f>INDEX(G138:R138,1,MATCH(Parametres!$B$3,G$1:R$1,0))*IF(OR(F138="L",F138="S",F138="I"),-1,1)</f>
        <v>2750</v>
      </c>
      <c r="AO138" s="598" t="str">
        <f>+VLOOKUP($AJ138,Data_Validation!$A:$D,1,0)</f>
        <v>H01476</v>
      </c>
      <c r="AP138" s="598" t="str">
        <f>+VLOOKUP($AJ138,Data_Validation!$A:$D,3,0)</f>
        <v>Pièces</v>
      </c>
      <c r="AQ138" s="598" t="str">
        <f>+VLOOKUP($AJ138,Data_Validation!$A:$D,4,0)</f>
        <v>Honoraires</v>
      </c>
      <c r="AR138" s="598" t="s">
        <v>299</v>
      </c>
      <c r="AS138" s="598">
        <f>+VLOOKUP($AJ138,Data_Validation!$A:$E,5,0)</f>
        <v>0</v>
      </c>
      <c r="AT138" s="1036" t="str">
        <f t="shared" si="15"/>
        <v>H01476</v>
      </c>
      <c r="AU138" s="599" t="str">
        <f t="shared" si="16"/>
        <v>PCE VERIF. COMPTABLE</v>
      </c>
      <c r="AV138" s="1030">
        <f>IFERROR(INDEX(V138:AG138,1,MATCH(Parametres!$B$3,V$1:AG$1,0)-1)*IF(OR(C138="L",C138="S",C138="I"),-1,1),"")</f>
        <v>0</v>
      </c>
      <c r="AW138" s="1030">
        <f t="shared" si="17"/>
        <v>0</v>
      </c>
      <c r="AX138" s="1030">
        <f>INDEX(V138:AG138,1,MATCH(Parametres!$B$3,V$1:AG$1,0))*IF(OR(C138="L",C138="S",C138="I"),-1,1)</f>
        <v>0</v>
      </c>
      <c r="AY138" s="598" t="s">
        <v>337</v>
      </c>
      <c r="AZ138" s="598">
        <f>+VLOOKUP($AJ138,Data_Validation!$A:$E,5,0)</f>
        <v>0</v>
      </c>
    </row>
    <row r="139" spans="1:52" ht="15.75" customHeight="1">
      <c r="A139" s="832" t="s">
        <v>1150</v>
      </c>
      <c r="B139" s="832">
        <v>2025</v>
      </c>
      <c r="C139" s="832" t="s">
        <v>1424</v>
      </c>
      <c r="D139" s="832" t="s">
        <v>1425</v>
      </c>
      <c r="E139" s="832" t="s">
        <v>333</v>
      </c>
      <c r="F139" s="832" t="s">
        <v>1119</v>
      </c>
      <c r="G139" s="832">
        <v>486.86</v>
      </c>
      <c r="H139" s="832">
        <v>495.61</v>
      </c>
      <c r="I139" s="832">
        <v>504.36</v>
      </c>
      <c r="J139" s="832">
        <v>1009.11</v>
      </c>
      <c r="K139" s="832">
        <v>1573.93</v>
      </c>
      <c r="L139" s="832">
        <v>1573.93</v>
      </c>
      <c r="M139" s="832">
        <v>2087.4299999999998</v>
      </c>
      <c r="N139" s="832">
        <v>2096.1799999999998</v>
      </c>
      <c r="O139" s="832">
        <v>2104.9299999999998</v>
      </c>
      <c r="P139" s="832">
        <v>3560.68</v>
      </c>
      <c r="Q139" s="832">
        <v>3907.43</v>
      </c>
      <c r="R139" s="832">
        <v>4994.68</v>
      </c>
      <c r="S139" s="832">
        <v>355.22</v>
      </c>
      <c r="T139" s="832">
        <v>355.22</v>
      </c>
      <c r="U139" s="832">
        <v>0</v>
      </c>
      <c r="V139" s="832">
        <v>0</v>
      </c>
      <c r="W139" s="832">
        <v>0</v>
      </c>
      <c r="X139" s="832">
        <v>0</v>
      </c>
      <c r="Y139" s="832">
        <v>0</v>
      </c>
      <c r="Z139" s="832">
        <v>0</v>
      </c>
      <c r="AA139" s="832">
        <v>0</v>
      </c>
      <c r="AB139" s="832">
        <v>0</v>
      </c>
      <c r="AC139" s="832">
        <v>0</v>
      </c>
      <c r="AD139" s="832">
        <v>0</v>
      </c>
      <c r="AE139" s="832">
        <v>0</v>
      </c>
      <c r="AF139" s="832">
        <v>0</v>
      </c>
      <c r="AG139" s="832">
        <v>0</v>
      </c>
      <c r="AH139" s="832">
        <v>0</v>
      </c>
      <c r="AI139" s="832">
        <v>0</v>
      </c>
      <c r="AJ139" s="1030" t="str">
        <f t="shared" si="12"/>
        <v>H01477</v>
      </c>
      <c r="AK139" s="1030" t="str">
        <f t="shared" si="13"/>
        <v>PCE COTISATIONS SOUSCRIP.</v>
      </c>
      <c r="AL139" s="1030">
        <f>IFERROR(INDEX(G139:R139,1,MATCH(Parametres!$B$3,G$1:R$1,0)-1)*IF(OR(F139="L",F139="S",F139="I"),-1,1),"")</f>
        <v>1009.11</v>
      </c>
      <c r="AM139" s="1030">
        <f t="shared" si="14"/>
        <v>564.82000000000005</v>
      </c>
      <c r="AN139" s="1030">
        <f>INDEX(G139:R139,1,MATCH(Parametres!$B$3,G$1:R$1,0))*IF(OR(F139="L",F139="S",F139="I"),-1,1)</f>
        <v>1573.93</v>
      </c>
      <c r="AO139" s="598" t="str">
        <f>+VLOOKUP($AJ139,Data_Validation!$A:$D,1,0)</f>
        <v>H01477</v>
      </c>
      <c r="AP139" s="598" t="str">
        <f>+VLOOKUP($AJ139,Data_Validation!$A:$D,3,0)</f>
        <v>Autres</v>
      </c>
      <c r="AQ139" s="598" t="str">
        <f>+VLOOKUP($AJ139,Data_Validation!$A:$D,4,0)</f>
        <v>Divers</v>
      </c>
      <c r="AR139" s="598" t="s">
        <v>299</v>
      </c>
      <c r="AS139" s="598">
        <f>+VLOOKUP($AJ139,Data_Validation!$A:$E,5,0)</f>
        <v>0</v>
      </c>
      <c r="AT139" s="1036" t="str">
        <f t="shared" si="15"/>
        <v>H01477</v>
      </c>
      <c r="AU139" s="599" t="str">
        <f t="shared" si="16"/>
        <v>PCE COTISATIONS SOUSCRIP.</v>
      </c>
      <c r="AV139" s="1030">
        <f>IFERROR(INDEX(V139:AG139,1,MATCH(Parametres!$B$3,V$1:AG$1,0)-1)*IF(OR(C139="L",C139="S",C139="I"),-1,1),"")</f>
        <v>0</v>
      </c>
      <c r="AW139" s="1030">
        <f t="shared" si="17"/>
        <v>0</v>
      </c>
      <c r="AX139" s="1030">
        <f>INDEX(V139:AG139,1,MATCH(Parametres!$B$3,V$1:AG$1,0))*IF(OR(C139="L",C139="S",C139="I"),-1,1)</f>
        <v>0</v>
      </c>
      <c r="AY139" s="598" t="s">
        <v>337</v>
      </c>
      <c r="AZ139" s="598">
        <f>+VLOOKUP($AJ139,Data_Validation!$A:$E,5,0)</f>
        <v>0</v>
      </c>
    </row>
    <row r="140" spans="1:52" ht="15" customHeight="1">
      <c r="A140" s="832" t="s">
        <v>1150</v>
      </c>
      <c r="B140" s="832">
        <v>2025</v>
      </c>
      <c r="C140" s="832" t="s">
        <v>1426</v>
      </c>
      <c r="D140" s="832" t="s">
        <v>1427</v>
      </c>
      <c r="E140" s="832" t="s">
        <v>333</v>
      </c>
      <c r="F140" s="832" t="s">
        <v>1119</v>
      </c>
      <c r="G140" s="832">
        <v>0</v>
      </c>
      <c r="H140" s="832">
        <v>0</v>
      </c>
      <c r="I140" s="832">
        <v>0</v>
      </c>
      <c r="J140" s="832">
        <v>0</v>
      </c>
      <c r="K140" s="832">
        <v>0</v>
      </c>
      <c r="L140" s="832">
        <v>0</v>
      </c>
      <c r="M140" s="832">
        <v>0</v>
      </c>
      <c r="N140" s="832">
        <v>0</v>
      </c>
      <c r="O140" s="832">
        <v>0</v>
      </c>
      <c r="P140" s="832">
        <v>0</v>
      </c>
      <c r="Q140" s="832">
        <v>0</v>
      </c>
      <c r="R140" s="832">
        <v>487.5</v>
      </c>
      <c r="S140" s="832">
        <v>0</v>
      </c>
      <c r="T140" s="832">
        <v>0</v>
      </c>
      <c r="U140" s="832">
        <v>0</v>
      </c>
      <c r="V140" s="832">
        <v>0</v>
      </c>
      <c r="W140" s="832">
        <v>0</v>
      </c>
      <c r="X140" s="832">
        <v>0</v>
      </c>
      <c r="Y140" s="832">
        <v>0</v>
      </c>
      <c r="Z140" s="832">
        <v>0</v>
      </c>
      <c r="AA140" s="832">
        <v>0</v>
      </c>
      <c r="AB140" s="832">
        <v>0</v>
      </c>
      <c r="AC140" s="832">
        <v>0</v>
      </c>
      <c r="AD140" s="832">
        <v>0</v>
      </c>
      <c r="AE140" s="832">
        <v>0</v>
      </c>
      <c r="AF140" s="832">
        <v>0</v>
      </c>
      <c r="AG140" s="832">
        <v>0</v>
      </c>
      <c r="AH140" s="832">
        <v>0</v>
      </c>
      <c r="AI140" s="832">
        <v>0</v>
      </c>
      <c r="AJ140" s="1030" t="str">
        <f t="shared" si="12"/>
        <v>H01479</v>
      </c>
      <c r="AK140" s="1030" t="str">
        <f t="shared" si="13"/>
        <v>PCE DONATIONS</v>
      </c>
      <c r="AL140" s="1030">
        <f>IFERROR(INDEX(G140:R140,1,MATCH(Parametres!$B$3,G$1:R$1,0)-1)*IF(OR(F140="L",F140="S",F140="I"),-1,1),"")</f>
        <v>0</v>
      </c>
      <c r="AM140" s="1030">
        <f t="shared" si="14"/>
        <v>0</v>
      </c>
      <c r="AN140" s="1030">
        <f>INDEX(G140:R140,1,MATCH(Parametres!$B$3,G$1:R$1,0))*IF(OR(F140="L",F140="S",F140="I"),-1,1)</f>
        <v>0</v>
      </c>
      <c r="AO140" s="598" t="str">
        <f>+VLOOKUP($AJ140,Data_Validation!$A:$D,1,0)</f>
        <v>H01479</v>
      </c>
      <c r="AP140" s="598" t="str">
        <f>+VLOOKUP($AJ140,Data_Validation!$A:$D,3,0)</f>
        <v>Autres</v>
      </c>
      <c r="AQ140" s="598" t="str">
        <f>+VLOOKUP($AJ140,Data_Validation!$A:$D,4,0)</f>
        <v>Dons</v>
      </c>
      <c r="AR140" s="598" t="s">
        <v>299</v>
      </c>
      <c r="AS140" s="598">
        <f>+VLOOKUP($AJ140,Data_Validation!$A:$E,5,0)</f>
        <v>0</v>
      </c>
      <c r="AT140" s="1036" t="str">
        <f t="shared" si="15"/>
        <v>H01479</v>
      </c>
      <c r="AU140" s="599" t="str">
        <f t="shared" si="16"/>
        <v>PCE DONATIONS</v>
      </c>
      <c r="AV140" s="1030">
        <f>IFERROR(INDEX(V140:AG140,1,MATCH(Parametres!$B$3,V$1:AG$1,0)-1)*IF(OR(C140="L",C140="S",C140="I"),-1,1),"")</f>
        <v>0</v>
      </c>
      <c r="AW140" s="1030">
        <f t="shared" si="17"/>
        <v>0</v>
      </c>
      <c r="AX140" s="1030">
        <f>INDEX(V140:AG140,1,MATCH(Parametres!$B$3,V$1:AG$1,0))*IF(OR(C140="L",C140="S",C140="I"),-1,1)</f>
        <v>0</v>
      </c>
      <c r="AY140" s="598" t="s">
        <v>337</v>
      </c>
      <c r="AZ140" s="598">
        <f>+VLOOKUP($AJ140,Data_Validation!$A:$E,5,0)</f>
        <v>0</v>
      </c>
    </row>
    <row r="141" spans="1:52" ht="15" customHeight="1">
      <c r="A141" s="832" t="s">
        <v>1150</v>
      </c>
      <c r="B141" s="832">
        <v>2025</v>
      </c>
      <c r="C141" s="832" t="s">
        <v>1428</v>
      </c>
      <c r="D141" s="832" t="s">
        <v>1429</v>
      </c>
      <c r="E141" s="832" t="s">
        <v>333</v>
      </c>
      <c r="F141" s="832" t="s">
        <v>1119</v>
      </c>
      <c r="G141" s="832">
        <v>0</v>
      </c>
      <c r="H141" s="832">
        <v>0</v>
      </c>
      <c r="I141" s="832">
        <v>0</v>
      </c>
      <c r="J141" s="832">
        <v>29.68</v>
      </c>
      <c r="K141" s="832">
        <v>59.36</v>
      </c>
      <c r="L141" s="832">
        <v>59.36</v>
      </c>
      <c r="M141" s="832">
        <v>59.36</v>
      </c>
      <c r="N141" s="832">
        <v>59.36</v>
      </c>
      <c r="O141" s="832">
        <v>59.36</v>
      </c>
      <c r="P141" s="832">
        <v>532.76</v>
      </c>
      <c r="Q141" s="832">
        <v>562.44000000000005</v>
      </c>
      <c r="R141" s="832">
        <v>592.12</v>
      </c>
      <c r="S141" s="832">
        <v>51.13</v>
      </c>
      <c r="T141" s="832">
        <v>51.13</v>
      </c>
      <c r="U141" s="832">
        <v>0</v>
      </c>
      <c r="V141" s="832">
        <v>0</v>
      </c>
      <c r="W141" s="832">
        <v>0</v>
      </c>
      <c r="X141" s="832">
        <v>0</v>
      </c>
      <c r="Y141" s="832">
        <v>0</v>
      </c>
      <c r="Z141" s="832">
        <v>0</v>
      </c>
      <c r="AA141" s="832">
        <v>0</v>
      </c>
      <c r="AB141" s="832">
        <v>0</v>
      </c>
      <c r="AC141" s="832">
        <v>0</v>
      </c>
      <c r="AD141" s="832">
        <v>0</v>
      </c>
      <c r="AE141" s="832">
        <v>0</v>
      </c>
      <c r="AF141" s="832">
        <v>0</v>
      </c>
      <c r="AG141" s="832">
        <v>0</v>
      </c>
      <c r="AH141" s="832">
        <v>0</v>
      </c>
      <c r="AI141" s="832">
        <v>0</v>
      </c>
      <c r="AJ141" s="1030" t="str">
        <f t="shared" si="12"/>
        <v>H01480</v>
      </c>
      <c r="AK141" s="1030" t="str">
        <f t="shared" si="13"/>
        <v>PCE IMMATRIC &amp; PERMIS</v>
      </c>
      <c r="AL141" s="1030">
        <f>IFERROR(INDEX(G141:R141,1,MATCH(Parametres!$B$3,G$1:R$1,0)-1)*IF(OR(F141="L",F141="S",F141="I"),-1,1),"")</f>
        <v>29.68</v>
      </c>
      <c r="AM141" s="1030">
        <f t="shared" si="14"/>
        <v>29.68</v>
      </c>
      <c r="AN141" s="1030">
        <f>INDEX(G141:R141,1,MATCH(Parametres!$B$3,G$1:R$1,0))*IF(OR(F141="L",F141="S",F141="I"),-1,1)</f>
        <v>59.36</v>
      </c>
      <c r="AO141" s="598" t="str">
        <f>+VLOOKUP($AJ141,Data_Validation!$A:$D,1,0)</f>
        <v>H01480</v>
      </c>
      <c r="AP141" s="598" t="str">
        <f>+VLOOKUP($AJ141,Data_Validation!$A:$D,3,0)</f>
        <v>Pièces</v>
      </c>
      <c r="AQ141" s="598" t="str">
        <f>+VLOOKUP($AJ141,Data_Validation!$A:$D,4,0)</f>
        <v>Honoraires</v>
      </c>
      <c r="AR141" s="598" t="s">
        <v>299</v>
      </c>
      <c r="AS141" s="598">
        <f>+VLOOKUP($AJ141,Data_Validation!$A:$E,5,0)</f>
        <v>0</v>
      </c>
      <c r="AT141" s="1036" t="str">
        <f t="shared" si="15"/>
        <v>H01480</v>
      </c>
      <c r="AU141" s="599" t="str">
        <f t="shared" si="16"/>
        <v>PCE IMMATRIC &amp; PERMIS</v>
      </c>
      <c r="AV141" s="1030">
        <f>IFERROR(INDEX(V141:AG141,1,MATCH(Parametres!$B$3,V$1:AG$1,0)-1)*IF(OR(C141="L",C141="S",C141="I"),-1,1),"")</f>
        <v>0</v>
      </c>
      <c r="AW141" s="1030">
        <f t="shared" si="17"/>
        <v>0</v>
      </c>
      <c r="AX141" s="1030">
        <f>INDEX(V141:AG141,1,MATCH(Parametres!$B$3,V$1:AG$1,0))*IF(OR(C141="L",C141="S",C141="I"),-1,1)</f>
        <v>0</v>
      </c>
      <c r="AY141" s="598" t="s">
        <v>337</v>
      </c>
      <c r="AZ141" s="598">
        <f>+VLOOKUP($AJ141,Data_Validation!$A:$E,5,0)</f>
        <v>0</v>
      </c>
    </row>
    <row r="142" spans="1:52" ht="15" customHeight="1">
      <c r="A142" s="832" t="s">
        <v>1150</v>
      </c>
      <c r="B142" s="832">
        <v>2025</v>
      </c>
      <c r="C142" s="832" t="s">
        <v>1430</v>
      </c>
      <c r="D142" s="832" t="s">
        <v>1431</v>
      </c>
      <c r="E142" s="832" t="s">
        <v>333</v>
      </c>
      <c r="F142" s="832" t="s">
        <v>1119</v>
      </c>
      <c r="G142" s="832">
        <v>3395.06</v>
      </c>
      <c r="H142" s="832">
        <v>5356.11</v>
      </c>
      <c r="I142" s="832">
        <v>8545.6299999999992</v>
      </c>
      <c r="J142" s="832">
        <v>24100.240000000002</v>
      </c>
      <c r="K142" s="832">
        <v>34753.879999999997</v>
      </c>
      <c r="L142" s="832">
        <v>43729.15</v>
      </c>
      <c r="M142" s="832">
        <v>52416.57</v>
      </c>
      <c r="N142" s="832">
        <v>56128.59</v>
      </c>
      <c r="O142" s="832">
        <v>63300.56</v>
      </c>
      <c r="P142" s="832">
        <v>73936.740000000005</v>
      </c>
      <c r="Q142" s="832">
        <v>81415.37</v>
      </c>
      <c r="R142" s="832">
        <v>85982.29</v>
      </c>
      <c r="S142" s="832">
        <v>7401.4</v>
      </c>
      <c r="T142" s="832">
        <v>7401.4</v>
      </c>
      <c r="U142" s="832">
        <v>0</v>
      </c>
      <c r="V142" s="832">
        <v>0</v>
      </c>
      <c r="W142" s="832">
        <v>0</v>
      </c>
      <c r="X142" s="832">
        <v>0</v>
      </c>
      <c r="Y142" s="832">
        <v>0</v>
      </c>
      <c r="Z142" s="832">
        <v>0</v>
      </c>
      <c r="AA142" s="832">
        <v>0</v>
      </c>
      <c r="AB142" s="832">
        <v>0</v>
      </c>
      <c r="AC142" s="832">
        <v>0</v>
      </c>
      <c r="AD142" s="832">
        <v>0</v>
      </c>
      <c r="AE142" s="832">
        <v>0</v>
      </c>
      <c r="AF142" s="832">
        <v>0</v>
      </c>
      <c r="AG142" s="832">
        <v>0</v>
      </c>
      <c r="AH142" s="832">
        <v>0</v>
      </c>
      <c r="AI142" s="832">
        <v>0</v>
      </c>
      <c r="AJ142" s="1030" t="str">
        <f t="shared" si="12"/>
        <v>H01520</v>
      </c>
      <c r="AK142" s="1030" t="str">
        <f t="shared" si="13"/>
        <v>SVC SALAIRES-DIR-DEPT</v>
      </c>
      <c r="AL142" s="1030">
        <f>IFERROR(INDEX(G142:R142,1,MATCH(Parametres!$B$3,G$1:R$1,0)-1)*IF(OR(F142="L",F142="S",F142="I"),-1,1),"")</f>
        <v>24100.240000000002</v>
      </c>
      <c r="AM142" s="1030">
        <f t="shared" si="14"/>
        <v>10653.639999999996</v>
      </c>
      <c r="AN142" s="1030">
        <f>INDEX(G142:R142,1,MATCH(Parametres!$B$3,G$1:R$1,0))*IF(OR(F142="L",F142="S",F142="I"),-1,1)</f>
        <v>34753.879999999997</v>
      </c>
      <c r="AO142" s="598" t="str">
        <f>+VLOOKUP($AJ142,Data_Validation!$A:$D,1,0)</f>
        <v>H01520</v>
      </c>
      <c r="AP142" s="598" t="str">
        <f>+VLOOKUP($AJ142,Data_Validation!$A:$D,3,0)</f>
        <v>Service</v>
      </c>
      <c r="AQ142" s="598" t="str">
        <f>+VLOOKUP($AJ142,Data_Validation!$A:$D,4,0)</f>
        <v>Salaires cadres</v>
      </c>
      <c r="AR142" s="598" t="s">
        <v>299</v>
      </c>
      <c r="AS142" s="598">
        <f>+VLOOKUP($AJ142,Data_Validation!$A:$E,5,0)</f>
        <v>0</v>
      </c>
      <c r="AT142" s="1036" t="str">
        <f t="shared" si="15"/>
        <v>H01520</v>
      </c>
      <c r="AU142" s="599" t="str">
        <f t="shared" si="16"/>
        <v>SVC SALAIRES-DIR-DEPT</v>
      </c>
      <c r="AV142" s="1030">
        <f>IFERROR(INDEX(V142:AG142,1,MATCH(Parametres!$B$3,V$1:AG$1,0)-1)*IF(OR(C142="L",C142="S",C142="I"),-1,1),"")</f>
        <v>0</v>
      </c>
      <c r="AW142" s="1030">
        <f t="shared" si="17"/>
        <v>0</v>
      </c>
      <c r="AX142" s="1030">
        <f>INDEX(V142:AG142,1,MATCH(Parametres!$B$3,V$1:AG$1,0))*IF(OR(C142="L",C142="S",C142="I"),-1,1)</f>
        <v>0</v>
      </c>
      <c r="AY142" s="598" t="s">
        <v>337</v>
      </c>
      <c r="AZ142" s="598">
        <f>+VLOOKUP($AJ142,Data_Validation!$A:$E,5,0)</f>
        <v>0</v>
      </c>
    </row>
    <row r="143" spans="1:52" ht="15.75" customHeight="1">
      <c r="A143" s="832" t="s">
        <v>1150</v>
      </c>
      <c r="B143" s="832">
        <v>2025</v>
      </c>
      <c r="C143" s="832" t="s">
        <v>1432</v>
      </c>
      <c r="D143" s="832" t="s">
        <v>1433</v>
      </c>
      <c r="E143" s="832" t="s">
        <v>333</v>
      </c>
      <c r="F143" s="832" t="s">
        <v>1119</v>
      </c>
      <c r="G143" s="832">
        <v>39272.980000000003</v>
      </c>
      <c r="H143" s="832">
        <v>68264.08</v>
      </c>
      <c r="I143" s="832">
        <v>113831.52</v>
      </c>
      <c r="J143" s="832">
        <v>164197.62</v>
      </c>
      <c r="K143" s="832">
        <v>209205.78</v>
      </c>
      <c r="L143" s="832">
        <v>243668.19</v>
      </c>
      <c r="M143" s="832">
        <v>273943.02</v>
      </c>
      <c r="N143" s="832">
        <v>299070.2</v>
      </c>
      <c r="O143" s="832">
        <v>323525.99</v>
      </c>
      <c r="P143" s="832">
        <v>369872.95</v>
      </c>
      <c r="Q143" s="832">
        <v>414753.66</v>
      </c>
      <c r="R143" s="832">
        <v>443680.58</v>
      </c>
      <c r="S143" s="832">
        <v>37704.879999999997</v>
      </c>
      <c r="T143" s="832">
        <v>37704.879999999997</v>
      </c>
      <c r="U143" s="832">
        <v>0</v>
      </c>
      <c r="V143" s="832">
        <v>0</v>
      </c>
      <c r="W143" s="832">
        <v>0</v>
      </c>
      <c r="X143" s="832">
        <v>0</v>
      </c>
      <c r="Y143" s="832">
        <v>0</v>
      </c>
      <c r="Z143" s="832">
        <v>0</v>
      </c>
      <c r="AA143" s="832">
        <v>0</v>
      </c>
      <c r="AB143" s="832">
        <v>0</v>
      </c>
      <c r="AC143" s="832">
        <v>0</v>
      </c>
      <c r="AD143" s="832">
        <v>0</v>
      </c>
      <c r="AE143" s="832">
        <v>0</v>
      </c>
      <c r="AF143" s="832">
        <v>0</v>
      </c>
      <c r="AG143" s="832">
        <v>0</v>
      </c>
      <c r="AH143" s="832">
        <v>0</v>
      </c>
      <c r="AI143" s="832">
        <v>0</v>
      </c>
      <c r="AJ143" s="1030" t="str">
        <f t="shared" si="12"/>
        <v>H01521</v>
      </c>
      <c r="AK143" s="1030" t="str">
        <f t="shared" si="13"/>
        <v>SVC SALAIRES -AUTRES</v>
      </c>
      <c r="AL143" s="1030">
        <f>IFERROR(INDEX(G143:R143,1,MATCH(Parametres!$B$3,G$1:R$1,0)-1)*IF(OR(F143="L",F143="S",F143="I"),-1,1),"")</f>
        <v>164197.62</v>
      </c>
      <c r="AM143" s="1030">
        <f t="shared" si="14"/>
        <v>45008.160000000003</v>
      </c>
      <c r="AN143" s="1030">
        <f>INDEX(G143:R143,1,MATCH(Parametres!$B$3,G$1:R$1,0))*IF(OR(F143="L",F143="S",F143="I"),-1,1)</f>
        <v>209205.78</v>
      </c>
      <c r="AO143" s="598" t="str">
        <f>+VLOOKUP($AJ143,Data_Validation!$A:$D,1,0)</f>
        <v>H01521</v>
      </c>
      <c r="AP143" s="598" t="str">
        <f>+VLOOKUP($AJ143,Data_Validation!$A:$D,3,0)</f>
        <v>Service</v>
      </c>
      <c r="AQ143" s="598" t="str">
        <f>+VLOOKUP($AJ143,Data_Validation!$A:$D,4,0)</f>
        <v>Salaires autres</v>
      </c>
      <c r="AR143" s="598" t="s">
        <v>299</v>
      </c>
      <c r="AS143" s="598">
        <f>+VLOOKUP($AJ143,Data_Validation!$A:$E,5,0)</f>
        <v>0</v>
      </c>
      <c r="AT143" s="1036" t="str">
        <f t="shared" si="15"/>
        <v>H01521</v>
      </c>
      <c r="AU143" s="599" t="str">
        <f t="shared" si="16"/>
        <v>SVC SALAIRES -AUTRES</v>
      </c>
      <c r="AV143" s="1030">
        <f>IFERROR(INDEX(V143:AG143,1,MATCH(Parametres!$B$3,V$1:AG$1,0)-1)*IF(OR(C143="L",C143="S",C143="I"),-1,1),"")</f>
        <v>0</v>
      </c>
      <c r="AW143" s="1030">
        <f t="shared" si="17"/>
        <v>0</v>
      </c>
      <c r="AX143" s="1030">
        <f>INDEX(V143:AG143,1,MATCH(Parametres!$B$3,V$1:AG$1,0))*IF(OR(C143="L",C143="S",C143="I"),-1,1)</f>
        <v>0</v>
      </c>
      <c r="AY143" s="598" t="s">
        <v>337</v>
      </c>
      <c r="AZ143" s="598">
        <f>+VLOOKUP($AJ143,Data_Validation!$A:$E,5,0)</f>
        <v>0</v>
      </c>
    </row>
    <row r="144" spans="1:52" ht="15" customHeight="1">
      <c r="A144" s="832" t="s">
        <v>1150</v>
      </c>
      <c r="B144" s="832">
        <v>2025</v>
      </c>
      <c r="C144" s="832" t="s">
        <v>1434</v>
      </c>
      <c r="D144" s="832" t="s">
        <v>1435</v>
      </c>
      <c r="E144" s="832" t="s">
        <v>333</v>
      </c>
      <c r="F144" s="832" t="s">
        <v>1119</v>
      </c>
      <c r="G144" s="832">
        <v>19265.509999999998</v>
      </c>
      <c r="H144" s="832">
        <v>26201.61</v>
      </c>
      <c r="I144" s="832">
        <v>31836.89</v>
      </c>
      <c r="J144" s="832">
        <v>41066.21</v>
      </c>
      <c r="K144" s="832">
        <v>53072.37</v>
      </c>
      <c r="L144" s="832">
        <v>64510.17</v>
      </c>
      <c r="M144" s="832">
        <v>74843.45</v>
      </c>
      <c r="N144" s="832">
        <v>83127.820000000007</v>
      </c>
      <c r="O144" s="832">
        <v>88838.7</v>
      </c>
      <c r="P144" s="832">
        <v>96444.11</v>
      </c>
      <c r="Q144" s="832">
        <v>105715.58</v>
      </c>
      <c r="R144" s="832">
        <v>122564.45</v>
      </c>
      <c r="S144" s="832">
        <v>9610.51</v>
      </c>
      <c r="T144" s="832">
        <v>9610.51</v>
      </c>
      <c r="U144" s="832">
        <v>0</v>
      </c>
      <c r="V144" s="832">
        <v>0</v>
      </c>
      <c r="W144" s="832">
        <v>0</v>
      </c>
      <c r="X144" s="832">
        <v>0</v>
      </c>
      <c r="Y144" s="832">
        <v>0</v>
      </c>
      <c r="Z144" s="832">
        <v>0</v>
      </c>
      <c r="AA144" s="832">
        <v>0</v>
      </c>
      <c r="AB144" s="832">
        <v>0</v>
      </c>
      <c r="AC144" s="832">
        <v>0</v>
      </c>
      <c r="AD144" s="832">
        <v>0</v>
      </c>
      <c r="AE144" s="832">
        <v>0</v>
      </c>
      <c r="AF144" s="832">
        <v>0</v>
      </c>
      <c r="AG144" s="832">
        <v>0</v>
      </c>
      <c r="AH144" s="832">
        <v>0</v>
      </c>
      <c r="AI144" s="832">
        <v>0</v>
      </c>
      <c r="AJ144" s="1030" t="str">
        <f t="shared" si="12"/>
        <v>H01523</v>
      </c>
      <c r="AK144" s="1030" t="str">
        <f t="shared" si="13"/>
        <v>SVC ABSENCES&amp;CONGES PAYES</v>
      </c>
      <c r="AL144" s="1030">
        <f>IFERROR(INDEX(G144:R144,1,MATCH(Parametres!$B$3,G$1:R$1,0)-1)*IF(OR(F144="L",F144="S",F144="I"),-1,1),"")</f>
        <v>41066.21</v>
      </c>
      <c r="AM144" s="1030">
        <f t="shared" si="14"/>
        <v>12006.160000000003</v>
      </c>
      <c r="AN144" s="1030">
        <f>INDEX(G144:R144,1,MATCH(Parametres!$B$3,G$1:R$1,0))*IF(OR(F144="L",F144="S",F144="I"),-1,1)</f>
        <v>53072.37</v>
      </c>
      <c r="AO144" s="598" t="str">
        <f>+VLOOKUP($AJ144,Data_Validation!$A:$D,1,0)</f>
        <v>H01523</v>
      </c>
      <c r="AP144" s="598" t="str">
        <f>+VLOOKUP($AJ144,Data_Validation!$A:$D,3,0)</f>
        <v>Service</v>
      </c>
      <c r="AQ144" s="598" t="str">
        <f>+VLOOKUP($AJ144,Data_Validation!$A:$D,4,0)</f>
        <v>Salaires en absences</v>
      </c>
      <c r="AR144" s="598" t="s">
        <v>299</v>
      </c>
      <c r="AS144" s="598">
        <f>+VLOOKUP($AJ144,Data_Validation!$A:$E,5,0)</f>
        <v>0</v>
      </c>
      <c r="AT144" s="1036" t="str">
        <f t="shared" si="15"/>
        <v>H01523</v>
      </c>
      <c r="AU144" s="599" t="str">
        <f t="shared" si="16"/>
        <v>SVC ABSENCES&amp;CONGES PAYES</v>
      </c>
      <c r="AV144" s="1030">
        <f>IFERROR(INDEX(V144:AG144,1,MATCH(Parametres!$B$3,V$1:AG$1,0)-1)*IF(OR(C144="L",C144="S",C144="I"),-1,1),"")</f>
        <v>0</v>
      </c>
      <c r="AW144" s="1030">
        <f t="shared" si="17"/>
        <v>0</v>
      </c>
      <c r="AX144" s="1030">
        <f>INDEX(V144:AG144,1,MATCH(Parametres!$B$3,V$1:AG$1,0))*IF(OR(C144="L",C144="S",C144="I"),-1,1)</f>
        <v>0</v>
      </c>
      <c r="AY144" s="598" t="s">
        <v>337</v>
      </c>
      <c r="AZ144" s="598">
        <f>+VLOOKUP($AJ144,Data_Validation!$A:$E,5,0)</f>
        <v>0</v>
      </c>
    </row>
    <row r="145" spans="1:52" ht="15" customHeight="1">
      <c r="A145" s="832" t="s">
        <v>1150</v>
      </c>
      <c r="B145" s="832">
        <v>2025</v>
      </c>
      <c r="C145" s="832" t="s">
        <v>1436</v>
      </c>
      <c r="D145" s="832" t="s">
        <v>1437</v>
      </c>
      <c r="E145" s="832" t="s">
        <v>333</v>
      </c>
      <c r="F145" s="832" t="s">
        <v>1119</v>
      </c>
      <c r="G145" s="832">
        <v>0</v>
      </c>
      <c r="H145" s="832">
        <v>0</v>
      </c>
      <c r="I145" s="832">
        <v>0</v>
      </c>
      <c r="J145" s="832">
        <v>0</v>
      </c>
      <c r="K145" s="832">
        <v>0</v>
      </c>
      <c r="L145" s="832">
        <v>0</v>
      </c>
      <c r="M145" s="832">
        <v>0</v>
      </c>
      <c r="N145" s="832">
        <v>0</v>
      </c>
      <c r="O145" s="832">
        <v>0</v>
      </c>
      <c r="P145" s="832">
        <v>0</v>
      </c>
      <c r="Q145" s="832">
        <v>0</v>
      </c>
      <c r="R145" s="832">
        <v>0</v>
      </c>
      <c r="S145" s="832">
        <v>0</v>
      </c>
      <c r="T145" s="832">
        <v>0</v>
      </c>
      <c r="U145" s="832">
        <v>0</v>
      </c>
      <c r="V145" s="832">
        <v>0</v>
      </c>
      <c r="W145" s="832">
        <v>0</v>
      </c>
      <c r="X145" s="832">
        <v>0</v>
      </c>
      <c r="Y145" s="832">
        <v>0</v>
      </c>
      <c r="Z145" s="832">
        <v>0</v>
      </c>
      <c r="AA145" s="832">
        <v>0</v>
      </c>
      <c r="AB145" s="832">
        <v>0</v>
      </c>
      <c r="AC145" s="832">
        <v>0</v>
      </c>
      <c r="AD145" s="832">
        <v>0</v>
      </c>
      <c r="AE145" s="832">
        <v>0</v>
      </c>
      <c r="AF145" s="832">
        <v>0</v>
      </c>
      <c r="AG145" s="832">
        <v>0</v>
      </c>
      <c r="AH145" s="832">
        <v>0</v>
      </c>
      <c r="AI145" s="832">
        <v>0</v>
      </c>
      <c r="AJ145" s="1030" t="str">
        <f t="shared" si="12"/>
        <v>H01524</v>
      </c>
      <c r="AK145" s="1030" t="str">
        <f t="shared" si="13"/>
        <v>SVC CSST</v>
      </c>
      <c r="AL145" s="1030">
        <f>IFERROR(INDEX(G145:R145,1,MATCH(Parametres!$B$3,G$1:R$1,0)-1)*IF(OR(F145="L",F145="S",F145="I"),-1,1),"")</f>
        <v>0</v>
      </c>
      <c r="AM145" s="1030">
        <f t="shared" si="14"/>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t="str">
        <f t="shared" si="15"/>
        <v>H01524</v>
      </c>
      <c r="AU145" s="599" t="str">
        <f t="shared" si="16"/>
        <v>SVC CSST</v>
      </c>
      <c r="AV145" s="1030">
        <f>IFERROR(INDEX(V145:AG145,1,MATCH(Parametres!$B$3,V$1:AG$1,0)-1)*IF(OR(C145="L",C145="S",C145="I"),-1,1),"")</f>
        <v>0</v>
      </c>
      <c r="AW145" s="1030">
        <f t="shared" si="17"/>
        <v>0</v>
      </c>
      <c r="AX145" s="1030">
        <f>INDEX(V145:AG145,1,MATCH(Parametres!$B$3,V$1:AG$1,0))*IF(OR(C145="L",C145="S",C145="I"),-1,1)</f>
        <v>0</v>
      </c>
      <c r="AY145" s="598" t="s">
        <v>337</v>
      </c>
      <c r="AZ145" s="598" t="e">
        <f>+VLOOKUP($AJ145,Data_Validation!$A:$E,5,0)</f>
        <v>#N/A</v>
      </c>
    </row>
    <row r="146" spans="1:52" ht="15" customHeight="1">
      <c r="A146" s="832" t="s">
        <v>1150</v>
      </c>
      <c r="B146" s="832">
        <v>2025</v>
      </c>
      <c r="C146" s="832" t="s">
        <v>1438</v>
      </c>
      <c r="D146" s="832" t="s">
        <v>1439</v>
      </c>
      <c r="E146" s="832" t="s">
        <v>333</v>
      </c>
      <c r="F146" s="832" t="s">
        <v>1119</v>
      </c>
      <c r="G146" s="832">
        <v>0</v>
      </c>
      <c r="H146" s="832">
        <v>0</v>
      </c>
      <c r="I146" s="832">
        <v>0</v>
      </c>
      <c r="J146" s="832">
        <v>0</v>
      </c>
      <c r="K146" s="832">
        <v>0</v>
      </c>
      <c r="L146" s="832">
        <v>0</v>
      </c>
      <c r="M146" s="832">
        <v>0</v>
      </c>
      <c r="N146" s="832">
        <v>0</v>
      </c>
      <c r="O146" s="832">
        <v>0</v>
      </c>
      <c r="P146" s="832">
        <v>0</v>
      </c>
      <c r="Q146" s="832">
        <v>0</v>
      </c>
      <c r="R146" s="832">
        <v>0</v>
      </c>
      <c r="S146" s="832">
        <v>0</v>
      </c>
      <c r="T146" s="832">
        <v>0</v>
      </c>
      <c r="U146" s="832">
        <v>0</v>
      </c>
      <c r="V146" s="832">
        <v>0</v>
      </c>
      <c r="W146" s="832">
        <v>0</v>
      </c>
      <c r="X146" s="832">
        <v>0</v>
      </c>
      <c r="Y146" s="832">
        <v>0</v>
      </c>
      <c r="Z146" s="832">
        <v>0</v>
      </c>
      <c r="AA146" s="832">
        <v>0</v>
      </c>
      <c r="AB146" s="832">
        <v>0</v>
      </c>
      <c r="AC146" s="832">
        <v>0</v>
      </c>
      <c r="AD146" s="832">
        <v>0</v>
      </c>
      <c r="AE146" s="832">
        <v>0</v>
      </c>
      <c r="AF146" s="832">
        <v>0</v>
      </c>
      <c r="AG146" s="832">
        <v>0</v>
      </c>
      <c r="AH146" s="832">
        <v>0</v>
      </c>
      <c r="AI146" s="832">
        <v>0</v>
      </c>
      <c r="AJ146" s="1030" t="str">
        <f t="shared" si="12"/>
        <v>H01525</v>
      </c>
      <c r="AK146" s="1030" t="str">
        <f t="shared" si="13"/>
        <v>SVC ASSURANCE-CHOMAGE</v>
      </c>
      <c r="AL146" s="1030">
        <f>IFERROR(INDEX(G146:R146,1,MATCH(Parametres!$B$3,G$1:R$1,0)-1)*IF(OR(F146="L",F146="S",F146="I"),-1,1),"")</f>
        <v>0</v>
      </c>
      <c r="AM146" s="1030">
        <f t="shared" si="14"/>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t="str">
        <f t="shared" si="15"/>
        <v>H01525</v>
      </c>
      <c r="AU146" s="599" t="str">
        <f t="shared" si="16"/>
        <v>SVC ASSURANCE-CHOMAGE</v>
      </c>
      <c r="AV146" s="1030">
        <f>IFERROR(INDEX(V146:AG146,1,MATCH(Parametres!$B$3,V$1:AG$1,0)-1)*IF(OR(C146="L",C146="S",C146="I"),-1,1),"")</f>
        <v>0</v>
      </c>
      <c r="AW146" s="1030">
        <f t="shared" si="17"/>
        <v>0</v>
      </c>
      <c r="AX146" s="1030">
        <f>INDEX(V146:AG146,1,MATCH(Parametres!$B$3,V$1:AG$1,0))*IF(OR(C146="L",C146="S",C146="I"),-1,1)</f>
        <v>0</v>
      </c>
      <c r="AY146" s="598" t="s">
        <v>337</v>
      </c>
      <c r="AZ146" s="598" t="e">
        <f>+VLOOKUP($AJ146,Data_Validation!$A:$E,5,0)</f>
        <v>#N/A</v>
      </c>
    </row>
    <row r="147" spans="1:52" ht="15" customHeight="1">
      <c r="A147" s="832" t="s">
        <v>1150</v>
      </c>
      <c r="B147" s="832">
        <v>2025</v>
      </c>
      <c r="C147" s="832" t="s">
        <v>1440</v>
      </c>
      <c r="D147" s="832" t="s">
        <v>1441</v>
      </c>
      <c r="E147" s="832" t="s">
        <v>333</v>
      </c>
      <c r="F147" s="832" t="s">
        <v>1119</v>
      </c>
      <c r="G147" s="832">
        <v>1258.29</v>
      </c>
      <c r="H147" s="832">
        <v>2480.81</v>
      </c>
      <c r="I147" s="832">
        <v>3667.54</v>
      </c>
      <c r="J147" s="832">
        <v>4906.78</v>
      </c>
      <c r="K147" s="832">
        <v>6238.83</v>
      </c>
      <c r="L147" s="832">
        <v>7591.97</v>
      </c>
      <c r="M147" s="832">
        <v>9046.75</v>
      </c>
      <c r="N147" s="832">
        <v>10450.219999999999</v>
      </c>
      <c r="O147" s="832">
        <v>11521.48</v>
      </c>
      <c r="P147" s="832">
        <v>13161.88</v>
      </c>
      <c r="Q147" s="832">
        <v>14289.3</v>
      </c>
      <c r="R147" s="832">
        <v>15590.81</v>
      </c>
      <c r="S147" s="832">
        <v>1299.03</v>
      </c>
      <c r="T147" s="832">
        <v>1299.03</v>
      </c>
      <c r="U147" s="832">
        <v>0</v>
      </c>
      <c r="V147" s="832">
        <v>0</v>
      </c>
      <c r="W147" s="832">
        <v>0</v>
      </c>
      <c r="X147" s="832">
        <v>0</v>
      </c>
      <c r="Y147" s="832">
        <v>0</v>
      </c>
      <c r="Z147" s="832">
        <v>0</v>
      </c>
      <c r="AA147" s="832">
        <v>0</v>
      </c>
      <c r="AB147" s="832">
        <v>0</v>
      </c>
      <c r="AC147" s="832">
        <v>0</v>
      </c>
      <c r="AD147" s="832">
        <v>0</v>
      </c>
      <c r="AE147" s="832">
        <v>0</v>
      </c>
      <c r="AF147" s="832">
        <v>0</v>
      </c>
      <c r="AG147" s="832">
        <v>0</v>
      </c>
      <c r="AH147" s="832">
        <v>0</v>
      </c>
      <c r="AI147" s="832">
        <v>0</v>
      </c>
      <c r="AJ147" s="1030" t="str">
        <f t="shared" si="12"/>
        <v>H01526</v>
      </c>
      <c r="AK147" s="1030" t="str">
        <f t="shared" si="13"/>
        <v>SVC ASSURANCE GROUPE</v>
      </c>
      <c r="AL147" s="1030">
        <f>IFERROR(INDEX(G147:R147,1,MATCH(Parametres!$B$3,G$1:R$1,0)-1)*IF(OR(F147="L",F147="S",F147="I"),-1,1),"")</f>
        <v>4906.78</v>
      </c>
      <c r="AM147" s="1030">
        <f t="shared" si="14"/>
        <v>1332.0500000000002</v>
      </c>
      <c r="AN147" s="1030">
        <f>INDEX(G147:R147,1,MATCH(Parametres!$B$3,G$1:R$1,0))*IF(OR(F147="L",F147="S",F147="I"),-1,1)</f>
        <v>6238.83</v>
      </c>
      <c r="AO147" s="598" t="str">
        <f>+VLOOKUP($AJ147,Data_Validation!$A:$D,1,0)</f>
        <v>H01526</v>
      </c>
      <c r="AP147" s="598" t="str">
        <f>+VLOOKUP($AJ147,Data_Validation!$A:$D,3,0)</f>
        <v>Service</v>
      </c>
      <c r="AQ147" s="598" t="str">
        <f>+VLOOKUP($AJ147,Data_Validation!$A:$D,4,0)</f>
        <v>Bénéfices marginaux</v>
      </c>
      <c r="AR147" s="598" t="s">
        <v>299</v>
      </c>
      <c r="AS147" s="598">
        <f>+VLOOKUP($AJ147,Data_Validation!$A:$E,5,0)</f>
        <v>0</v>
      </c>
      <c r="AT147" s="1036" t="str">
        <f t="shared" si="15"/>
        <v>H01526</v>
      </c>
      <c r="AU147" s="599" t="str">
        <f t="shared" si="16"/>
        <v>SVC ASSURANCE GROUPE</v>
      </c>
      <c r="AV147" s="1030">
        <f>IFERROR(INDEX(V147:AG147,1,MATCH(Parametres!$B$3,V$1:AG$1,0)-1)*IF(OR(C147="L",C147="S",C147="I"),-1,1),"")</f>
        <v>0</v>
      </c>
      <c r="AW147" s="1030">
        <f t="shared" si="17"/>
        <v>0</v>
      </c>
      <c r="AX147" s="1030">
        <f>INDEX(V147:AG147,1,MATCH(Parametres!$B$3,V$1:AG$1,0))*IF(OR(C147="L",C147="S",C147="I"),-1,1)</f>
        <v>0</v>
      </c>
      <c r="AY147" s="598" t="s">
        <v>337</v>
      </c>
      <c r="AZ147" s="598">
        <f>+VLOOKUP($AJ147,Data_Validation!$A:$E,5,0)</f>
        <v>0</v>
      </c>
    </row>
    <row r="148" spans="1:52" ht="15" customHeight="1">
      <c r="A148" s="832" t="s">
        <v>1150</v>
      </c>
      <c r="B148" s="832">
        <v>2025</v>
      </c>
      <c r="C148" s="832" t="s">
        <v>1442</v>
      </c>
      <c r="D148" s="832" t="s">
        <v>1443</v>
      </c>
      <c r="E148" s="832" t="s">
        <v>333</v>
      </c>
      <c r="F148" s="832" t="s">
        <v>1119</v>
      </c>
      <c r="G148" s="832">
        <v>16273.09</v>
      </c>
      <c r="H148" s="832">
        <v>29789.52</v>
      </c>
      <c r="I148" s="832">
        <v>42756.97</v>
      </c>
      <c r="J148" s="832">
        <v>57945.279999999999</v>
      </c>
      <c r="K148" s="832">
        <v>73590.16</v>
      </c>
      <c r="L148" s="832">
        <v>88464.27</v>
      </c>
      <c r="M148" s="832">
        <v>101877.65</v>
      </c>
      <c r="N148" s="832">
        <v>115431.79</v>
      </c>
      <c r="O148" s="832">
        <v>123267.46</v>
      </c>
      <c r="P148" s="832">
        <v>136053.34</v>
      </c>
      <c r="Q148" s="832">
        <v>145435.37</v>
      </c>
      <c r="R148" s="832">
        <v>156828.78</v>
      </c>
      <c r="S148" s="832">
        <v>13221.4</v>
      </c>
      <c r="T148" s="832">
        <v>13221.4</v>
      </c>
      <c r="U148" s="832">
        <v>0</v>
      </c>
      <c r="V148" s="832">
        <v>0</v>
      </c>
      <c r="W148" s="832">
        <v>0</v>
      </c>
      <c r="X148" s="832">
        <v>0</v>
      </c>
      <c r="Y148" s="832">
        <v>0</v>
      </c>
      <c r="Z148" s="832">
        <v>0</v>
      </c>
      <c r="AA148" s="832">
        <v>0</v>
      </c>
      <c r="AB148" s="832">
        <v>0</v>
      </c>
      <c r="AC148" s="832">
        <v>0</v>
      </c>
      <c r="AD148" s="832">
        <v>0</v>
      </c>
      <c r="AE148" s="832">
        <v>0</v>
      </c>
      <c r="AF148" s="832">
        <v>0</v>
      </c>
      <c r="AG148" s="832">
        <v>0</v>
      </c>
      <c r="AH148" s="832">
        <v>0</v>
      </c>
      <c r="AI148" s="832">
        <v>0</v>
      </c>
      <c r="AJ148" s="1030" t="str">
        <f t="shared" si="12"/>
        <v>H01527</v>
      </c>
      <c r="AK148" s="1030" t="str">
        <f t="shared" si="13"/>
        <v>SVC AUTRES AV. SOCIAUX</v>
      </c>
      <c r="AL148" s="1030">
        <f>IFERROR(INDEX(G148:R148,1,MATCH(Parametres!$B$3,G$1:R$1,0)-1)*IF(OR(F148="L",F148="S",F148="I"),-1,1),"")</f>
        <v>57945.279999999999</v>
      </c>
      <c r="AM148" s="1030">
        <f t="shared" si="14"/>
        <v>15644.880000000005</v>
      </c>
      <c r="AN148" s="1030">
        <f>INDEX(G148:R148,1,MATCH(Parametres!$B$3,G$1:R$1,0))*IF(OR(F148="L",F148="S",F148="I"),-1,1)</f>
        <v>73590.16</v>
      </c>
      <c r="AO148" s="598" t="str">
        <f>+VLOOKUP($AJ148,Data_Validation!$A:$D,1,0)</f>
        <v>H01527</v>
      </c>
      <c r="AP148" s="598" t="str">
        <f>+VLOOKUP($AJ148,Data_Validation!$A:$D,3,0)</f>
        <v>Service</v>
      </c>
      <c r="AQ148" s="598" t="str">
        <f>+VLOOKUP($AJ148,Data_Validation!$A:$D,4,0)</f>
        <v>Déduction à la source</v>
      </c>
      <c r="AR148" s="598" t="s">
        <v>299</v>
      </c>
      <c r="AS148" s="598">
        <f>+VLOOKUP($AJ148,Data_Validation!$A:$E,5,0)</f>
        <v>0</v>
      </c>
      <c r="AT148" s="1036" t="str">
        <f t="shared" si="15"/>
        <v>H01527</v>
      </c>
      <c r="AU148" s="599" t="str">
        <f t="shared" si="16"/>
        <v>SVC AUTRES AV. SOCIAUX</v>
      </c>
      <c r="AV148" s="1030">
        <f>IFERROR(INDEX(V148:AG148,1,MATCH(Parametres!$B$3,V$1:AG$1,0)-1)*IF(OR(C148="L",C148="S",C148="I"),-1,1),"")</f>
        <v>0</v>
      </c>
      <c r="AW148" s="1030">
        <f t="shared" si="17"/>
        <v>0</v>
      </c>
      <c r="AX148" s="1030">
        <f>INDEX(V148:AG148,1,MATCH(Parametres!$B$3,V$1:AG$1,0))*IF(OR(C148="L",C148="S",C148="I"),-1,1)</f>
        <v>0</v>
      </c>
      <c r="AY148" s="598" t="s">
        <v>337</v>
      </c>
      <c r="AZ148" s="598">
        <f>+VLOOKUP($AJ148,Data_Validation!$A:$E,5,0)</f>
        <v>0</v>
      </c>
    </row>
    <row r="149" spans="1:52" ht="15" customHeight="1">
      <c r="A149" s="832" t="s">
        <v>1150</v>
      </c>
      <c r="B149" s="832">
        <v>2025</v>
      </c>
      <c r="C149" s="832" t="s">
        <v>1444</v>
      </c>
      <c r="D149" s="832" t="s">
        <v>1445</v>
      </c>
      <c r="E149" s="832" t="s">
        <v>333</v>
      </c>
      <c r="F149" s="832" t="s">
        <v>1119</v>
      </c>
      <c r="G149" s="832">
        <v>775</v>
      </c>
      <c r="H149" s="832">
        <v>1550</v>
      </c>
      <c r="I149" s="832">
        <v>2783.08</v>
      </c>
      <c r="J149" s="832">
        <v>4393.46</v>
      </c>
      <c r="K149" s="832">
        <v>6376.46</v>
      </c>
      <c r="L149" s="832">
        <v>7151.46</v>
      </c>
      <c r="M149" s="832">
        <v>7926.46</v>
      </c>
      <c r="N149" s="832">
        <v>7926.46</v>
      </c>
      <c r="O149" s="832">
        <v>8701.4599999999991</v>
      </c>
      <c r="P149" s="832">
        <v>10251.459999999999</v>
      </c>
      <c r="Q149" s="832">
        <v>10251.459999999999</v>
      </c>
      <c r="R149" s="832">
        <v>11801.46</v>
      </c>
      <c r="S149" s="832">
        <v>931.95</v>
      </c>
      <c r="T149" s="832">
        <v>931.95</v>
      </c>
      <c r="U149" s="832">
        <v>0</v>
      </c>
      <c r="V149" s="832">
        <v>0</v>
      </c>
      <c r="W149" s="832">
        <v>0</v>
      </c>
      <c r="X149" s="832">
        <v>0</v>
      </c>
      <c r="Y149" s="832">
        <v>0</v>
      </c>
      <c r="Z149" s="832">
        <v>0</v>
      </c>
      <c r="AA149" s="832">
        <v>0</v>
      </c>
      <c r="AB149" s="832">
        <v>0</v>
      </c>
      <c r="AC149" s="832">
        <v>0</v>
      </c>
      <c r="AD149" s="832">
        <v>0</v>
      </c>
      <c r="AE149" s="832">
        <v>0</v>
      </c>
      <c r="AF149" s="832">
        <v>0</v>
      </c>
      <c r="AG149" s="832">
        <v>0</v>
      </c>
      <c r="AH149" s="832">
        <v>0</v>
      </c>
      <c r="AI149" s="832">
        <v>0</v>
      </c>
      <c r="AJ149" s="1030" t="str">
        <f t="shared" si="12"/>
        <v>H01528</v>
      </c>
      <c r="AK149" s="1030" t="str">
        <f t="shared" si="13"/>
        <v>SVC FORMATION</v>
      </c>
      <c r="AL149" s="1030">
        <f>IFERROR(INDEX(G149:R149,1,MATCH(Parametres!$B$3,G$1:R$1,0)-1)*IF(OR(F149="L",F149="S",F149="I"),-1,1),"")</f>
        <v>4393.46</v>
      </c>
      <c r="AM149" s="1030">
        <f t="shared" si="14"/>
        <v>1983</v>
      </c>
      <c r="AN149" s="1030">
        <f>INDEX(G149:R149,1,MATCH(Parametres!$B$3,G$1:R$1,0))*IF(OR(F149="L",F149="S",F149="I"),-1,1)</f>
        <v>6376.46</v>
      </c>
      <c r="AO149" s="598" t="str">
        <f>+VLOOKUP($AJ149,Data_Validation!$A:$D,1,0)</f>
        <v>H01528</v>
      </c>
      <c r="AP149" s="598" t="str">
        <f>+VLOOKUP($AJ149,Data_Validation!$A:$D,3,0)</f>
        <v>Service</v>
      </c>
      <c r="AQ149" s="598" t="str">
        <f>+VLOOKUP($AJ149,Data_Validation!$A:$D,4,0)</f>
        <v>Formation</v>
      </c>
      <c r="AR149" s="598" t="s">
        <v>299</v>
      </c>
      <c r="AS149" s="598">
        <f>+VLOOKUP($AJ149,Data_Validation!$A:$E,5,0)</f>
        <v>0</v>
      </c>
      <c r="AT149" s="1036" t="str">
        <f t="shared" si="15"/>
        <v>H01528</v>
      </c>
      <c r="AU149" s="599" t="str">
        <f t="shared" si="16"/>
        <v>SVC FORMATION</v>
      </c>
      <c r="AV149" s="1030">
        <f>IFERROR(INDEX(V149:AG149,1,MATCH(Parametres!$B$3,V$1:AG$1,0)-1)*IF(OR(C149="L",C149="S",C149="I"),-1,1),"")</f>
        <v>0</v>
      </c>
      <c r="AW149" s="1030">
        <f t="shared" si="17"/>
        <v>0</v>
      </c>
      <c r="AX149" s="1030">
        <f>INDEX(V149:AG149,1,MATCH(Parametres!$B$3,V$1:AG$1,0))*IF(OR(C149="L",C149="S",C149="I"),-1,1)</f>
        <v>0</v>
      </c>
      <c r="AY149" s="598" t="s">
        <v>337</v>
      </c>
      <c r="AZ149" s="598">
        <f>+VLOOKUP($AJ149,Data_Validation!$A:$E,5,0)</f>
        <v>0</v>
      </c>
    </row>
    <row r="150" spans="1:52" ht="15" customHeight="1">
      <c r="A150" s="832" t="s">
        <v>1150</v>
      </c>
      <c r="B150" s="832">
        <v>2025</v>
      </c>
      <c r="C150" s="832" t="s">
        <v>1446</v>
      </c>
      <c r="D150" s="832" t="s">
        <v>1447</v>
      </c>
      <c r="E150" s="832" t="s">
        <v>333</v>
      </c>
      <c r="F150" s="832" t="s">
        <v>1119</v>
      </c>
      <c r="G150" s="832">
        <v>1335.26</v>
      </c>
      <c r="H150" s="832">
        <v>1869.31</v>
      </c>
      <c r="I150" s="832">
        <v>2256.86</v>
      </c>
      <c r="J150" s="832">
        <v>2806.55</v>
      </c>
      <c r="K150" s="832">
        <v>3735.3</v>
      </c>
      <c r="L150" s="832">
        <v>4683.01</v>
      </c>
      <c r="M150" s="832">
        <v>5522.78</v>
      </c>
      <c r="N150" s="832">
        <v>6413.53</v>
      </c>
      <c r="O150" s="832">
        <v>7175.33</v>
      </c>
      <c r="P150" s="832">
        <v>7619.14</v>
      </c>
      <c r="Q150" s="832">
        <v>8490.2099999999991</v>
      </c>
      <c r="R150" s="832">
        <v>9237.8799999999992</v>
      </c>
      <c r="S150" s="832">
        <v>771.84</v>
      </c>
      <c r="T150" s="832">
        <v>771.84</v>
      </c>
      <c r="U150" s="832">
        <v>0</v>
      </c>
      <c r="V150" s="832">
        <v>0</v>
      </c>
      <c r="W150" s="832">
        <v>0</v>
      </c>
      <c r="X150" s="832">
        <v>0</v>
      </c>
      <c r="Y150" s="832">
        <v>0</v>
      </c>
      <c r="Z150" s="832">
        <v>0</v>
      </c>
      <c r="AA150" s="832">
        <v>0</v>
      </c>
      <c r="AB150" s="832">
        <v>0</v>
      </c>
      <c r="AC150" s="832">
        <v>0</v>
      </c>
      <c r="AD150" s="832">
        <v>0</v>
      </c>
      <c r="AE150" s="832">
        <v>0</v>
      </c>
      <c r="AF150" s="832">
        <v>0</v>
      </c>
      <c r="AG150" s="832">
        <v>0</v>
      </c>
      <c r="AH150" s="832">
        <v>0</v>
      </c>
      <c r="AI150" s="832">
        <v>0</v>
      </c>
      <c r="AJ150" s="1030" t="str">
        <f t="shared" si="12"/>
        <v>H01530</v>
      </c>
      <c r="AK150" s="1030" t="str">
        <f t="shared" si="13"/>
        <v>SVC PAPETRIE-FOUR. BUREAU</v>
      </c>
      <c r="AL150" s="1030">
        <f>IFERROR(INDEX(G150:R150,1,MATCH(Parametres!$B$3,G$1:R$1,0)-1)*IF(OR(F150="L",F150="S",F150="I"),-1,1),"")</f>
        <v>2806.55</v>
      </c>
      <c r="AM150" s="1030">
        <f t="shared" si="14"/>
        <v>928.75</v>
      </c>
      <c r="AN150" s="1030">
        <f>INDEX(G150:R150,1,MATCH(Parametres!$B$3,G$1:R$1,0))*IF(OR(F150="L",F150="S",F150="I"),-1,1)</f>
        <v>3735.3</v>
      </c>
      <c r="AO150" s="598" t="str">
        <f>+VLOOKUP($AJ150,Data_Validation!$A:$D,1,0)</f>
        <v>H01530</v>
      </c>
      <c r="AP150" s="598" t="str">
        <f>+VLOOKUP($AJ150,Data_Validation!$A:$D,3,0)</f>
        <v>Service</v>
      </c>
      <c r="AQ150" s="598" t="str">
        <f>+VLOOKUP($AJ150,Data_Validation!$A:$D,4,0)</f>
        <v>Papeterie</v>
      </c>
      <c r="AR150" s="598" t="s">
        <v>299</v>
      </c>
      <c r="AS150" s="598">
        <f>+VLOOKUP($AJ150,Data_Validation!$A:$E,5,0)</f>
        <v>0</v>
      </c>
      <c r="AT150" s="1036" t="str">
        <f t="shared" si="15"/>
        <v>H01530</v>
      </c>
      <c r="AU150" s="599" t="str">
        <f t="shared" si="16"/>
        <v>SVC PAPETRIE-FOUR. BUREAU</v>
      </c>
      <c r="AV150" s="1030">
        <f>IFERROR(INDEX(V150:AG150,1,MATCH(Parametres!$B$3,V$1:AG$1,0)-1)*IF(OR(C150="L",C150="S",C150="I"),-1,1),"")</f>
        <v>0</v>
      </c>
      <c r="AW150" s="1030">
        <f t="shared" si="17"/>
        <v>0</v>
      </c>
      <c r="AX150" s="1030">
        <f>INDEX(V150:AG150,1,MATCH(Parametres!$B$3,V$1:AG$1,0))*IF(OR(C150="L",C150="S",C150="I"),-1,1)</f>
        <v>0</v>
      </c>
      <c r="AY150" s="598" t="s">
        <v>337</v>
      </c>
      <c r="AZ150" s="598">
        <f>+VLOOKUP($AJ150,Data_Validation!$A:$E,5,0)</f>
        <v>0</v>
      </c>
    </row>
    <row r="151" spans="1:52" ht="15.75" customHeight="1">
      <c r="A151" s="832" t="s">
        <v>1150</v>
      </c>
      <c r="B151" s="832">
        <v>2025</v>
      </c>
      <c r="C151" s="832" t="s">
        <v>1448</v>
      </c>
      <c r="D151" s="832" t="s">
        <v>1449</v>
      </c>
      <c r="E151" s="832" t="s">
        <v>333</v>
      </c>
      <c r="F151" s="832" t="s">
        <v>1119</v>
      </c>
      <c r="G151" s="832">
        <v>5444.81</v>
      </c>
      <c r="H151" s="832">
        <v>8381.15</v>
      </c>
      <c r="I151" s="832">
        <v>11281.45</v>
      </c>
      <c r="J151" s="832">
        <v>19457.939999999999</v>
      </c>
      <c r="K151" s="832">
        <v>24415.31</v>
      </c>
      <c r="L151" s="832">
        <v>29318.77</v>
      </c>
      <c r="M151" s="832">
        <v>33275.699999999997</v>
      </c>
      <c r="N151" s="832">
        <v>38537.71</v>
      </c>
      <c r="O151" s="832">
        <v>42115.75</v>
      </c>
      <c r="P151" s="832">
        <v>48428.06</v>
      </c>
      <c r="Q151" s="832">
        <v>56085.11</v>
      </c>
      <c r="R151" s="832">
        <v>59973.39</v>
      </c>
      <c r="S151" s="832">
        <v>5098.6499999999996</v>
      </c>
      <c r="T151" s="832">
        <v>5098.6499999999996</v>
      </c>
      <c r="U151" s="832">
        <v>0</v>
      </c>
      <c r="V151" s="832">
        <v>0</v>
      </c>
      <c r="W151" s="832">
        <v>0</v>
      </c>
      <c r="X151" s="832">
        <v>0</v>
      </c>
      <c r="Y151" s="832">
        <v>0</v>
      </c>
      <c r="Z151" s="832">
        <v>0</v>
      </c>
      <c r="AA151" s="832">
        <v>0</v>
      </c>
      <c r="AB151" s="832">
        <v>0</v>
      </c>
      <c r="AC151" s="832">
        <v>0</v>
      </c>
      <c r="AD151" s="832">
        <v>0</v>
      </c>
      <c r="AE151" s="832">
        <v>0</v>
      </c>
      <c r="AF151" s="832">
        <v>0</v>
      </c>
      <c r="AG151" s="832">
        <v>0</v>
      </c>
      <c r="AH151" s="832">
        <v>0</v>
      </c>
      <c r="AI151" s="832">
        <v>0</v>
      </c>
      <c r="AJ151" s="1030" t="str">
        <f t="shared" si="12"/>
        <v>H01531</v>
      </c>
      <c r="AK151" s="1030" t="str">
        <f t="shared" si="13"/>
        <v>SVC OUTIL-FOUR.DIVERS</v>
      </c>
      <c r="AL151" s="1030">
        <f>IFERROR(INDEX(G151:R151,1,MATCH(Parametres!$B$3,G$1:R$1,0)-1)*IF(OR(F151="L",F151="S",F151="I"),-1,1),"")</f>
        <v>19457.939999999999</v>
      </c>
      <c r="AM151" s="1030">
        <f t="shared" si="14"/>
        <v>4957.3700000000026</v>
      </c>
      <c r="AN151" s="1030">
        <f>INDEX(G151:R151,1,MATCH(Parametres!$B$3,G$1:R$1,0))*IF(OR(F151="L",F151="S",F151="I"),-1,1)</f>
        <v>24415.31</v>
      </c>
      <c r="AO151" s="598" t="str">
        <f>+VLOOKUP($AJ151,Data_Validation!$A:$D,1,0)</f>
        <v>H01531</v>
      </c>
      <c r="AP151" s="598" t="str">
        <f>+VLOOKUP($AJ151,Data_Validation!$A:$D,3,0)</f>
        <v>Service</v>
      </c>
      <c r="AQ151" s="598" t="str">
        <f>+VLOOKUP($AJ151,Data_Validation!$A:$D,4,0)</f>
        <v>Fournitures d'atelier</v>
      </c>
      <c r="AR151" s="598" t="s">
        <v>299</v>
      </c>
      <c r="AS151" s="598">
        <f>+VLOOKUP($AJ151,Data_Validation!$A:$E,5,0)</f>
        <v>0</v>
      </c>
      <c r="AT151" s="1036" t="str">
        <f t="shared" si="15"/>
        <v>H01531</v>
      </c>
      <c r="AU151" s="599" t="str">
        <f t="shared" si="16"/>
        <v>SVC OUTIL-FOUR.DIVERS</v>
      </c>
      <c r="AV151" s="1030">
        <f>IFERROR(INDEX(V151:AG151,1,MATCH(Parametres!$B$3,V$1:AG$1,0)-1)*IF(OR(C151="L",C151="S",C151="I"),-1,1),"")</f>
        <v>0</v>
      </c>
      <c r="AW151" s="1030">
        <f t="shared" si="17"/>
        <v>0</v>
      </c>
      <c r="AX151" s="1030">
        <f>INDEX(V151:AG151,1,MATCH(Parametres!$B$3,V$1:AG$1,0))*IF(OR(C151="L",C151="S",C151="I"),-1,1)</f>
        <v>0</v>
      </c>
      <c r="AY151" s="598" t="s">
        <v>337</v>
      </c>
      <c r="AZ151" s="598">
        <f>+VLOOKUP($AJ151,Data_Validation!$A:$E,5,0)</f>
        <v>0</v>
      </c>
    </row>
    <row r="152" spans="1:52" ht="15" customHeight="1">
      <c r="A152" s="832" t="s">
        <v>1150</v>
      </c>
      <c r="B152" s="832">
        <v>2025</v>
      </c>
      <c r="C152" s="832" t="s">
        <v>1450</v>
      </c>
      <c r="D152" s="832" t="s">
        <v>1451</v>
      </c>
      <c r="E152" s="832" t="s">
        <v>333</v>
      </c>
      <c r="F152" s="832" t="s">
        <v>1119</v>
      </c>
      <c r="G152" s="832">
        <v>1632.83</v>
      </c>
      <c r="H152" s="832">
        <v>3342.41</v>
      </c>
      <c r="I152" s="832">
        <v>5566.87</v>
      </c>
      <c r="J152" s="832">
        <v>7665.07</v>
      </c>
      <c r="K152" s="832">
        <v>9710.93</v>
      </c>
      <c r="L152" s="832">
        <v>10926.62</v>
      </c>
      <c r="M152" s="832">
        <v>12829.62</v>
      </c>
      <c r="N152" s="832">
        <v>14096.58</v>
      </c>
      <c r="O152" s="832">
        <v>15180.23</v>
      </c>
      <c r="P152" s="832">
        <v>17533.41</v>
      </c>
      <c r="Q152" s="832">
        <v>18154.39</v>
      </c>
      <c r="R152" s="832">
        <v>20255.87</v>
      </c>
      <c r="S152" s="832">
        <v>1650.4</v>
      </c>
      <c r="T152" s="832">
        <v>1650.4</v>
      </c>
      <c r="U152" s="832">
        <v>0</v>
      </c>
      <c r="V152" s="832">
        <v>0</v>
      </c>
      <c r="W152" s="832">
        <v>0</v>
      </c>
      <c r="X152" s="832">
        <v>0</v>
      </c>
      <c r="Y152" s="832">
        <v>0</v>
      </c>
      <c r="Z152" s="832">
        <v>0</v>
      </c>
      <c r="AA152" s="832">
        <v>0</v>
      </c>
      <c r="AB152" s="832">
        <v>0</v>
      </c>
      <c r="AC152" s="832">
        <v>0</v>
      </c>
      <c r="AD152" s="832">
        <v>0</v>
      </c>
      <c r="AE152" s="832">
        <v>0</v>
      </c>
      <c r="AF152" s="832">
        <v>0</v>
      </c>
      <c r="AG152" s="832">
        <v>0</v>
      </c>
      <c r="AH152" s="832">
        <v>0</v>
      </c>
      <c r="AI152" s="832">
        <v>0</v>
      </c>
      <c r="AJ152" s="1030" t="str">
        <f t="shared" si="12"/>
        <v>H01534</v>
      </c>
      <c r="AK152" s="1030" t="str">
        <f t="shared" si="13"/>
        <v>SVC UNIFORMES-SALOPETTES</v>
      </c>
      <c r="AL152" s="1030">
        <f>IFERROR(INDEX(G152:R152,1,MATCH(Parametres!$B$3,G$1:R$1,0)-1)*IF(OR(F152="L",F152="S",F152="I"),-1,1),"")</f>
        <v>7665.07</v>
      </c>
      <c r="AM152" s="1030">
        <f t="shared" si="14"/>
        <v>2045.8600000000006</v>
      </c>
      <c r="AN152" s="1030">
        <f>INDEX(G152:R152,1,MATCH(Parametres!$B$3,G$1:R$1,0))*IF(OR(F152="L",F152="S",F152="I"),-1,1)</f>
        <v>9710.93</v>
      </c>
      <c r="AO152" s="598" t="str">
        <f>+VLOOKUP($AJ152,Data_Validation!$A:$D,1,0)</f>
        <v>H01534</v>
      </c>
      <c r="AP152" s="598" t="str">
        <f>+VLOOKUP($AJ152,Data_Validation!$A:$D,3,0)</f>
        <v>Service</v>
      </c>
      <c r="AQ152" s="598" t="str">
        <f>+VLOOKUP($AJ152,Data_Validation!$A:$D,4,0)</f>
        <v>Uniformes</v>
      </c>
      <c r="AR152" s="598" t="s">
        <v>299</v>
      </c>
      <c r="AS152" s="598">
        <f>+VLOOKUP($AJ152,Data_Validation!$A:$E,5,0)</f>
        <v>0</v>
      </c>
      <c r="AT152" s="1036" t="str">
        <f t="shared" si="15"/>
        <v>H01534</v>
      </c>
      <c r="AU152" s="599" t="str">
        <f t="shared" si="16"/>
        <v>SVC UNIFORMES-SALOPETTES</v>
      </c>
      <c r="AV152" s="1030">
        <f>IFERROR(INDEX(V152:AG152,1,MATCH(Parametres!$B$3,V$1:AG$1,0)-1)*IF(OR(C152="L",C152="S",C152="I"),-1,1),"")</f>
        <v>0</v>
      </c>
      <c r="AW152" s="1030">
        <f t="shared" si="17"/>
        <v>0</v>
      </c>
      <c r="AX152" s="1030">
        <f>INDEX(V152:AG152,1,MATCH(Parametres!$B$3,V$1:AG$1,0))*IF(OR(C152="L",C152="S",C152="I"),-1,1)</f>
        <v>0</v>
      </c>
      <c r="AY152" s="598" t="s">
        <v>337</v>
      </c>
      <c r="AZ152" s="598">
        <f>+VLOOKUP($AJ152,Data_Validation!$A:$E,5,0)</f>
        <v>0</v>
      </c>
    </row>
    <row r="153" spans="1:52" ht="15" customHeight="1">
      <c r="A153" s="832" t="s">
        <v>1150</v>
      </c>
      <c r="B153" s="832">
        <v>2025</v>
      </c>
      <c r="C153" s="832" t="s">
        <v>1452</v>
      </c>
      <c r="D153" s="832" t="s">
        <v>1453</v>
      </c>
      <c r="E153" s="832" t="s">
        <v>333</v>
      </c>
      <c r="F153" s="832" t="s">
        <v>1119</v>
      </c>
      <c r="G153" s="832">
        <v>0</v>
      </c>
      <c r="H153" s="832">
        <v>0</v>
      </c>
      <c r="I153" s="832">
        <v>0</v>
      </c>
      <c r="J153" s="832">
        <v>0</v>
      </c>
      <c r="K153" s="832">
        <v>1365</v>
      </c>
      <c r="L153" s="832">
        <v>2665</v>
      </c>
      <c r="M153" s="832">
        <v>2665</v>
      </c>
      <c r="N153" s="832">
        <v>2665</v>
      </c>
      <c r="O153" s="832">
        <v>4030</v>
      </c>
      <c r="P153" s="832">
        <v>6124.59</v>
      </c>
      <c r="Q153" s="832">
        <v>8186.18</v>
      </c>
      <c r="R153" s="832">
        <v>10397.19</v>
      </c>
      <c r="S153" s="832">
        <v>744.2</v>
      </c>
      <c r="T153" s="832">
        <v>744.2</v>
      </c>
      <c r="U153" s="832">
        <v>0</v>
      </c>
      <c r="V153" s="832">
        <v>0</v>
      </c>
      <c r="W153" s="832">
        <v>0</v>
      </c>
      <c r="X153" s="832">
        <v>0</v>
      </c>
      <c r="Y153" s="832">
        <v>0</v>
      </c>
      <c r="Z153" s="832">
        <v>0</v>
      </c>
      <c r="AA153" s="832">
        <v>0</v>
      </c>
      <c r="AB153" s="832">
        <v>0</v>
      </c>
      <c r="AC153" s="832">
        <v>0</v>
      </c>
      <c r="AD153" s="832">
        <v>0</v>
      </c>
      <c r="AE153" s="832">
        <v>0</v>
      </c>
      <c r="AF153" s="832">
        <v>0</v>
      </c>
      <c r="AG153" s="832">
        <v>0</v>
      </c>
      <c r="AH153" s="832">
        <v>0</v>
      </c>
      <c r="AI153" s="832">
        <v>0</v>
      </c>
      <c r="AJ153" s="1030" t="str">
        <f t="shared" si="12"/>
        <v>H01535</v>
      </c>
      <c r="AK153" s="1030" t="str">
        <f t="shared" si="13"/>
        <v>SVC CONCIERGE-NETTOYAGE</v>
      </c>
      <c r="AL153" s="1030">
        <f>IFERROR(INDEX(G153:R153,1,MATCH(Parametres!$B$3,G$1:R$1,0)-1)*IF(OR(F153="L",F153="S",F153="I"),-1,1),"")</f>
        <v>0</v>
      </c>
      <c r="AM153" s="1030">
        <f t="shared" si="14"/>
        <v>1365</v>
      </c>
      <c r="AN153" s="1030">
        <f>INDEX(G153:R153,1,MATCH(Parametres!$B$3,G$1:R$1,0))*IF(OR(F153="L",F153="S",F153="I"),-1,1)</f>
        <v>1365</v>
      </c>
      <c r="AO153" s="598" t="str">
        <f>+VLOOKUP($AJ153,Data_Validation!$A:$D,1,0)</f>
        <v>H01535</v>
      </c>
      <c r="AP153" s="598" t="str">
        <f>+VLOOKUP($AJ153,Data_Validation!$A:$D,3,0)</f>
        <v>Service</v>
      </c>
      <c r="AQ153" s="598" t="str">
        <f>+VLOOKUP($AJ153,Data_Validation!$A:$D,4,0)</f>
        <v>Services extérieurs</v>
      </c>
      <c r="AR153" s="598" t="s">
        <v>299</v>
      </c>
      <c r="AS153" s="598">
        <f>+VLOOKUP($AJ153,Data_Validation!$A:$E,5,0)</f>
        <v>0</v>
      </c>
      <c r="AT153" s="1036" t="str">
        <f t="shared" si="15"/>
        <v>H01535</v>
      </c>
      <c r="AU153" s="599" t="str">
        <f t="shared" si="16"/>
        <v>SVC CONCIERGE-NETTOYAGE</v>
      </c>
      <c r="AV153" s="1030">
        <f>IFERROR(INDEX(V153:AG153,1,MATCH(Parametres!$B$3,V$1:AG$1,0)-1)*IF(OR(C153="L",C153="S",C153="I"),-1,1),"")</f>
        <v>0</v>
      </c>
      <c r="AW153" s="1030">
        <f t="shared" si="17"/>
        <v>0</v>
      </c>
      <c r="AX153" s="1030">
        <f>INDEX(V153:AG153,1,MATCH(Parametres!$B$3,V$1:AG$1,0))*IF(OR(C153="L",C153="S",C153="I"),-1,1)</f>
        <v>0</v>
      </c>
      <c r="AY153" s="598" t="s">
        <v>337</v>
      </c>
      <c r="AZ153" s="598">
        <f>+VLOOKUP($AJ153,Data_Validation!$A:$E,5,0)</f>
        <v>0</v>
      </c>
    </row>
    <row r="154" spans="1:52" ht="15" customHeight="1">
      <c r="A154" s="832" t="s">
        <v>1150</v>
      </c>
      <c r="B154" s="832">
        <v>2025</v>
      </c>
      <c r="C154" s="832" t="s">
        <v>1454</v>
      </c>
      <c r="D154" s="832" t="s">
        <v>1455</v>
      </c>
      <c r="E154" s="832" t="s">
        <v>333</v>
      </c>
      <c r="F154" s="832" t="s">
        <v>1119</v>
      </c>
      <c r="G154" s="832">
        <v>3284.61</v>
      </c>
      <c r="H154" s="832">
        <v>5322.57</v>
      </c>
      <c r="I154" s="832">
        <v>9117.9699999999993</v>
      </c>
      <c r="J154" s="832">
        <v>14358.29</v>
      </c>
      <c r="K154" s="832">
        <v>17640.27</v>
      </c>
      <c r="L154" s="832">
        <v>20385.16</v>
      </c>
      <c r="M154" s="832">
        <v>21670.89</v>
      </c>
      <c r="N154" s="832">
        <v>23375.16</v>
      </c>
      <c r="O154" s="832">
        <v>34347.82</v>
      </c>
      <c r="P154" s="832">
        <v>40283.69</v>
      </c>
      <c r="Q154" s="832">
        <v>48096.82</v>
      </c>
      <c r="R154" s="832">
        <v>50434.76</v>
      </c>
      <c r="S154" s="832">
        <v>4372.4399999999996</v>
      </c>
      <c r="T154" s="832">
        <v>4372.4399999999996</v>
      </c>
      <c r="U154" s="832">
        <v>0</v>
      </c>
      <c r="V154" s="832">
        <v>0</v>
      </c>
      <c r="W154" s="832">
        <v>0</v>
      </c>
      <c r="X154" s="832">
        <v>0</v>
      </c>
      <c r="Y154" s="832">
        <v>0</v>
      </c>
      <c r="Z154" s="832">
        <v>0</v>
      </c>
      <c r="AA154" s="832">
        <v>0</v>
      </c>
      <c r="AB154" s="832">
        <v>0</v>
      </c>
      <c r="AC154" s="832">
        <v>0</v>
      </c>
      <c r="AD154" s="832">
        <v>0</v>
      </c>
      <c r="AE154" s="832">
        <v>0</v>
      </c>
      <c r="AF154" s="832">
        <v>0</v>
      </c>
      <c r="AG154" s="832">
        <v>0</v>
      </c>
      <c r="AH154" s="832">
        <v>0</v>
      </c>
      <c r="AI154" s="832">
        <v>0</v>
      </c>
      <c r="AJ154" s="1030" t="str">
        <f t="shared" si="12"/>
        <v>H01537</v>
      </c>
      <c r="AK154" s="1030" t="str">
        <f t="shared" si="13"/>
        <v>SVC PRATIQUES COURTOISIE</v>
      </c>
      <c r="AL154" s="1030">
        <f>IFERROR(INDEX(G154:R154,1,MATCH(Parametres!$B$3,G$1:R$1,0)-1)*IF(OR(F154="L",F154="S",F154="I"),-1,1),"")</f>
        <v>14358.29</v>
      </c>
      <c r="AM154" s="1030">
        <f t="shared" si="14"/>
        <v>3281.9799999999996</v>
      </c>
      <c r="AN154" s="1030">
        <f>INDEX(G154:R154,1,MATCH(Parametres!$B$3,G$1:R$1,0))*IF(OR(F154="L",F154="S",F154="I"),-1,1)</f>
        <v>17640.27</v>
      </c>
      <c r="AO154" s="598" t="str">
        <f>+VLOOKUP($AJ154,Data_Validation!$A:$D,1,0)</f>
        <v>H01537</v>
      </c>
      <c r="AP154" s="598" t="str">
        <f>+VLOOKUP($AJ154,Data_Validation!$A:$D,3,0)</f>
        <v>Service</v>
      </c>
      <c r="AQ154" s="598" t="str">
        <f>+VLOOKUP($AJ154,Data_Validation!$A:$D,4,0)</f>
        <v>Frais véhicules de cie</v>
      </c>
      <c r="AR154" s="598" t="s">
        <v>299</v>
      </c>
      <c r="AS154" s="598">
        <f>+VLOOKUP($AJ154,Data_Validation!$A:$E,5,0)</f>
        <v>0</v>
      </c>
      <c r="AT154" s="1036" t="str">
        <f t="shared" si="15"/>
        <v>H01537</v>
      </c>
      <c r="AU154" s="599" t="str">
        <f t="shared" si="16"/>
        <v>SVC PRATIQUES COURTOISIE</v>
      </c>
      <c r="AV154" s="1030">
        <f>IFERROR(INDEX(V154:AG154,1,MATCH(Parametres!$B$3,V$1:AG$1,0)-1)*IF(OR(C154="L",C154="S",C154="I"),-1,1),"")</f>
        <v>0</v>
      </c>
      <c r="AW154" s="1030">
        <f t="shared" si="17"/>
        <v>0</v>
      </c>
      <c r="AX154" s="1030">
        <f>INDEX(V154:AG154,1,MATCH(Parametres!$B$3,V$1:AG$1,0))*IF(OR(C154="L",C154="S",C154="I"),-1,1)</f>
        <v>0</v>
      </c>
      <c r="AY154" s="598" t="s">
        <v>337</v>
      </c>
      <c r="AZ154" s="598">
        <f>+VLOOKUP($AJ154,Data_Validation!$A:$E,5,0)</f>
        <v>0</v>
      </c>
    </row>
    <row r="155" spans="1:52" ht="15.75" customHeight="1">
      <c r="A155" s="832" t="s">
        <v>1150</v>
      </c>
      <c r="B155" s="832">
        <v>2025</v>
      </c>
      <c r="C155" s="832" t="s">
        <v>1456</v>
      </c>
      <c r="D155" s="832" t="s">
        <v>1457</v>
      </c>
      <c r="E155" s="832" t="s">
        <v>333</v>
      </c>
      <c r="F155" s="832" t="s">
        <v>1119</v>
      </c>
      <c r="G155" s="832">
        <v>0</v>
      </c>
      <c r="H155" s="832">
        <v>0</v>
      </c>
      <c r="I155" s="832">
        <v>2601.9</v>
      </c>
      <c r="J155" s="832">
        <v>2601.9</v>
      </c>
      <c r="K155" s="832">
        <v>2601.9</v>
      </c>
      <c r="L155" s="832">
        <v>2601.9</v>
      </c>
      <c r="M155" s="832">
        <v>2601.9</v>
      </c>
      <c r="N155" s="832">
        <v>2601.9</v>
      </c>
      <c r="O155" s="832">
        <v>2601.9</v>
      </c>
      <c r="P155" s="832">
        <v>2601.9</v>
      </c>
      <c r="Q155" s="832">
        <v>2601.9</v>
      </c>
      <c r="R155" s="832">
        <v>2601.9</v>
      </c>
      <c r="S155" s="832">
        <v>236.54</v>
      </c>
      <c r="T155" s="832">
        <v>236.54</v>
      </c>
      <c r="U155" s="832">
        <v>0</v>
      </c>
      <c r="V155" s="832">
        <v>0</v>
      </c>
      <c r="W155" s="832">
        <v>0</v>
      </c>
      <c r="X155" s="832">
        <v>0</v>
      </c>
      <c r="Y155" s="832">
        <v>0</v>
      </c>
      <c r="Z155" s="832">
        <v>0</v>
      </c>
      <c r="AA155" s="832">
        <v>0</v>
      </c>
      <c r="AB155" s="832">
        <v>0</v>
      </c>
      <c r="AC155" s="832">
        <v>0</v>
      </c>
      <c r="AD155" s="832">
        <v>0</v>
      </c>
      <c r="AE155" s="832">
        <v>0</v>
      </c>
      <c r="AF155" s="832">
        <v>0</v>
      </c>
      <c r="AG155" s="832">
        <v>0</v>
      </c>
      <c r="AH155" s="832">
        <v>0</v>
      </c>
      <c r="AI155" s="832">
        <v>0</v>
      </c>
      <c r="AJ155" s="1030" t="str">
        <f t="shared" si="12"/>
        <v>H01538</v>
      </c>
      <c r="AK155" s="1030" t="str">
        <f t="shared" si="13"/>
        <v>SVC PUB-PROMOTION-SVC</v>
      </c>
      <c r="AL155" s="1030">
        <f>IFERROR(INDEX(G155:R155,1,MATCH(Parametres!$B$3,G$1:R$1,0)-1)*IF(OR(F155="L",F155="S",F155="I"),-1,1),"")</f>
        <v>2601.9</v>
      </c>
      <c r="AM155" s="1030">
        <f t="shared" si="14"/>
        <v>0</v>
      </c>
      <c r="AN155" s="1030">
        <f>INDEX(G155:R155,1,MATCH(Parametres!$B$3,G$1:R$1,0))*IF(OR(F155="L",F155="S",F155="I"),-1,1)</f>
        <v>2601.9</v>
      </c>
      <c r="AO155" s="598" t="str">
        <f>+VLOOKUP($AJ155,Data_Validation!$A:$D,1,0)</f>
        <v>H01538</v>
      </c>
      <c r="AP155" s="598" t="str">
        <f>+VLOOKUP($AJ155,Data_Validation!$A:$D,3,0)</f>
        <v>Service</v>
      </c>
      <c r="AQ155" s="598" t="str">
        <f>+VLOOKUP($AJ155,Data_Validation!$A:$D,4,0)</f>
        <v>Publicité 2</v>
      </c>
      <c r="AR155" s="598" t="s">
        <v>299</v>
      </c>
      <c r="AS155" s="598">
        <f>+VLOOKUP($AJ155,Data_Validation!$A:$E,5,0)</f>
        <v>0</v>
      </c>
      <c r="AT155" s="1036" t="str">
        <f t="shared" si="15"/>
        <v>H01538</v>
      </c>
      <c r="AU155" s="599" t="str">
        <f t="shared" si="16"/>
        <v>SVC PUB-PROMOTION-SVC</v>
      </c>
      <c r="AV155" s="1030">
        <f>IFERROR(INDEX(V155:AG155,1,MATCH(Parametres!$B$3,V$1:AG$1,0)-1)*IF(OR(C155="L",C155="S",C155="I"),-1,1),"")</f>
        <v>0</v>
      </c>
      <c r="AW155" s="1030">
        <f t="shared" si="17"/>
        <v>0</v>
      </c>
      <c r="AX155" s="1030">
        <f>INDEX(V155:AG155,1,MATCH(Parametres!$B$3,V$1:AG$1,0))*IF(OR(C155="L",C155="S",C155="I"),-1,1)</f>
        <v>0</v>
      </c>
      <c r="AY155" s="598" t="s">
        <v>337</v>
      </c>
      <c r="AZ155" s="598">
        <f>+VLOOKUP($AJ155,Data_Validation!$A:$E,5,0)</f>
        <v>0</v>
      </c>
    </row>
    <row r="156" spans="1:52" ht="15" customHeight="1">
      <c r="A156" s="832" t="s">
        <v>1150</v>
      </c>
      <c r="B156" s="832">
        <v>2025</v>
      </c>
      <c r="C156" s="832" t="s">
        <v>1458</v>
      </c>
      <c r="D156" s="832" t="s">
        <v>1459</v>
      </c>
      <c r="E156" s="832" t="s">
        <v>333</v>
      </c>
      <c r="F156" s="832" t="s">
        <v>1119</v>
      </c>
      <c r="G156" s="832">
        <v>0</v>
      </c>
      <c r="H156" s="832">
        <v>0</v>
      </c>
      <c r="I156" s="832">
        <v>0</v>
      </c>
      <c r="J156" s="832">
        <v>0</v>
      </c>
      <c r="K156" s="832">
        <v>0</v>
      </c>
      <c r="L156" s="832">
        <v>0</v>
      </c>
      <c r="M156" s="832">
        <v>0</v>
      </c>
      <c r="N156" s="832">
        <v>0</v>
      </c>
      <c r="O156" s="832">
        <v>0</v>
      </c>
      <c r="P156" s="832">
        <v>0</v>
      </c>
      <c r="Q156" s="832">
        <v>0</v>
      </c>
      <c r="R156" s="832">
        <v>0</v>
      </c>
      <c r="S156" s="832">
        <v>0</v>
      </c>
      <c r="T156" s="832">
        <v>0</v>
      </c>
      <c r="U156" s="832">
        <v>0</v>
      </c>
      <c r="V156" s="832">
        <v>0</v>
      </c>
      <c r="W156" s="832">
        <v>0</v>
      </c>
      <c r="X156" s="832">
        <v>0</v>
      </c>
      <c r="Y156" s="832">
        <v>0</v>
      </c>
      <c r="Z156" s="832">
        <v>0</v>
      </c>
      <c r="AA156" s="832">
        <v>0</v>
      </c>
      <c r="AB156" s="832">
        <v>0</v>
      </c>
      <c r="AC156" s="832">
        <v>0</v>
      </c>
      <c r="AD156" s="832">
        <v>0</v>
      </c>
      <c r="AE156" s="832">
        <v>0</v>
      </c>
      <c r="AF156" s="832">
        <v>0</v>
      </c>
      <c r="AG156" s="832">
        <v>0</v>
      </c>
      <c r="AH156" s="832">
        <v>0</v>
      </c>
      <c r="AI156" s="832">
        <v>0</v>
      </c>
      <c r="AJ156" s="1030" t="str">
        <f t="shared" si="12"/>
        <v>H01539</v>
      </c>
      <c r="AK156" s="1030" t="str">
        <f t="shared" si="13"/>
        <v>SVC DEDUCTIBLE</v>
      </c>
      <c r="AL156" s="1030">
        <f>IFERROR(INDEX(G156:R156,1,MATCH(Parametres!$B$3,G$1:R$1,0)-1)*IF(OR(F156="L",F156="S",F156="I"),-1,1),"")</f>
        <v>0</v>
      </c>
      <c r="AM156" s="1030">
        <f t="shared" si="14"/>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t="str">
        <f t="shared" si="15"/>
        <v>H01539</v>
      </c>
      <c r="AU156" s="599" t="str">
        <f t="shared" si="16"/>
        <v>SVC DEDUCTIBLE</v>
      </c>
      <c r="AV156" s="1030">
        <f>IFERROR(INDEX(V156:AG156,1,MATCH(Parametres!$B$3,V$1:AG$1,0)-1)*IF(OR(C156="L",C156="S",C156="I"),-1,1),"")</f>
        <v>0</v>
      </c>
      <c r="AW156" s="1030">
        <f t="shared" si="17"/>
        <v>0</v>
      </c>
      <c r="AX156" s="1030">
        <f>INDEX(V156:AG156,1,MATCH(Parametres!$B$3,V$1:AG$1,0))*IF(OR(C156="L",C156="S",C156="I"),-1,1)</f>
        <v>0</v>
      </c>
      <c r="AY156" s="598" t="s">
        <v>337</v>
      </c>
      <c r="AZ156" s="598" t="e">
        <f>+VLOOKUP($AJ156,Data_Validation!$A:$E,5,0)</f>
        <v>#N/A</v>
      </c>
    </row>
    <row r="157" spans="1:52" ht="15" customHeight="1">
      <c r="A157" s="832" t="s">
        <v>1150</v>
      </c>
      <c r="B157" s="832">
        <v>2025</v>
      </c>
      <c r="C157" s="832" t="s">
        <v>1460</v>
      </c>
      <c r="D157" s="832" t="s">
        <v>1461</v>
      </c>
      <c r="E157" s="832" t="s">
        <v>333</v>
      </c>
      <c r="F157" s="832" t="s">
        <v>1119</v>
      </c>
      <c r="G157" s="832">
        <v>0</v>
      </c>
      <c r="H157" s="832">
        <v>198.98</v>
      </c>
      <c r="I157" s="832">
        <v>238.77</v>
      </c>
      <c r="J157" s="832">
        <v>278.56</v>
      </c>
      <c r="K157" s="832">
        <v>318.35000000000002</v>
      </c>
      <c r="L157" s="832">
        <v>358.14</v>
      </c>
      <c r="M157" s="832">
        <v>397.93</v>
      </c>
      <c r="N157" s="832">
        <v>437.72</v>
      </c>
      <c r="O157" s="832">
        <v>477.51</v>
      </c>
      <c r="P157" s="832">
        <v>5817.55</v>
      </c>
      <c r="Q157" s="832">
        <v>2316.63</v>
      </c>
      <c r="R157" s="832">
        <v>2357.11</v>
      </c>
      <c r="S157" s="832">
        <v>210.6</v>
      </c>
      <c r="T157" s="832">
        <v>210.6</v>
      </c>
      <c r="U157" s="832">
        <v>0</v>
      </c>
      <c r="V157" s="832">
        <v>0</v>
      </c>
      <c r="W157" s="832">
        <v>0</v>
      </c>
      <c r="X157" s="832">
        <v>0</v>
      </c>
      <c r="Y157" s="832">
        <v>0</v>
      </c>
      <c r="Z157" s="832">
        <v>0</v>
      </c>
      <c r="AA157" s="832">
        <v>0</v>
      </c>
      <c r="AB157" s="832">
        <v>0</v>
      </c>
      <c r="AC157" s="832">
        <v>0</v>
      </c>
      <c r="AD157" s="832">
        <v>0</v>
      </c>
      <c r="AE157" s="832">
        <v>0</v>
      </c>
      <c r="AF157" s="832">
        <v>0</v>
      </c>
      <c r="AG157" s="832">
        <v>0</v>
      </c>
      <c r="AH157" s="832">
        <v>0</v>
      </c>
      <c r="AI157" s="832">
        <v>0</v>
      </c>
      <c r="AJ157" s="1030" t="str">
        <f t="shared" si="12"/>
        <v>H01540</v>
      </c>
      <c r="AK157" s="1030" t="str">
        <f t="shared" si="13"/>
        <v>SVC ENT EQUIPEMENT</v>
      </c>
      <c r="AL157" s="1030">
        <f>IFERROR(INDEX(G157:R157,1,MATCH(Parametres!$B$3,G$1:R$1,0)-1)*IF(OR(F157="L",F157="S",F157="I"),-1,1),"")</f>
        <v>278.56</v>
      </c>
      <c r="AM157" s="1030">
        <f t="shared" si="14"/>
        <v>39.79000000000002</v>
      </c>
      <c r="AN157" s="1030">
        <f>INDEX(G157:R157,1,MATCH(Parametres!$B$3,G$1:R$1,0))*IF(OR(F157="L",F157="S",F157="I"),-1,1)</f>
        <v>318.35000000000002</v>
      </c>
      <c r="AO157" s="598" t="str">
        <f>+VLOOKUP($AJ157,Data_Validation!$A:$D,1,0)</f>
        <v>H01540</v>
      </c>
      <c r="AP157" s="598" t="str">
        <f>+VLOOKUP($AJ157,Data_Validation!$A:$D,3,0)</f>
        <v>Service</v>
      </c>
      <c r="AQ157" s="598" t="str">
        <f>+VLOOKUP($AJ157,Data_Validation!$A:$D,4,0)</f>
        <v>Services extérieurs</v>
      </c>
      <c r="AR157" s="598" t="s">
        <v>299</v>
      </c>
      <c r="AS157" s="598">
        <f>+VLOOKUP($AJ157,Data_Validation!$A:$E,5,0)</f>
        <v>0</v>
      </c>
      <c r="AT157" s="1036" t="str">
        <f t="shared" si="15"/>
        <v>H01540</v>
      </c>
      <c r="AU157" s="599" t="str">
        <f t="shared" si="16"/>
        <v>SVC ENT EQUIPEMENT</v>
      </c>
      <c r="AV157" s="1030">
        <f>IFERROR(INDEX(V157:AG157,1,MATCH(Parametres!$B$3,V$1:AG$1,0)-1)*IF(OR(C157="L",C157="S",C157="I"),-1,1),"")</f>
        <v>0</v>
      </c>
      <c r="AW157" s="1030">
        <f t="shared" si="17"/>
        <v>0</v>
      </c>
      <c r="AX157" s="1030">
        <f>INDEX(V157:AG157,1,MATCH(Parametres!$B$3,V$1:AG$1,0))*IF(OR(C157="L",C157="S",C157="I"),-1,1)</f>
        <v>0</v>
      </c>
      <c r="AY157" s="598" t="s">
        <v>337</v>
      </c>
      <c r="AZ157" s="598">
        <f>+VLOOKUP($AJ157,Data_Validation!$A:$E,5,0)</f>
        <v>0</v>
      </c>
    </row>
    <row r="158" spans="1:52" ht="15" customHeight="1">
      <c r="A158" s="832" t="s">
        <v>1150</v>
      </c>
      <c r="B158" s="832">
        <v>2025</v>
      </c>
      <c r="C158" s="832" t="s">
        <v>1462</v>
      </c>
      <c r="D158" s="832" t="s">
        <v>1463</v>
      </c>
      <c r="E158" s="832" t="s">
        <v>333</v>
      </c>
      <c r="F158" s="832" t="s">
        <v>1119</v>
      </c>
      <c r="G158" s="832">
        <v>-8160.32</v>
      </c>
      <c r="H158" s="832">
        <v>-9956.4500000000007</v>
      </c>
      <c r="I158" s="832">
        <v>-21541.17</v>
      </c>
      <c r="J158" s="832">
        <v>-28466.92</v>
      </c>
      <c r="K158" s="832">
        <v>-31143.919999999998</v>
      </c>
      <c r="L158" s="832">
        <v>-35153.120000000003</v>
      </c>
      <c r="M158" s="832">
        <v>-39114.519999999997</v>
      </c>
      <c r="N158" s="832">
        <v>-42684.51</v>
      </c>
      <c r="O158" s="832">
        <v>-46932.53</v>
      </c>
      <c r="P158" s="832">
        <v>-55742.55</v>
      </c>
      <c r="Q158" s="832">
        <v>-56318.35</v>
      </c>
      <c r="R158" s="832">
        <v>-63908.35</v>
      </c>
      <c r="S158" s="832">
        <v>-5119.8500000000004</v>
      </c>
      <c r="T158" s="832">
        <v>-5119.8500000000004</v>
      </c>
      <c r="U158" s="832">
        <v>0</v>
      </c>
      <c r="V158" s="832">
        <v>0</v>
      </c>
      <c r="W158" s="832">
        <v>0</v>
      </c>
      <c r="X158" s="832">
        <v>0</v>
      </c>
      <c r="Y158" s="832">
        <v>0</v>
      </c>
      <c r="Z158" s="832">
        <v>0</v>
      </c>
      <c r="AA158" s="832">
        <v>0</v>
      </c>
      <c r="AB158" s="832">
        <v>0</v>
      </c>
      <c r="AC158" s="832">
        <v>0</v>
      </c>
      <c r="AD158" s="832">
        <v>0</v>
      </c>
      <c r="AE158" s="832">
        <v>0</v>
      </c>
      <c r="AF158" s="832">
        <v>0</v>
      </c>
      <c r="AG158" s="832">
        <v>0</v>
      </c>
      <c r="AH158" s="832">
        <v>0</v>
      </c>
      <c r="AI158" s="832">
        <v>0</v>
      </c>
      <c r="AJ158" s="1030" t="str">
        <f t="shared" si="12"/>
        <v>H01541</v>
      </c>
      <c r="AK158" s="1030" t="str">
        <f t="shared" si="13"/>
        <v>SVC VEH DE LOC SERVITUDE</v>
      </c>
      <c r="AL158" s="1030">
        <f>IFERROR(INDEX(G158:R158,1,MATCH(Parametres!$B$3,G$1:R$1,0)-1)*IF(OR(F158="L",F158="S",F158="I"),-1,1),"")</f>
        <v>-28466.92</v>
      </c>
      <c r="AM158" s="1030">
        <f t="shared" si="14"/>
        <v>-2677</v>
      </c>
      <c r="AN158" s="1030">
        <f>INDEX(G158:R158,1,MATCH(Parametres!$B$3,G$1:R$1,0))*IF(OR(F158="L",F158="S",F158="I"),-1,1)</f>
        <v>-31143.919999999998</v>
      </c>
      <c r="AO158" s="598" t="str">
        <f>+VLOOKUP($AJ158,Data_Validation!$A:$D,1,0)</f>
        <v>H01541</v>
      </c>
      <c r="AP158" s="598" t="str">
        <f>+VLOOKUP($AJ158,Data_Validation!$A:$D,3,0)</f>
        <v>Service</v>
      </c>
      <c r="AQ158" s="598" t="str">
        <f>+VLOOKUP($AJ158,Data_Validation!$A:$D,4,0)</f>
        <v>Frais véhicules de cie</v>
      </c>
      <c r="AR158" s="598" t="s">
        <v>299</v>
      </c>
      <c r="AS158" s="598">
        <f>+VLOOKUP($AJ158,Data_Validation!$A:$E,5,0)</f>
        <v>0</v>
      </c>
      <c r="AT158" s="1036" t="str">
        <f t="shared" si="15"/>
        <v>H01541</v>
      </c>
      <c r="AU158" s="599" t="str">
        <f t="shared" si="16"/>
        <v>SVC VEH DE LOC SERVITUDE</v>
      </c>
      <c r="AV158" s="1030">
        <f>IFERROR(INDEX(V158:AG158,1,MATCH(Parametres!$B$3,V$1:AG$1,0)-1)*IF(OR(C158="L",C158="S",C158="I"),-1,1),"")</f>
        <v>0</v>
      </c>
      <c r="AW158" s="1030">
        <f t="shared" si="17"/>
        <v>0</v>
      </c>
      <c r="AX158" s="1030">
        <f>INDEX(V158:AG158,1,MATCH(Parametres!$B$3,V$1:AG$1,0))*IF(OR(C158="L",C158="S",C158="I"),-1,1)</f>
        <v>0</v>
      </c>
      <c r="AY158" s="598" t="s">
        <v>337</v>
      </c>
      <c r="AZ158" s="598">
        <f>+VLOOKUP($AJ158,Data_Validation!$A:$E,5,0)</f>
        <v>0</v>
      </c>
    </row>
    <row r="159" spans="1:52" ht="15.75" customHeight="1">
      <c r="A159" s="832" t="s">
        <v>1150</v>
      </c>
      <c r="B159" s="832">
        <v>2025</v>
      </c>
      <c r="C159" s="832" t="s">
        <v>1464</v>
      </c>
      <c r="D159" s="832" t="s">
        <v>1465</v>
      </c>
      <c r="E159" s="832" t="s">
        <v>333</v>
      </c>
      <c r="F159" s="832" t="s">
        <v>1119</v>
      </c>
      <c r="G159" s="832">
        <v>0</v>
      </c>
      <c r="H159" s="832">
        <v>0</v>
      </c>
      <c r="I159" s="832">
        <v>0</v>
      </c>
      <c r="J159" s="832">
        <v>0</v>
      </c>
      <c r="K159" s="832">
        <v>0</v>
      </c>
      <c r="L159" s="832">
        <v>0</v>
      </c>
      <c r="M159" s="832">
        <v>310</v>
      </c>
      <c r="N159" s="832">
        <v>310</v>
      </c>
      <c r="O159" s="832">
        <v>310</v>
      </c>
      <c r="P159" s="832">
        <v>310</v>
      </c>
      <c r="Q159" s="832">
        <v>310</v>
      </c>
      <c r="R159" s="832">
        <v>310</v>
      </c>
      <c r="S159" s="832">
        <v>28.18</v>
      </c>
      <c r="T159" s="832">
        <v>28.18</v>
      </c>
      <c r="U159" s="832">
        <v>0</v>
      </c>
      <c r="V159" s="832">
        <v>0</v>
      </c>
      <c r="W159" s="832">
        <v>0</v>
      </c>
      <c r="X159" s="832">
        <v>0</v>
      </c>
      <c r="Y159" s="832">
        <v>0</v>
      </c>
      <c r="Z159" s="832">
        <v>0</v>
      </c>
      <c r="AA159" s="832">
        <v>0</v>
      </c>
      <c r="AB159" s="832">
        <v>0</v>
      </c>
      <c r="AC159" s="832">
        <v>0</v>
      </c>
      <c r="AD159" s="832">
        <v>0</v>
      </c>
      <c r="AE159" s="832">
        <v>0</v>
      </c>
      <c r="AF159" s="832">
        <v>0</v>
      </c>
      <c r="AG159" s="832">
        <v>0</v>
      </c>
      <c r="AH159" s="832">
        <v>0</v>
      </c>
      <c r="AI159" s="832">
        <v>0</v>
      </c>
      <c r="AJ159" s="1030" t="str">
        <f t="shared" si="12"/>
        <v>H01542</v>
      </c>
      <c r="AK159" s="1030" t="str">
        <f t="shared" si="13"/>
        <v>SVC ENT EQUIPMENT</v>
      </c>
      <c r="AL159" s="1030">
        <f>IFERROR(INDEX(G159:R159,1,MATCH(Parametres!$B$3,G$1:R$1,0)-1)*IF(OR(F159="L",F159="S",F159="I"),-1,1),"")</f>
        <v>0</v>
      </c>
      <c r="AM159" s="1030">
        <f t="shared" si="14"/>
        <v>0</v>
      </c>
      <c r="AN159" s="1030">
        <f>INDEX(G159:R159,1,MATCH(Parametres!$B$3,G$1:R$1,0))*IF(OR(F159="L",F159="S",F159="I"),-1,1)</f>
        <v>0</v>
      </c>
      <c r="AO159" s="598" t="str">
        <f>+VLOOKUP($AJ159,Data_Validation!$A:$D,1,0)</f>
        <v>H01542</v>
      </c>
      <c r="AP159" s="598" t="str">
        <f>+VLOOKUP($AJ159,Data_Validation!$A:$D,3,0)</f>
        <v>Service</v>
      </c>
      <c r="AQ159" s="598" t="str">
        <f>+VLOOKUP($AJ159,Data_Validation!$A:$D,4,0)</f>
        <v>Services extérieurs</v>
      </c>
      <c r="AR159" s="598" t="s">
        <v>299</v>
      </c>
      <c r="AS159" s="598">
        <f>+VLOOKUP($AJ159,Data_Validation!$A:$E,5,0)</f>
        <v>0</v>
      </c>
      <c r="AT159" s="1036" t="str">
        <f t="shared" si="15"/>
        <v>H01542</v>
      </c>
      <c r="AU159" s="599" t="str">
        <f t="shared" si="16"/>
        <v>SVC ENT EQUIPMENT</v>
      </c>
      <c r="AV159" s="1030">
        <f>IFERROR(INDEX(V159:AG159,1,MATCH(Parametres!$B$3,V$1:AG$1,0)-1)*IF(OR(C159="L",C159="S",C159="I"),-1,1),"")</f>
        <v>0</v>
      </c>
      <c r="AW159" s="1030">
        <f t="shared" si="17"/>
        <v>0</v>
      </c>
      <c r="AX159" s="1030">
        <f>INDEX(V159:AG159,1,MATCH(Parametres!$B$3,V$1:AG$1,0))*IF(OR(C159="L",C159="S",C159="I"),-1,1)</f>
        <v>0</v>
      </c>
      <c r="AY159" s="598" t="s">
        <v>337</v>
      </c>
      <c r="AZ159" s="598">
        <f>+VLOOKUP($AJ159,Data_Validation!$A:$E,5,0)</f>
        <v>0</v>
      </c>
    </row>
    <row r="160" spans="1:52" ht="15" customHeight="1">
      <c r="A160" s="832" t="s">
        <v>1150</v>
      </c>
      <c r="B160" s="832">
        <v>2025</v>
      </c>
      <c r="C160" s="832" t="s">
        <v>1466</v>
      </c>
      <c r="D160" s="832" t="s">
        <v>1467</v>
      </c>
      <c r="E160" s="832" t="s">
        <v>333</v>
      </c>
      <c r="F160" s="832" t="s">
        <v>1119</v>
      </c>
      <c r="G160" s="832">
        <v>0</v>
      </c>
      <c r="H160" s="832">
        <v>0</v>
      </c>
      <c r="I160" s="832">
        <v>0</v>
      </c>
      <c r="J160" s="832">
        <v>0</v>
      </c>
      <c r="K160" s="832">
        <v>0</v>
      </c>
      <c r="L160" s="832">
        <v>0</v>
      </c>
      <c r="M160" s="832">
        <v>0</v>
      </c>
      <c r="N160" s="832">
        <v>0</v>
      </c>
      <c r="O160" s="832">
        <v>0</v>
      </c>
      <c r="P160" s="832">
        <v>0</v>
      </c>
      <c r="Q160" s="832">
        <v>0</v>
      </c>
      <c r="R160" s="832">
        <v>0</v>
      </c>
      <c r="S160" s="832">
        <v>0</v>
      </c>
      <c r="T160" s="832">
        <v>0</v>
      </c>
      <c r="U160" s="832">
        <v>0</v>
      </c>
      <c r="V160" s="832">
        <v>0</v>
      </c>
      <c r="W160" s="832">
        <v>0</v>
      </c>
      <c r="X160" s="832">
        <v>0</v>
      </c>
      <c r="Y160" s="832">
        <v>0</v>
      </c>
      <c r="Z160" s="832">
        <v>0</v>
      </c>
      <c r="AA160" s="832">
        <v>0</v>
      </c>
      <c r="AB160" s="832">
        <v>0</v>
      </c>
      <c r="AC160" s="832">
        <v>0</v>
      </c>
      <c r="AD160" s="832">
        <v>0</v>
      </c>
      <c r="AE160" s="832">
        <v>0</v>
      </c>
      <c r="AF160" s="832">
        <v>0</v>
      </c>
      <c r="AG160" s="832">
        <v>0</v>
      </c>
      <c r="AH160" s="832">
        <v>0</v>
      </c>
      <c r="AI160" s="832">
        <v>0</v>
      </c>
      <c r="AJ160" s="1030" t="str">
        <f t="shared" si="12"/>
        <v>H01543</v>
      </c>
      <c r="AK160" s="1030" t="str">
        <f t="shared" si="13"/>
        <v>SVC LOCATION EQUIPEMENT</v>
      </c>
      <c r="AL160" s="1030">
        <f>IFERROR(INDEX(G160:R160,1,MATCH(Parametres!$B$3,G$1:R$1,0)-1)*IF(OR(F160="L",F160="S",F160="I"),-1,1),"")</f>
        <v>0</v>
      </c>
      <c r="AM160" s="1030">
        <f t="shared" si="14"/>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t="str">
        <f t="shared" si="15"/>
        <v>H01543</v>
      </c>
      <c r="AU160" s="599" t="str">
        <f t="shared" si="16"/>
        <v>SVC LOCATION EQUIPEMENT</v>
      </c>
      <c r="AV160" s="1030">
        <f>IFERROR(INDEX(V160:AG160,1,MATCH(Parametres!$B$3,V$1:AG$1,0)-1)*IF(OR(C160="L",C160="S",C160="I"),-1,1),"")</f>
        <v>0</v>
      </c>
      <c r="AW160" s="1030">
        <f t="shared" si="17"/>
        <v>0</v>
      </c>
      <c r="AX160" s="1030">
        <f>INDEX(V160:AG160,1,MATCH(Parametres!$B$3,V$1:AG$1,0))*IF(OR(C160="L",C160="S",C160="I"),-1,1)</f>
        <v>0</v>
      </c>
      <c r="AY160" s="598" t="s">
        <v>337</v>
      </c>
      <c r="AZ160" s="598" t="e">
        <f>+VLOOKUP($AJ160,Data_Validation!$A:$E,5,0)</f>
        <v>#N/A</v>
      </c>
    </row>
    <row r="161" spans="1:52" ht="15" customHeight="1">
      <c r="A161" s="832" t="s">
        <v>1150</v>
      </c>
      <c r="B161" s="832">
        <v>2025</v>
      </c>
      <c r="C161" s="832" t="s">
        <v>1468</v>
      </c>
      <c r="D161" s="832" t="s">
        <v>1469</v>
      </c>
      <c r="E161" s="832" t="s">
        <v>333</v>
      </c>
      <c r="F161" s="832" t="s">
        <v>1119</v>
      </c>
      <c r="G161" s="832">
        <v>1698.71</v>
      </c>
      <c r="H161" s="832">
        <v>3300.3</v>
      </c>
      <c r="I161" s="832">
        <v>4903.68</v>
      </c>
      <c r="J161" s="832">
        <v>6780.29</v>
      </c>
      <c r="K161" s="832">
        <v>8102.55</v>
      </c>
      <c r="L161" s="832">
        <v>9746.35</v>
      </c>
      <c r="M161" s="832">
        <v>11212.83</v>
      </c>
      <c r="N161" s="832">
        <v>12683.97</v>
      </c>
      <c r="O161" s="832">
        <v>14204.37</v>
      </c>
      <c r="P161" s="832">
        <v>15867.34</v>
      </c>
      <c r="Q161" s="832">
        <v>17153.419999999998</v>
      </c>
      <c r="R161" s="832">
        <v>19219.09</v>
      </c>
      <c r="S161" s="832">
        <v>1559.4</v>
      </c>
      <c r="T161" s="832">
        <v>1559.4</v>
      </c>
      <c r="U161" s="832">
        <v>0</v>
      </c>
      <c r="V161" s="832">
        <v>0</v>
      </c>
      <c r="W161" s="832">
        <v>0</v>
      </c>
      <c r="X161" s="832">
        <v>0</v>
      </c>
      <c r="Y161" s="832">
        <v>0</v>
      </c>
      <c r="Z161" s="832">
        <v>0</v>
      </c>
      <c r="AA161" s="832">
        <v>0</v>
      </c>
      <c r="AB161" s="832">
        <v>0</v>
      </c>
      <c r="AC161" s="832">
        <v>0</v>
      </c>
      <c r="AD161" s="832">
        <v>0</v>
      </c>
      <c r="AE161" s="832">
        <v>0</v>
      </c>
      <c r="AF161" s="832">
        <v>0</v>
      </c>
      <c r="AG161" s="832">
        <v>0</v>
      </c>
      <c r="AH161" s="832">
        <v>0</v>
      </c>
      <c r="AI161" s="832">
        <v>0</v>
      </c>
      <c r="AJ161" s="1030" t="str">
        <f t="shared" si="12"/>
        <v>H01544</v>
      </c>
      <c r="AK161" s="1030" t="str">
        <f t="shared" si="13"/>
        <v>SVC TRAITEMENT DES DONNEE</v>
      </c>
      <c r="AL161" s="1030">
        <f>IFERROR(INDEX(G161:R161,1,MATCH(Parametres!$B$3,G$1:R$1,0)-1)*IF(OR(F161="L",F161="S",F161="I"),-1,1),"")</f>
        <v>6780.29</v>
      </c>
      <c r="AM161" s="1030">
        <f t="shared" si="14"/>
        <v>1322.2600000000002</v>
      </c>
      <c r="AN161" s="1030">
        <f>INDEX(G161:R161,1,MATCH(Parametres!$B$3,G$1:R$1,0))*IF(OR(F161="L",F161="S",F161="I"),-1,1)</f>
        <v>8102.55</v>
      </c>
      <c r="AO161" s="598" t="str">
        <f>+VLOOKUP($AJ161,Data_Validation!$A:$D,1,0)</f>
        <v>H01544</v>
      </c>
      <c r="AP161" s="598" t="str">
        <f>+VLOOKUP($AJ161,Data_Validation!$A:$D,3,0)</f>
        <v>Service</v>
      </c>
      <c r="AQ161" s="598" t="str">
        <f>+VLOOKUP($AJ161,Data_Validation!$A:$D,4,0)</f>
        <v>Informatique</v>
      </c>
      <c r="AR161" s="598" t="s">
        <v>299</v>
      </c>
      <c r="AS161" s="598">
        <f>+VLOOKUP($AJ161,Data_Validation!$A:$E,5,0)</f>
        <v>0</v>
      </c>
      <c r="AT161" s="1036" t="str">
        <f t="shared" si="15"/>
        <v>H01544</v>
      </c>
      <c r="AU161" s="599" t="str">
        <f t="shared" si="16"/>
        <v>SVC TRAITEMENT DES DONNEE</v>
      </c>
      <c r="AV161" s="1030">
        <f>IFERROR(INDEX(V161:AG161,1,MATCH(Parametres!$B$3,V$1:AG$1,0)-1)*IF(OR(C161="L",C161="S",C161="I"),-1,1),"")</f>
        <v>0</v>
      </c>
      <c r="AW161" s="1030">
        <f t="shared" si="17"/>
        <v>0</v>
      </c>
      <c r="AX161" s="1030">
        <f>INDEX(V161:AG161,1,MATCH(Parametres!$B$3,V$1:AG$1,0))*IF(OR(C161="L",C161="S",C161="I"),-1,1)</f>
        <v>0</v>
      </c>
      <c r="AY161" s="598" t="s">
        <v>337</v>
      </c>
      <c r="AZ161" s="598">
        <f>+VLOOKUP($AJ161,Data_Validation!$A:$E,5,0)</f>
        <v>0</v>
      </c>
    </row>
    <row r="162" spans="1:52" ht="15" customHeight="1">
      <c r="A162" s="832" t="s">
        <v>1150</v>
      </c>
      <c r="B162" s="832">
        <v>2025</v>
      </c>
      <c r="C162" s="832" t="s">
        <v>1470</v>
      </c>
      <c r="D162" s="832" t="s">
        <v>1471</v>
      </c>
      <c r="E162" s="832" t="s">
        <v>333</v>
      </c>
      <c r="F162" s="832" t="s">
        <v>1119</v>
      </c>
      <c r="G162" s="832">
        <v>2099.63</v>
      </c>
      <c r="H162" s="832">
        <v>2230.61</v>
      </c>
      <c r="I162" s="832">
        <v>2696.67</v>
      </c>
      <c r="J162" s="832">
        <v>3119.89</v>
      </c>
      <c r="K162" s="832">
        <v>3331.01</v>
      </c>
      <c r="L162" s="832">
        <v>3706.01</v>
      </c>
      <c r="M162" s="832">
        <v>4226.82</v>
      </c>
      <c r="N162" s="832">
        <v>4526.1899999999996</v>
      </c>
      <c r="O162" s="832">
        <v>4976.97</v>
      </c>
      <c r="P162" s="832">
        <v>5418.46</v>
      </c>
      <c r="Q162" s="832">
        <v>5851.11</v>
      </c>
      <c r="R162" s="832">
        <v>6408.73</v>
      </c>
      <c r="S162" s="832">
        <v>531.91999999999996</v>
      </c>
      <c r="T162" s="832">
        <v>531.91999999999996</v>
      </c>
      <c r="U162" s="832">
        <v>0</v>
      </c>
      <c r="V162" s="832">
        <v>0</v>
      </c>
      <c r="W162" s="832">
        <v>0</v>
      </c>
      <c r="X162" s="832">
        <v>0</v>
      </c>
      <c r="Y162" s="832">
        <v>0</v>
      </c>
      <c r="Z162" s="832">
        <v>0</v>
      </c>
      <c r="AA162" s="832">
        <v>0</v>
      </c>
      <c r="AB162" s="832">
        <v>0</v>
      </c>
      <c r="AC162" s="832">
        <v>0</v>
      </c>
      <c r="AD162" s="832">
        <v>0</v>
      </c>
      <c r="AE162" s="832">
        <v>0</v>
      </c>
      <c r="AF162" s="832">
        <v>0</v>
      </c>
      <c r="AG162" s="832">
        <v>0</v>
      </c>
      <c r="AH162" s="832">
        <v>0</v>
      </c>
      <c r="AI162" s="832">
        <v>0</v>
      </c>
      <c r="AJ162" s="1030" t="str">
        <f t="shared" si="12"/>
        <v>H01545</v>
      </c>
      <c r="AK162" s="1030" t="str">
        <f t="shared" si="13"/>
        <v>SVC FRAIS REP/REPAS (80%)</v>
      </c>
      <c r="AL162" s="1030">
        <f>IFERROR(INDEX(G162:R162,1,MATCH(Parametres!$B$3,G$1:R$1,0)-1)*IF(OR(F162="L",F162="S",F162="I"),-1,1),"")</f>
        <v>3119.89</v>
      </c>
      <c r="AM162" s="1030">
        <f t="shared" si="14"/>
        <v>211.12000000000035</v>
      </c>
      <c r="AN162" s="1030">
        <f>INDEX(G162:R162,1,MATCH(Parametres!$B$3,G$1:R$1,0))*IF(OR(F162="L",F162="S",F162="I"),-1,1)</f>
        <v>3331.01</v>
      </c>
      <c r="AO162" s="598" t="str">
        <f>+VLOOKUP($AJ162,Data_Validation!$A:$D,1,0)</f>
        <v>H01545</v>
      </c>
      <c r="AP162" s="598" t="str">
        <f>+VLOOKUP($AJ162,Data_Validation!$A:$D,3,0)</f>
        <v>Service</v>
      </c>
      <c r="AQ162" s="598" t="str">
        <f>+VLOOKUP($AJ162,Data_Validation!$A:$D,4,0)</f>
        <v>Frais de déplacement</v>
      </c>
      <c r="AR162" s="598" t="s">
        <v>299</v>
      </c>
      <c r="AS162" s="598">
        <f>+VLOOKUP($AJ162,Data_Validation!$A:$E,5,0)</f>
        <v>0</v>
      </c>
      <c r="AT162" s="1036" t="str">
        <f t="shared" si="15"/>
        <v>H01545</v>
      </c>
      <c r="AU162" s="599" t="str">
        <f t="shared" si="16"/>
        <v>SVC FRAIS REP/REPAS (80%)</v>
      </c>
      <c r="AV162" s="1030">
        <f>IFERROR(INDEX(V162:AG162,1,MATCH(Parametres!$B$3,V$1:AG$1,0)-1)*IF(OR(C162="L",C162="S",C162="I"),-1,1),"")</f>
        <v>0</v>
      </c>
      <c r="AW162" s="1030">
        <f t="shared" si="17"/>
        <v>0</v>
      </c>
      <c r="AX162" s="1030">
        <f>INDEX(V162:AG162,1,MATCH(Parametres!$B$3,V$1:AG$1,0))*IF(OR(C162="L",C162="S",C162="I"),-1,1)</f>
        <v>0</v>
      </c>
      <c r="AY162" s="598" t="s">
        <v>337</v>
      </c>
      <c r="AZ162" s="598">
        <f>+VLOOKUP($AJ162,Data_Validation!$A:$E,5,0)</f>
        <v>0</v>
      </c>
    </row>
    <row r="163" spans="1:52" ht="15.75" customHeight="1">
      <c r="A163" s="832" t="s">
        <v>1150</v>
      </c>
      <c r="B163" s="832">
        <v>2025</v>
      </c>
      <c r="C163" s="832" t="s">
        <v>1472</v>
      </c>
      <c r="D163" s="832" t="s">
        <v>1473</v>
      </c>
      <c r="E163" s="832" t="s">
        <v>333</v>
      </c>
      <c r="F163" s="832" t="s">
        <v>1119</v>
      </c>
      <c r="G163" s="832">
        <v>0</v>
      </c>
      <c r="H163" s="832">
        <v>4953.5</v>
      </c>
      <c r="I163" s="832">
        <v>7765.7</v>
      </c>
      <c r="J163" s="832">
        <v>9256.07</v>
      </c>
      <c r="K163" s="832">
        <v>11109.36</v>
      </c>
      <c r="L163" s="832">
        <v>13768.85</v>
      </c>
      <c r="M163" s="832">
        <v>16090.85</v>
      </c>
      <c r="N163" s="832">
        <v>17854.849999999999</v>
      </c>
      <c r="O163" s="832">
        <v>20401.849999999999</v>
      </c>
      <c r="P163" s="832">
        <v>23035.35</v>
      </c>
      <c r="Q163" s="832">
        <v>23677.55</v>
      </c>
      <c r="R163" s="832">
        <v>25630.75</v>
      </c>
      <c r="S163" s="832">
        <v>2152.5</v>
      </c>
      <c r="T163" s="832">
        <v>2152.5</v>
      </c>
      <c r="U163" s="832">
        <v>0</v>
      </c>
      <c r="V163" s="832">
        <v>0</v>
      </c>
      <c r="W163" s="832">
        <v>0</v>
      </c>
      <c r="X163" s="832">
        <v>0</v>
      </c>
      <c r="Y163" s="832">
        <v>0</v>
      </c>
      <c r="Z163" s="832">
        <v>0</v>
      </c>
      <c r="AA163" s="832">
        <v>0</v>
      </c>
      <c r="AB163" s="832">
        <v>0</v>
      </c>
      <c r="AC163" s="832">
        <v>0</v>
      </c>
      <c r="AD163" s="832">
        <v>0</v>
      </c>
      <c r="AE163" s="832">
        <v>0</v>
      </c>
      <c r="AF163" s="832">
        <v>0</v>
      </c>
      <c r="AG163" s="832">
        <v>0</v>
      </c>
      <c r="AH163" s="832">
        <v>0</v>
      </c>
      <c r="AI163" s="832">
        <v>0</v>
      </c>
      <c r="AJ163" s="1030" t="str">
        <f t="shared" si="12"/>
        <v>H01546</v>
      </c>
      <c r="AK163" s="1030" t="str">
        <f t="shared" si="13"/>
        <v>SVC DEPLACEMENT-REPRESENT</v>
      </c>
      <c r="AL163" s="1030">
        <f>IFERROR(INDEX(G163:R163,1,MATCH(Parametres!$B$3,G$1:R$1,0)-1)*IF(OR(F163="L",F163="S",F163="I"),-1,1),"")</f>
        <v>9256.07</v>
      </c>
      <c r="AM163" s="1030">
        <f t="shared" si="14"/>
        <v>1853.2900000000009</v>
      </c>
      <c r="AN163" s="1030">
        <f>INDEX(G163:R163,1,MATCH(Parametres!$B$3,G$1:R$1,0))*IF(OR(F163="L",F163="S",F163="I"),-1,1)</f>
        <v>11109.36</v>
      </c>
      <c r="AO163" s="598" t="str">
        <f>+VLOOKUP($AJ163,Data_Validation!$A:$D,1,0)</f>
        <v>H01546</v>
      </c>
      <c r="AP163" s="598" t="str">
        <f>+VLOOKUP($AJ163,Data_Validation!$A:$D,3,0)</f>
        <v>Service</v>
      </c>
      <c r="AQ163" s="598" t="str">
        <f>+VLOOKUP($AJ163,Data_Validation!$A:$D,4,0)</f>
        <v>Frais de déplacement</v>
      </c>
      <c r="AR163" s="598" t="s">
        <v>299</v>
      </c>
      <c r="AS163" s="598">
        <f>+VLOOKUP($AJ163,Data_Validation!$A:$E,5,0)</f>
        <v>0</v>
      </c>
      <c r="AT163" s="1036" t="str">
        <f t="shared" si="15"/>
        <v>H01546</v>
      </c>
      <c r="AU163" s="599" t="str">
        <f t="shared" si="16"/>
        <v>SVC DEPLACEMENT-REPRESENT</v>
      </c>
      <c r="AV163" s="1030">
        <f>IFERROR(INDEX(V163:AG163,1,MATCH(Parametres!$B$3,V$1:AG$1,0)-1)*IF(OR(C163="L",C163="S",C163="I"),-1,1),"")</f>
        <v>0</v>
      </c>
      <c r="AW163" s="1030">
        <f t="shared" si="17"/>
        <v>0</v>
      </c>
      <c r="AX163" s="1030">
        <f>INDEX(V163:AG163,1,MATCH(Parametres!$B$3,V$1:AG$1,0))*IF(OR(C163="L",C163="S",C163="I"),-1,1)</f>
        <v>0</v>
      </c>
      <c r="AY163" s="598" t="s">
        <v>337</v>
      </c>
      <c r="AZ163" s="598">
        <f>+VLOOKUP($AJ163,Data_Validation!$A:$E,5,0)</f>
        <v>0</v>
      </c>
    </row>
    <row r="164" spans="1:52" ht="15" customHeight="1">
      <c r="A164" s="832" t="s">
        <v>1150</v>
      </c>
      <c r="B164" s="832">
        <v>2025</v>
      </c>
      <c r="C164" s="832" t="s">
        <v>1474</v>
      </c>
      <c r="D164" s="832" t="s">
        <v>1475</v>
      </c>
      <c r="E164" s="832" t="s">
        <v>333</v>
      </c>
      <c r="F164" s="832" t="s">
        <v>1119</v>
      </c>
      <c r="G164" s="832">
        <v>56.05</v>
      </c>
      <c r="H164" s="832">
        <v>215.85</v>
      </c>
      <c r="I164" s="832">
        <v>322.14</v>
      </c>
      <c r="J164" s="832">
        <v>532.28</v>
      </c>
      <c r="K164" s="832">
        <v>599.62</v>
      </c>
      <c r="L164" s="832">
        <v>651.96</v>
      </c>
      <c r="M164" s="832">
        <v>768.34</v>
      </c>
      <c r="N164" s="832">
        <v>962.64</v>
      </c>
      <c r="O164" s="832">
        <v>1053.73</v>
      </c>
      <c r="P164" s="832">
        <v>1169.81</v>
      </c>
      <c r="Q164" s="832">
        <v>1269.9000000000001</v>
      </c>
      <c r="R164" s="832">
        <v>1394.25</v>
      </c>
      <c r="S164" s="832">
        <v>115.45</v>
      </c>
      <c r="T164" s="832">
        <v>115.45</v>
      </c>
      <c r="U164" s="832">
        <v>0</v>
      </c>
      <c r="V164" s="832">
        <v>0</v>
      </c>
      <c r="W164" s="832">
        <v>0</v>
      </c>
      <c r="X164" s="832">
        <v>0</v>
      </c>
      <c r="Y164" s="832">
        <v>0</v>
      </c>
      <c r="Z164" s="832">
        <v>0</v>
      </c>
      <c r="AA164" s="832">
        <v>0</v>
      </c>
      <c r="AB164" s="832">
        <v>0</v>
      </c>
      <c r="AC164" s="832">
        <v>0</v>
      </c>
      <c r="AD164" s="832">
        <v>0</v>
      </c>
      <c r="AE164" s="832">
        <v>0</v>
      </c>
      <c r="AF164" s="832">
        <v>0</v>
      </c>
      <c r="AG164" s="832">
        <v>0</v>
      </c>
      <c r="AH164" s="832">
        <v>0</v>
      </c>
      <c r="AI164" s="832">
        <v>0</v>
      </c>
      <c r="AJ164" s="1030" t="str">
        <f t="shared" si="12"/>
        <v>H01547</v>
      </c>
      <c r="AK164" s="1030" t="str">
        <f t="shared" si="13"/>
        <v>SVC TELEPHONE-TELEGRAMMES</v>
      </c>
      <c r="AL164" s="1030">
        <f>IFERROR(INDEX(G164:R164,1,MATCH(Parametres!$B$3,G$1:R$1,0)-1)*IF(OR(F164="L",F164="S",F164="I"),-1,1),"")</f>
        <v>532.28</v>
      </c>
      <c r="AM164" s="1030">
        <f t="shared" si="14"/>
        <v>67.340000000000032</v>
      </c>
      <c r="AN164" s="1030">
        <f>INDEX(G164:R164,1,MATCH(Parametres!$B$3,G$1:R$1,0))*IF(OR(F164="L",F164="S",F164="I"),-1,1)</f>
        <v>599.62</v>
      </c>
      <c r="AO164" s="598" t="str">
        <f>+VLOOKUP($AJ164,Data_Validation!$A:$D,1,0)</f>
        <v>H01547</v>
      </c>
      <c r="AP164" s="598" t="str">
        <f>+VLOOKUP($AJ164,Data_Validation!$A:$D,3,0)</f>
        <v>Service</v>
      </c>
      <c r="AQ164" s="598" t="str">
        <f>+VLOOKUP($AJ164,Data_Validation!$A:$D,4,0)</f>
        <v>Téléphone</v>
      </c>
      <c r="AR164" s="598" t="s">
        <v>299</v>
      </c>
      <c r="AS164" s="598">
        <f>+VLOOKUP($AJ164,Data_Validation!$A:$E,5,0)</f>
        <v>0</v>
      </c>
      <c r="AT164" s="1036" t="str">
        <f t="shared" si="15"/>
        <v>H01547</v>
      </c>
      <c r="AU164" s="599" t="str">
        <f t="shared" si="16"/>
        <v>SVC TELEPHONE-TELEGRAMMES</v>
      </c>
      <c r="AV164" s="1030">
        <f>IFERROR(INDEX(V164:AG164,1,MATCH(Parametres!$B$3,V$1:AG$1,0)-1)*IF(OR(C164="L",C164="S",C164="I"),-1,1),"")</f>
        <v>0</v>
      </c>
      <c r="AW164" s="1030">
        <f t="shared" si="17"/>
        <v>0</v>
      </c>
      <c r="AX164" s="1030">
        <f>INDEX(V164:AG164,1,MATCH(Parametres!$B$3,V$1:AG$1,0))*IF(OR(C164="L",C164="S",C164="I"),-1,1)</f>
        <v>0</v>
      </c>
      <c r="AY164" s="598" t="s">
        <v>337</v>
      </c>
      <c r="AZ164" s="598">
        <f>+VLOOKUP($AJ164,Data_Validation!$A:$E,5,0)</f>
        <v>0</v>
      </c>
    </row>
    <row r="165" spans="1:52" ht="15" customHeight="1">
      <c r="A165" s="832" t="s">
        <v>1150</v>
      </c>
      <c r="B165" s="832">
        <v>2025</v>
      </c>
      <c r="C165" s="832" t="s">
        <v>1476</v>
      </c>
      <c r="D165" s="832" t="s">
        <v>1477</v>
      </c>
      <c r="E165" s="832" t="s">
        <v>333</v>
      </c>
      <c r="F165" s="832" t="s">
        <v>1119</v>
      </c>
      <c r="G165" s="832">
        <v>0</v>
      </c>
      <c r="H165" s="832">
        <v>0</v>
      </c>
      <c r="I165" s="832">
        <v>0</v>
      </c>
      <c r="J165" s="832">
        <v>0</v>
      </c>
      <c r="K165" s="832">
        <v>0</v>
      </c>
      <c r="L165" s="832">
        <v>0</v>
      </c>
      <c r="M165" s="832">
        <v>0</v>
      </c>
      <c r="N165" s="832">
        <v>0</v>
      </c>
      <c r="O165" s="832">
        <v>0</v>
      </c>
      <c r="P165" s="832">
        <v>500</v>
      </c>
      <c r="Q165" s="832">
        <v>500</v>
      </c>
      <c r="R165" s="832">
        <v>500</v>
      </c>
      <c r="S165" s="832">
        <v>45.45</v>
      </c>
      <c r="T165" s="832">
        <v>45.45</v>
      </c>
      <c r="U165" s="832">
        <v>0</v>
      </c>
      <c r="V165" s="832">
        <v>0</v>
      </c>
      <c r="W165" s="832">
        <v>0</v>
      </c>
      <c r="X165" s="832">
        <v>0</v>
      </c>
      <c r="Y165" s="832">
        <v>0</v>
      </c>
      <c r="Z165" s="832">
        <v>0</v>
      </c>
      <c r="AA165" s="832">
        <v>0</v>
      </c>
      <c r="AB165" s="832">
        <v>0</v>
      </c>
      <c r="AC165" s="832">
        <v>0</v>
      </c>
      <c r="AD165" s="832">
        <v>0</v>
      </c>
      <c r="AE165" s="832">
        <v>0</v>
      </c>
      <c r="AF165" s="832">
        <v>0</v>
      </c>
      <c r="AG165" s="832">
        <v>0</v>
      </c>
      <c r="AH165" s="832">
        <v>0</v>
      </c>
      <c r="AI165" s="832">
        <v>0</v>
      </c>
      <c r="AJ165" s="1030" t="str">
        <f t="shared" si="12"/>
        <v>H01548</v>
      </c>
      <c r="AK165" s="1030" t="str">
        <f t="shared" si="13"/>
        <v>SVC FRAIS POSTAUX</v>
      </c>
      <c r="AL165" s="1030">
        <f>IFERROR(INDEX(G165:R165,1,MATCH(Parametres!$B$3,G$1:R$1,0)-1)*IF(OR(F165="L",F165="S",F165="I"),-1,1),"")</f>
        <v>0</v>
      </c>
      <c r="AM165" s="1030">
        <f t="shared" si="14"/>
        <v>0</v>
      </c>
      <c r="AN165" s="1030">
        <f>INDEX(G165:R165,1,MATCH(Parametres!$B$3,G$1:R$1,0))*IF(OR(F165="L",F165="S",F165="I"),-1,1)</f>
        <v>0</v>
      </c>
      <c r="AO165" s="598" t="str">
        <f>+VLOOKUP($AJ165,Data_Validation!$A:$D,1,0)</f>
        <v>H01548</v>
      </c>
      <c r="AP165" s="598" t="str">
        <f>+VLOOKUP($AJ165,Data_Validation!$A:$D,3,0)</f>
        <v>Service</v>
      </c>
      <c r="AQ165" s="598" t="str">
        <f>+VLOOKUP($AJ165,Data_Validation!$A:$D,4,0)</f>
        <v>Frais postaux</v>
      </c>
      <c r="AR165" s="598" t="s">
        <v>299</v>
      </c>
      <c r="AS165" s="598">
        <f>+VLOOKUP($AJ165,Data_Validation!$A:$E,5,0)</f>
        <v>0</v>
      </c>
      <c r="AT165" s="1036" t="str">
        <f t="shared" si="15"/>
        <v>H01548</v>
      </c>
      <c r="AU165" s="599" t="str">
        <f t="shared" si="16"/>
        <v>SVC FRAIS POSTAUX</v>
      </c>
      <c r="AV165" s="1030">
        <f>IFERROR(INDEX(V165:AG165,1,MATCH(Parametres!$B$3,V$1:AG$1,0)-1)*IF(OR(C165="L",C165="S",C165="I"),-1,1),"")</f>
        <v>0</v>
      </c>
      <c r="AW165" s="1030">
        <f t="shared" si="17"/>
        <v>0</v>
      </c>
      <c r="AX165" s="1030">
        <f>INDEX(V165:AG165,1,MATCH(Parametres!$B$3,V$1:AG$1,0))*IF(OR(C165="L",C165="S",C165="I"),-1,1)</f>
        <v>0</v>
      </c>
      <c r="AY165" s="598" t="s">
        <v>337</v>
      </c>
      <c r="AZ165" s="598">
        <f>+VLOOKUP($AJ165,Data_Validation!$A:$E,5,0)</f>
        <v>0</v>
      </c>
    </row>
    <row r="166" spans="1:52" ht="15" customHeight="1">
      <c r="A166" s="832" t="s">
        <v>1150</v>
      </c>
      <c r="B166" s="832">
        <v>2025</v>
      </c>
      <c r="C166" s="832" t="s">
        <v>1478</v>
      </c>
      <c r="D166" s="832" t="s">
        <v>1479</v>
      </c>
      <c r="E166" s="832" t="s">
        <v>333</v>
      </c>
      <c r="F166" s="832" t="s">
        <v>1119</v>
      </c>
      <c r="G166" s="832">
        <v>0</v>
      </c>
      <c r="H166" s="832">
        <v>0</v>
      </c>
      <c r="I166" s="832">
        <v>0</v>
      </c>
      <c r="J166" s="832">
        <v>1841.08</v>
      </c>
      <c r="K166" s="832">
        <v>1841.08</v>
      </c>
      <c r="L166" s="832">
        <v>1841.08</v>
      </c>
      <c r="M166" s="832">
        <v>1841.08</v>
      </c>
      <c r="N166" s="832">
        <v>1841.08</v>
      </c>
      <c r="O166" s="832">
        <v>742.9</v>
      </c>
      <c r="P166" s="832">
        <v>742.9</v>
      </c>
      <c r="Q166" s="832">
        <v>810.56</v>
      </c>
      <c r="R166" s="832">
        <v>810.56</v>
      </c>
      <c r="S166" s="832">
        <v>73.69</v>
      </c>
      <c r="T166" s="832">
        <v>73.69</v>
      </c>
      <c r="U166" s="832">
        <v>0</v>
      </c>
      <c r="V166" s="832">
        <v>0</v>
      </c>
      <c r="W166" s="832">
        <v>0</v>
      </c>
      <c r="X166" s="832">
        <v>0</v>
      </c>
      <c r="Y166" s="832">
        <v>0</v>
      </c>
      <c r="Z166" s="832">
        <v>0</v>
      </c>
      <c r="AA166" s="832">
        <v>0</v>
      </c>
      <c r="AB166" s="832">
        <v>0</v>
      </c>
      <c r="AC166" s="832">
        <v>0</v>
      </c>
      <c r="AD166" s="832">
        <v>0</v>
      </c>
      <c r="AE166" s="832">
        <v>0</v>
      </c>
      <c r="AF166" s="832">
        <v>0</v>
      </c>
      <c r="AG166" s="832">
        <v>0</v>
      </c>
      <c r="AH166" s="832">
        <v>0</v>
      </c>
      <c r="AI166" s="832">
        <v>0</v>
      </c>
      <c r="AJ166" s="1030" t="str">
        <f t="shared" si="12"/>
        <v>H01549</v>
      </c>
      <c r="AK166" s="1030" t="str">
        <f t="shared" si="13"/>
        <v>SVC FRET &amp; MESSAGERIE</v>
      </c>
      <c r="AL166" s="1030">
        <f>IFERROR(INDEX(G166:R166,1,MATCH(Parametres!$B$3,G$1:R$1,0)-1)*IF(OR(F166="L",F166="S",F166="I"),-1,1),"")</f>
        <v>1841.08</v>
      </c>
      <c r="AM166" s="1030">
        <f t="shared" si="14"/>
        <v>0</v>
      </c>
      <c r="AN166" s="1030">
        <f>INDEX(G166:R166,1,MATCH(Parametres!$B$3,G$1:R$1,0))*IF(OR(F166="L",F166="S",F166="I"),-1,1)</f>
        <v>1841.08</v>
      </c>
      <c r="AO166" s="598" t="str">
        <f>+VLOOKUP($AJ166,Data_Validation!$A:$D,1,0)</f>
        <v>H01549</v>
      </c>
      <c r="AP166" s="598" t="str">
        <f>+VLOOKUP($AJ166,Data_Validation!$A:$D,3,0)</f>
        <v>Service</v>
      </c>
      <c r="AQ166" s="598" t="str">
        <f>+VLOOKUP($AJ166,Data_Validation!$A:$D,4,0)</f>
        <v>Frais postaux</v>
      </c>
      <c r="AR166" s="598" t="s">
        <v>299</v>
      </c>
      <c r="AS166" s="598">
        <f>+VLOOKUP($AJ166,Data_Validation!$A:$E,5,0)</f>
        <v>0</v>
      </c>
      <c r="AT166" s="1036" t="str">
        <f t="shared" si="15"/>
        <v>H01549</v>
      </c>
      <c r="AU166" s="599" t="str">
        <f t="shared" si="16"/>
        <v>SVC FRET &amp; MESSAGERIE</v>
      </c>
      <c r="AV166" s="1030">
        <f>IFERROR(INDEX(V166:AG166,1,MATCH(Parametres!$B$3,V$1:AG$1,0)-1)*IF(OR(C166="L",C166="S",C166="I"),-1,1),"")</f>
        <v>0</v>
      </c>
      <c r="AW166" s="1030">
        <f t="shared" si="17"/>
        <v>0</v>
      </c>
      <c r="AX166" s="1030">
        <f>INDEX(V166:AG166,1,MATCH(Parametres!$B$3,V$1:AG$1,0))*IF(OR(C166="L",C166="S",C166="I"),-1,1)</f>
        <v>0</v>
      </c>
      <c r="AY166" s="598" t="s">
        <v>337</v>
      </c>
      <c r="AZ166" s="598">
        <f>+VLOOKUP($AJ166,Data_Validation!$A:$E,5,0)</f>
        <v>0</v>
      </c>
    </row>
    <row r="167" spans="1:52" ht="15" customHeight="1">
      <c r="A167" s="832" t="s">
        <v>1150</v>
      </c>
      <c r="B167" s="832">
        <v>2025</v>
      </c>
      <c r="C167" s="832" t="s">
        <v>1480</v>
      </c>
      <c r="D167" s="832" t="s">
        <v>1481</v>
      </c>
      <c r="E167" s="832" t="s">
        <v>333</v>
      </c>
      <c r="F167" s="832" t="s">
        <v>1119</v>
      </c>
      <c r="G167" s="832">
        <v>62.5</v>
      </c>
      <c r="H167" s="832">
        <v>436.5</v>
      </c>
      <c r="I167" s="832">
        <v>436.5</v>
      </c>
      <c r="J167" s="832">
        <v>436.5</v>
      </c>
      <c r="K167" s="832">
        <v>436.5</v>
      </c>
      <c r="L167" s="832">
        <v>436.5</v>
      </c>
      <c r="M167" s="832">
        <v>436.5</v>
      </c>
      <c r="N167" s="832">
        <v>436.5</v>
      </c>
      <c r="O167" s="832">
        <v>436.5</v>
      </c>
      <c r="P167" s="832">
        <v>436.5</v>
      </c>
      <c r="Q167" s="832">
        <v>436.5</v>
      </c>
      <c r="R167" s="832">
        <v>436.5</v>
      </c>
      <c r="S167" s="832">
        <v>39.68</v>
      </c>
      <c r="T167" s="832">
        <v>39.68</v>
      </c>
      <c r="U167" s="832">
        <v>0</v>
      </c>
      <c r="V167" s="832">
        <v>0</v>
      </c>
      <c r="W167" s="832">
        <v>0</v>
      </c>
      <c r="X167" s="832">
        <v>0</v>
      </c>
      <c r="Y167" s="832">
        <v>0</v>
      </c>
      <c r="Z167" s="832">
        <v>0</v>
      </c>
      <c r="AA167" s="832">
        <v>0</v>
      </c>
      <c r="AB167" s="832">
        <v>0</v>
      </c>
      <c r="AC167" s="832">
        <v>0</v>
      </c>
      <c r="AD167" s="832">
        <v>0</v>
      </c>
      <c r="AE167" s="832">
        <v>0</v>
      </c>
      <c r="AF167" s="832">
        <v>0</v>
      </c>
      <c r="AG167" s="832">
        <v>0</v>
      </c>
      <c r="AH167" s="832">
        <v>0</v>
      </c>
      <c r="AI167" s="832">
        <v>0</v>
      </c>
      <c r="AJ167" s="1030" t="str">
        <f t="shared" si="12"/>
        <v>H01552</v>
      </c>
      <c r="AK167" s="1030" t="str">
        <f t="shared" si="13"/>
        <v>SVC FRAIS DIVERS</v>
      </c>
      <c r="AL167" s="1030">
        <f>IFERROR(INDEX(G167:R167,1,MATCH(Parametres!$B$3,G$1:R$1,0)-1)*IF(OR(F167="L",F167="S",F167="I"),-1,1),"")</f>
        <v>436.5</v>
      </c>
      <c r="AM167" s="1030">
        <f t="shared" si="14"/>
        <v>0</v>
      </c>
      <c r="AN167" s="1030">
        <f>INDEX(G167:R167,1,MATCH(Parametres!$B$3,G$1:R$1,0))*IF(OR(F167="L",F167="S",F167="I"),-1,1)</f>
        <v>436.5</v>
      </c>
      <c r="AO167" s="598" t="str">
        <f>+VLOOKUP($AJ167,Data_Validation!$A:$D,1,0)</f>
        <v>H01552</v>
      </c>
      <c r="AP167" s="598" t="str">
        <f>+VLOOKUP($AJ167,Data_Validation!$A:$D,3,0)</f>
        <v>Service</v>
      </c>
      <c r="AQ167" s="598" t="str">
        <f>+VLOOKUP($AJ167,Data_Validation!$A:$D,4,0)</f>
        <v>Divers</v>
      </c>
      <c r="AR167" s="598" t="s">
        <v>299</v>
      </c>
      <c r="AS167" s="598">
        <f>+VLOOKUP($AJ167,Data_Validation!$A:$E,5,0)</f>
        <v>0</v>
      </c>
      <c r="AT167" s="1036" t="str">
        <f t="shared" si="15"/>
        <v>H01552</v>
      </c>
      <c r="AU167" s="599" t="str">
        <f t="shared" si="16"/>
        <v>SVC FRAIS DIVERS</v>
      </c>
      <c r="AV167" s="1030">
        <f>IFERROR(INDEX(V167:AG167,1,MATCH(Parametres!$B$3,V$1:AG$1,0)-1)*IF(OR(C167="L",C167="S",C167="I"),-1,1),"")</f>
        <v>0</v>
      </c>
      <c r="AW167" s="1030">
        <f t="shared" si="17"/>
        <v>0</v>
      </c>
      <c r="AX167" s="1030">
        <f>INDEX(V167:AG167,1,MATCH(Parametres!$B$3,V$1:AG$1,0))*IF(OR(C167="L",C167="S",C167="I"),-1,1)</f>
        <v>0</v>
      </c>
      <c r="AY167" s="598" t="s">
        <v>337</v>
      </c>
      <c r="AZ167" s="598">
        <f>+VLOOKUP($AJ167,Data_Validation!$A:$E,5,0)</f>
        <v>0</v>
      </c>
    </row>
    <row r="168" spans="1:52" ht="15.75" customHeight="1">
      <c r="A168" s="832" t="s">
        <v>1150</v>
      </c>
      <c r="B168" s="832">
        <v>2025</v>
      </c>
      <c r="C168" s="832" t="s">
        <v>1482</v>
      </c>
      <c r="D168" s="832" t="s">
        <v>1483</v>
      </c>
      <c r="E168" s="832" t="s">
        <v>333</v>
      </c>
      <c r="F168" s="832" t="s">
        <v>1119</v>
      </c>
      <c r="G168" s="832">
        <v>0</v>
      </c>
      <c r="H168" s="832">
        <v>0</v>
      </c>
      <c r="I168" s="832">
        <v>300</v>
      </c>
      <c r="J168" s="832">
        <v>600</v>
      </c>
      <c r="K168" s="832">
        <v>1100</v>
      </c>
      <c r="L168" s="832">
        <v>1600</v>
      </c>
      <c r="M168" s="832">
        <v>2100</v>
      </c>
      <c r="N168" s="832">
        <v>2600</v>
      </c>
      <c r="O168" s="832">
        <v>3100</v>
      </c>
      <c r="P168" s="832">
        <v>3600</v>
      </c>
      <c r="Q168" s="832">
        <v>4100</v>
      </c>
      <c r="R168" s="832">
        <v>4600</v>
      </c>
      <c r="S168" s="832">
        <v>372.73</v>
      </c>
      <c r="T168" s="832">
        <v>372.73</v>
      </c>
      <c r="U168" s="832">
        <v>0</v>
      </c>
      <c r="V168" s="832">
        <v>0</v>
      </c>
      <c r="W168" s="832">
        <v>0</v>
      </c>
      <c r="X168" s="832">
        <v>0</v>
      </c>
      <c r="Y168" s="832">
        <v>0</v>
      </c>
      <c r="Z168" s="832">
        <v>0</v>
      </c>
      <c r="AA168" s="832">
        <v>0</v>
      </c>
      <c r="AB168" s="832">
        <v>0</v>
      </c>
      <c r="AC168" s="832">
        <v>0</v>
      </c>
      <c r="AD168" s="832">
        <v>0</v>
      </c>
      <c r="AE168" s="832">
        <v>0</v>
      </c>
      <c r="AF168" s="832">
        <v>0</v>
      </c>
      <c r="AG168" s="832">
        <v>0</v>
      </c>
      <c r="AH168" s="832">
        <v>0</v>
      </c>
      <c r="AI168" s="832">
        <v>0</v>
      </c>
      <c r="AJ168" s="1030" t="str">
        <f t="shared" si="12"/>
        <v>H01553</v>
      </c>
      <c r="AK168" s="1030" t="str">
        <f t="shared" si="13"/>
        <v>SRC RESERVE DOMMAGE</v>
      </c>
      <c r="AL168" s="1030">
        <f>IFERROR(INDEX(G168:R168,1,MATCH(Parametres!$B$3,G$1:R$1,0)-1)*IF(OR(F168="L",F168="S",F168="I"),-1,1),"")</f>
        <v>600</v>
      </c>
      <c r="AM168" s="1030">
        <f t="shared" si="14"/>
        <v>500</v>
      </c>
      <c r="AN168" s="1030">
        <f>INDEX(G168:R168,1,MATCH(Parametres!$B$3,G$1:R$1,0))*IF(OR(F168="L",F168="S",F168="I"),-1,1)</f>
        <v>1100</v>
      </c>
      <c r="AO168" s="598" t="str">
        <f>+VLOOKUP($AJ168,Data_Validation!$A:$D,1,0)</f>
        <v>H01553</v>
      </c>
      <c r="AP168" s="598" t="str">
        <f>+VLOOKUP($AJ168,Data_Validation!$A:$D,3,0)</f>
        <v>Service</v>
      </c>
      <c r="AQ168" s="598" t="str">
        <f>+VLOOKUP($AJ168,Data_Validation!$A:$D,4,0)</f>
        <v>Divers</v>
      </c>
      <c r="AR168" s="598" t="s">
        <v>299</v>
      </c>
      <c r="AS168" s="598">
        <f>+VLOOKUP($AJ168,Data_Validation!$A:$E,5,0)</f>
        <v>0</v>
      </c>
      <c r="AT168" s="1036" t="str">
        <f t="shared" si="15"/>
        <v>H01553</v>
      </c>
      <c r="AU168" s="599" t="str">
        <f t="shared" si="16"/>
        <v>SRC RESERVE DOMMAGE</v>
      </c>
      <c r="AV168" s="1030">
        <f>IFERROR(INDEX(V168:AG168,1,MATCH(Parametres!$B$3,V$1:AG$1,0)-1)*IF(OR(C168="L",C168="S",C168="I"),-1,1),"")</f>
        <v>0</v>
      </c>
      <c r="AW168" s="1030">
        <f t="shared" si="17"/>
        <v>0</v>
      </c>
      <c r="AX168" s="1030">
        <f>INDEX(V168:AG168,1,MATCH(Parametres!$B$3,V$1:AG$1,0))*IF(OR(C168="L",C168="S",C168="I"),-1,1)</f>
        <v>0</v>
      </c>
      <c r="AY168" s="598" t="s">
        <v>337</v>
      </c>
      <c r="AZ168" s="598">
        <f>+VLOOKUP($AJ168,Data_Validation!$A:$E,5,0)</f>
        <v>0</v>
      </c>
    </row>
    <row r="169" spans="1:52" ht="15" customHeight="1">
      <c r="A169" s="832" t="s">
        <v>1150</v>
      </c>
      <c r="B169" s="832">
        <v>2025</v>
      </c>
      <c r="C169" s="832" t="s">
        <v>1484</v>
      </c>
      <c r="D169" s="832" t="s">
        <v>1485</v>
      </c>
      <c r="E169" s="832" t="s">
        <v>333</v>
      </c>
      <c r="F169" s="832" t="s">
        <v>1119</v>
      </c>
      <c r="G169" s="832">
        <v>32500</v>
      </c>
      <c r="H169" s="832">
        <v>65000</v>
      </c>
      <c r="I169" s="832">
        <v>97500</v>
      </c>
      <c r="J169" s="832">
        <v>130000</v>
      </c>
      <c r="K169" s="832">
        <v>162500</v>
      </c>
      <c r="L169" s="832">
        <v>195000</v>
      </c>
      <c r="M169" s="832">
        <v>227500</v>
      </c>
      <c r="N169" s="832">
        <v>260000</v>
      </c>
      <c r="O169" s="832">
        <v>292500</v>
      </c>
      <c r="P169" s="832">
        <v>325000</v>
      </c>
      <c r="Q169" s="832">
        <v>357500</v>
      </c>
      <c r="R169" s="832">
        <v>381250</v>
      </c>
      <c r="S169" s="832">
        <v>32500</v>
      </c>
      <c r="T169" s="832">
        <v>32500</v>
      </c>
      <c r="U169" s="832">
        <v>0</v>
      </c>
      <c r="V169" s="832">
        <v>0</v>
      </c>
      <c r="W169" s="832">
        <v>0</v>
      </c>
      <c r="X169" s="832">
        <v>0</v>
      </c>
      <c r="Y169" s="832">
        <v>0</v>
      </c>
      <c r="Z169" s="832">
        <v>0</v>
      </c>
      <c r="AA169" s="832">
        <v>0</v>
      </c>
      <c r="AB169" s="832">
        <v>0</v>
      </c>
      <c r="AC169" s="832">
        <v>0</v>
      </c>
      <c r="AD169" s="832">
        <v>0</v>
      </c>
      <c r="AE169" s="832">
        <v>0</v>
      </c>
      <c r="AF169" s="832">
        <v>0</v>
      </c>
      <c r="AG169" s="832">
        <v>0</v>
      </c>
      <c r="AH169" s="832">
        <v>0</v>
      </c>
      <c r="AI169" s="832">
        <v>0</v>
      </c>
      <c r="AJ169" s="1030" t="str">
        <f t="shared" si="12"/>
        <v>H01560</v>
      </c>
      <c r="AK169" s="1030" t="str">
        <f t="shared" si="13"/>
        <v>SVC LOYER INT HYPOTH.</v>
      </c>
      <c r="AL169" s="1030">
        <f>IFERROR(INDEX(G169:R169,1,MATCH(Parametres!$B$3,G$1:R$1,0)-1)*IF(OR(F169="L",F169="S",F169="I"),-1,1),"")</f>
        <v>130000</v>
      </c>
      <c r="AM169" s="1030">
        <f t="shared" si="14"/>
        <v>32500</v>
      </c>
      <c r="AN169" s="1030">
        <f>INDEX(G169:R169,1,MATCH(Parametres!$B$3,G$1:R$1,0))*IF(OR(F169="L",F169="S",F169="I"),-1,1)</f>
        <v>162500</v>
      </c>
      <c r="AO169" s="598" t="str">
        <f>+VLOOKUP($AJ169,Data_Validation!$A:$D,1,0)</f>
        <v>H01560</v>
      </c>
      <c r="AP169" s="598" t="str">
        <f>+VLOOKUP($AJ169,Data_Validation!$A:$D,3,0)</f>
        <v>Service</v>
      </c>
      <c r="AQ169" s="598" t="str">
        <f>+VLOOKUP($AJ169,Data_Validation!$A:$D,4,0)</f>
        <v>Loyer</v>
      </c>
      <c r="AR169" s="598" t="s">
        <v>299</v>
      </c>
      <c r="AS169" s="598">
        <f>+VLOOKUP($AJ169,Data_Validation!$A:$E,5,0)</f>
        <v>0</v>
      </c>
      <c r="AT169" s="1036" t="str">
        <f t="shared" si="15"/>
        <v>H01560</v>
      </c>
      <c r="AU169" s="599" t="str">
        <f t="shared" si="16"/>
        <v>SVC LOYER INT HYPOTH.</v>
      </c>
      <c r="AV169" s="1030">
        <f>IFERROR(INDEX(V169:AG169,1,MATCH(Parametres!$B$3,V$1:AG$1,0)-1)*IF(OR(C169="L",C169="S",C169="I"),-1,1),"")</f>
        <v>0</v>
      </c>
      <c r="AW169" s="1030">
        <f t="shared" si="17"/>
        <v>0</v>
      </c>
      <c r="AX169" s="1030">
        <f>INDEX(V169:AG169,1,MATCH(Parametres!$B$3,V$1:AG$1,0))*IF(OR(C169="L",C169="S",C169="I"),-1,1)</f>
        <v>0</v>
      </c>
      <c r="AY169" s="598" t="s">
        <v>337</v>
      </c>
      <c r="AZ169" s="598">
        <f>+VLOOKUP($AJ169,Data_Validation!$A:$E,5,0)</f>
        <v>0</v>
      </c>
    </row>
    <row r="170" spans="1:52" ht="15" customHeight="1">
      <c r="A170" s="832" t="s">
        <v>1150</v>
      </c>
      <c r="B170" s="832">
        <v>2025</v>
      </c>
      <c r="C170" s="832" t="s">
        <v>1486</v>
      </c>
      <c r="D170" s="832" t="s">
        <v>1487</v>
      </c>
      <c r="E170" s="832" t="s">
        <v>333</v>
      </c>
      <c r="F170" s="832" t="s">
        <v>1119</v>
      </c>
      <c r="G170" s="832">
        <v>148.16</v>
      </c>
      <c r="H170" s="832">
        <v>296.32</v>
      </c>
      <c r="I170" s="832">
        <v>440.31</v>
      </c>
      <c r="J170" s="832">
        <v>581.41999999999996</v>
      </c>
      <c r="K170" s="832">
        <v>752.99</v>
      </c>
      <c r="L170" s="832">
        <v>921.13</v>
      </c>
      <c r="M170" s="832">
        <v>1052.93</v>
      </c>
      <c r="N170" s="832">
        <v>1182.07</v>
      </c>
      <c r="O170" s="832">
        <v>1308.6500000000001</v>
      </c>
      <c r="P170" s="832">
        <v>1365.58</v>
      </c>
      <c r="Q170" s="832">
        <v>1420.27</v>
      </c>
      <c r="R170" s="832">
        <v>1474.96</v>
      </c>
      <c r="S170" s="832">
        <v>129.12</v>
      </c>
      <c r="T170" s="832">
        <v>129.12</v>
      </c>
      <c r="U170" s="832">
        <v>0</v>
      </c>
      <c r="V170" s="832">
        <v>0</v>
      </c>
      <c r="W170" s="832">
        <v>0</v>
      </c>
      <c r="X170" s="832">
        <v>0</v>
      </c>
      <c r="Y170" s="832">
        <v>0</v>
      </c>
      <c r="Z170" s="832">
        <v>0</v>
      </c>
      <c r="AA170" s="832">
        <v>0</v>
      </c>
      <c r="AB170" s="832">
        <v>0</v>
      </c>
      <c r="AC170" s="832">
        <v>0</v>
      </c>
      <c r="AD170" s="832">
        <v>0</v>
      </c>
      <c r="AE170" s="832">
        <v>0</v>
      </c>
      <c r="AF170" s="832">
        <v>0</v>
      </c>
      <c r="AG170" s="832">
        <v>0</v>
      </c>
      <c r="AH170" s="832">
        <v>0</v>
      </c>
      <c r="AI170" s="832">
        <v>0</v>
      </c>
      <c r="AJ170" s="1030" t="str">
        <f t="shared" si="12"/>
        <v>H01561</v>
      </c>
      <c r="AK170" s="1030" t="str">
        <f t="shared" si="13"/>
        <v>SVC AMORT AMELIOR  LOC</v>
      </c>
      <c r="AL170" s="1030">
        <f>IFERROR(INDEX(G170:R170,1,MATCH(Parametres!$B$3,G$1:R$1,0)-1)*IF(OR(F170="L",F170="S",F170="I"),-1,1),"")</f>
        <v>581.41999999999996</v>
      </c>
      <c r="AM170" s="1030">
        <f t="shared" si="14"/>
        <v>171.57000000000005</v>
      </c>
      <c r="AN170" s="1030">
        <f>INDEX(G170:R170,1,MATCH(Parametres!$B$3,G$1:R$1,0))*IF(OR(F170="L",F170="S",F170="I"),-1,1)</f>
        <v>752.99</v>
      </c>
      <c r="AO170" s="598" t="str">
        <f>+VLOOKUP($AJ170,Data_Validation!$A:$D,1,0)</f>
        <v>H01561</v>
      </c>
      <c r="AP170" s="598" t="str">
        <f>+VLOOKUP($AJ170,Data_Validation!$A:$D,3,0)</f>
        <v>Service</v>
      </c>
      <c r="AQ170" s="598" t="str">
        <f>+VLOOKUP($AJ170,Data_Validation!$A:$D,4,0)</f>
        <v>Amortissement</v>
      </c>
      <c r="AR170" s="598" t="s">
        <v>299</v>
      </c>
      <c r="AS170" s="598">
        <f>+VLOOKUP($AJ170,Data_Validation!$A:$E,5,0)</f>
        <v>0</v>
      </c>
      <c r="AT170" s="1036" t="str">
        <f t="shared" si="15"/>
        <v>H01561</v>
      </c>
      <c r="AU170" s="599" t="str">
        <f t="shared" si="16"/>
        <v>SVC AMORT AMELIOR  LOC</v>
      </c>
      <c r="AV170" s="1030">
        <f>IFERROR(INDEX(V170:AG170,1,MATCH(Parametres!$B$3,V$1:AG$1,0)-1)*IF(OR(C170="L",C170="S",C170="I"),-1,1),"")</f>
        <v>0</v>
      </c>
      <c r="AW170" s="1030">
        <f t="shared" si="17"/>
        <v>0</v>
      </c>
      <c r="AX170" s="1030">
        <f>INDEX(V170:AG170,1,MATCH(Parametres!$B$3,V$1:AG$1,0))*IF(OR(C170="L",C170="S",C170="I"),-1,1)</f>
        <v>0</v>
      </c>
      <c r="AY170" s="598" t="s">
        <v>337</v>
      </c>
      <c r="AZ170" s="598">
        <f>+VLOOKUP($AJ170,Data_Validation!$A:$E,5,0)</f>
        <v>0</v>
      </c>
    </row>
    <row r="171" spans="1:52" ht="15" customHeight="1">
      <c r="A171" s="832" t="s">
        <v>1150</v>
      </c>
      <c r="B171" s="832">
        <v>2025</v>
      </c>
      <c r="C171" s="832" t="s">
        <v>1488</v>
      </c>
      <c r="D171" s="832" t="s">
        <v>1489</v>
      </c>
      <c r="E171" s="832" t="s">
        <v>333</v>
      </c>
      <c r="F171" s="832" t="s">
        <v>1119</v>
      </c>
      <c r="G171" s="832">
        <v>3589.89</v>
      </c>
      <c r="H171" s="832">
        <v>12284.53</v>
      </c>
      <c r="I171" s="832">
        <v>25406.13</v>
      </c>
      <c r="J171" s="832">
        <v>33122.559999999998</v>
      </c>
      <c r="K171" s="832">
        <v>37835.15</v>
      </c>
      <c r="L171" s="832">
        <v>41193.800000000003</v>
      </c>
      <c r="M171" s="832">
        <v>46014.58</v>
      </c>
      <c r="N171" s="832">
        <v>50424.28</v>
      </c>
      <c r="O171" s="832">
        <v>53745.21</v>
      </c>
      <c r="P171" s="832">
        <v>55437.98</v>
      </c>
      <c r="Q171" s="832">
        <v>56017.46</v>
      </c>
      <c r="R171" s="832">
        <v>56551.14</v>
      </c>
      <c r="S171" s="832">
        <v>5092.5</v>
      </c>
      <c r="T171" s="832">
        <v>5092.5</v>
      </c>
      <c r="U171" s="832">
        <v>0</v>
      </c>
      <c r="V171" s="832">
        <v>0</v>
      </c>
      <c r="W171" s="832">
        <v>0</v>
      </c>
      <c r="X171" s="832">
        <v>0</v>
      </c>
      <c r="Y171" s="832">
        <v>0</v>
      </c>
      <c r="Z171" s="832">
        <v>0</v>
      </c>
      <c r="AA171" s="832">
        <v>0</v>
      </c>
      <c r="AB171" s="832">
        <v>0</v>
      </c>
      <c r="AC171" s="832">
        <v>0</v>
      </c>
      <c r="AD171" s="832">
        <v>0</v>
      </c>
      <c r="AE171" s="832">
        <v>0</v>
      </c>
      <c r="AF171" s="832">
        <v>0</v>
      </c>
      <c r="AG171" s="832">
        <v>0</v>
      </c>
      <c r="AH171" s="832">
        <v>0</v>
      </c>
      <c r="AI171" s="832">
        <v>0</v>
      </c>
      <c r="AJ171" s="1030" t="str">
        <f t="shared" si="12"/>
        <v>H01562</v>
      </c>
      <c r="AK171" s="1030" t="str">
        <f t="shared" si="13"/>
        <v>SVC ENTRERIEN PROPRIÉTÉ</v>
      </c>
      <c r="AL171" s="1030">
        <f>IFERROR(INDEX(G171:R171,1,MATCH(Parametres!$B$3,G$1:R$1,0)-1)*IF(OR(F171="L",F171="S",F171="I"),-1,1),"")</f>
        <v>33122.559999999998</v>
      </c>
      <c r="AM171" s="1030">
        <f t="shared" si="14"/>
        <v>4712.5900000000038</v>
      </c>
      <c r="AN171" s="1030">
        <f>INDEX(G171:R171,1,MATCH(Parametres!$B$3,G$1:R$1,0))*IF(OR(F171="L",F171="S",F171="I"),-1,1)</f>
        <v>37835.15</v>
      </c>
      <c r="AO171" s="598" t="str">
        <f>+VLOOKUP($AJ171,Data_Validation!$A:$D,1,0)</f>
        <v>H01562</v>
      </c>
      <c r="AP171" s="598" t="str">
        <f>+VLOOKUP($AJ171,Data_Validation!$A:$D,3,0)</f>
        <v>Autres</v>
      </c>
      <c r="AQ171" s="598" t="str">
        <f>+VLOOKUP($AJ171,Data_Validation!$A:$D,4,0)</f>
        <v>Services extérieurs</v>
      </c>
      <c r="AR171" s="598" t="s">
        <v>299</v>
      </c>
      <c r="AS171" s="598">
        <f>+VLOOKUP($AJ171,Data_Validation!$A:$E,5,0)</f>
        <v>0</v>
      </c>
      <c r="AT171" s="1036" t="str">
        <f t="shared" si="15"/>
        <v>H01562</v>
      </c>
      <c r="AU171" s="599" t="str">
        <f t="shared" si="16"/>
        <v>SVC ENTRERIEN PROPRIÉTÉ</v>
      </c>
      <c r="AV171" s="1030">
        <f>IFERROR(INDEX(V171:AG171,1,MATCH(Parametres!$B$3,V$1:AG$1,0)-1)*IF(OR(C171="L",C171="S",C171="I"),-1,1),"")</f>
        <v>0</v>
      </c>
      <c r="AW171" s="1030">
        <f t="shared" si="17"/>
        <v>0</v>
      </c>
      <c r="AX171" s="1030">
        <f>INDEX(V171:AG171,1,MATCH(Parametres!$B$3,V$1:AG$1,0))*IF(OR(C171="L",C171="S",C171="I"),-1,1)</f>
        <v>0</v>
      </c>
      <c r="AY171" s="598" t="s">
        <v>337</v>
      </c>
      <c r="AZ171" s="598">
        <f>+VLOOKUP($AJ171,Data_Validation!$A:$E,5,0)</f>
        <v>0</v>
      </c>
    </row>
    <row r="172" spans="1:52" ht="15.75" customHeight="1">
      <c r="A172" s="832" t="s">
        <v>1150</v>
      </c>
      <c r="B172" s="832">
        <v>2025</v>
      </c>
      <c r="C172" s="832" t="s">
        <v>1490</v>
      </c>
      <c r="D172" s="832" t="s">
        <v>1491</v>
      </c>
      <c r="E172" s="832" t="s">
        <v>333</v>
      </c>
      <c r="F172" s="832" t="s">
        <v>1119</v>
      </c>
      <c r="G172" s="832">
        <v>8402.5499999999993</v>
      </c>
      <c r="H172" s="832">
        <v>16339.53</v>
      </c>
      <c r="I172" s="832">
        <v>24209.93</v>
      </c>
      <c r="J172" s="832">
        <v>32080.33</v>
      </c>
      <c r="K172" s="832">
        <v>39950.730000000003</v>
      </c>
      <c r="L172" s="832">
        <v>47821.13</v>
      </c>
      <c r="M172" s="832">
        <v>55691.53</v>
      </c>
      <c r="N172" s="832">
        <v>63561.93</v>
      </c>
      <c r="O172" s="832">
        <v>74164.37</v>
      </c>
      <c r="P172" s="832">
        <v>85243.02</v>
      </c>
      <c r="Q172" s="832">
        <v>93113.42</v>
      </c>
      <c r="R172" s="832">
        <v>99020.91</v>
      </c>
      <c r="S172" s="832">
        <v>8464.86</v>
      </c>
      <c r="T172" s="832">
        <v>8464.86</v>
      </c>
      <c r="U172" s="832">
        <v>0</v>
      </c>
      <c r="V172" s="832">
        <v>0</v>
      </c>
      <c r="W172" s="832">
        <v>0</v>
      </c>
      <c r="X172" s="832">
        <v>0</v>
      </c>
      <c r="Y172" s="832">
        <v>0</v>
      </c>
      <c r="Z172" s="832">
        <v>0</v>
      </c>
      <c r="AA172" s="832">
        <v>0</v>
      </c>
      <c r="AB172" s="832">
        <v>0</v>
      </c>
      <c r="AC172" s="832">
        <v>0</v>
      </c>
      <c r="AD172" s="832">
        <v>0</v>
      </c>
      <c r="AE172" s="832">
        <v>0</v>
      </c>
      <c r="AF172" s="832">
        <v>0</v>
      </c>
      <c r="AG172" s="832">
        <v>0</v>
      </c>
      <c r="AH172" s="832">
        <v>0</v>
      </c>
      <c r="AI172" s="832">
        <v>0</v>
      </c>
      <c r="AJ172" s="1030" t="str">
        <f t="shared" si="12"/>
        <v>H01563</v>
      </c>
      <c r="AK172" s="1030" t="str">
        <f t="shared" si="13"/>
        <v>SVC TAXES PROPRIÉTÉ</v>
      </c>
      <c r="AL172" s="1030">
        <f>IFERROR(INDEX(G172:R172,1,MATCH(Parametres!$B$3,G$1:R$1,0)-1)*IF(OR(F172="L",F172="S",F172="I"),-1,1),"")</f>
        <v>32080.33</v>
      </c>
      <c r="AM172" s="1030">
        <f t="shared" si="14"/>
        <v>7870.4000000000015</v>
      </c>
      <c r="AN172" s="1030">
        <f>INDEX(G172:R172,1,MATCH(Parametres!$B$3,G$1:R$1,0))*IF(OR(F172="L",F172="S",F172="I"),-1,1)</f>
        <v>39950.730000000003</v>
      </c>
      <c r="AO172" s="598" t="str">
        <f>+VLOOKUP($AJ172,Data_Validation!$A:$D,1,0)</f>
        <v>H01563</v>
      </c>
      <c r="AP172" s="598" t="str">
        <f>+VLOOKUP($AJ172,Data_Validation!$A:$D,3,0)</f>
        <v>Service</v>
      </c>
      <c r="AQ172" s="598" t="str">
        <f>+VLOOKUP($AJ172,Data_Validation!$A:$D,4,0)</f>
        <v>Taxes foncières</v>
      </c>
      <c r="AR172" s="598" t="s">
        <v>299</v>
      </c>
      <c r="AS172" s="598">
        <f>+VLOOKUP($AJ172,Data_Validation!$A:$E,5,0)</f>
        <v>0</v>
      </c>
      <c r="AT172" s="1036" t="str">
        <f t="shared" si="15"/>
        <v>H01563</v>
      </c>
      <c r="AU172" s="599" t="str">
        <f t="shared" si="16"/>
        <v>SVC TAXES PROPRIÉTÉ</v>
      </c>
      <c r="AV172" s="1030">
        <f>IFERROR(INDEX(V172:AG172,1,MATCH(Parametres!$B$3,V$1:AG$1,0)-1)*IF(OR(C172="L",C172="S",C172="I"),-1,1),"")</f>
        <v>0</v>
      </c>
      <c r="AW172" s="1030">
        <f t="shared" si="17"/>
        <v>0</v>
      </c>
      <c r="AX172" s="1030">
        <f>INDEX(V172:AG172,1,MATCH(Parametres!$B$3,V$1:AG$1,0))*IF(OR(C172="L",C172="S",C172="I"),-1,1)</f>
        <v>0</v>
      </c>
      <c r="AY172" s="598" t="s">
        <v>337</v>
      </c>
      <c r="AZ172" s="598">
        <f>+VLOOKUP($AJ172,Data_Validation!$A:$E,5,0)</f>
        <v>0</v>
      </c>
    </row>
    <row r="173" spans="1:52" ht="15" customHeight="1">
      <c r="A173" s="832" t="s">
        <v>1150</v>
      </c>
      <c r="B173" s="832">
        <v>2025</v>
      </c>
      <c r="C173" s="832" t="s">
        <v>1492</v>
      </c>
      <c r="D173" s="832" t="s">
        <v>1493</v>
      </c>
      <c r="E173" s="832" t="s">
        <v>333</v>
      </c>
      <c r="F173" s="832" t="s">
        <v>1119</v>
      </c>
      <c r="G173" s="832">
        <v>1184.5899999999999</v>
      </c>
      <c r="H173" s="832">
        <v>2369.1799999999998</v>
      </c>
      <c r="I173" s="832">
        <v>3553.77</v>
      </c>
      <c r="J173" s="832">
        <v>4738.3599999999997</v>
      </c>
      <c r="K173" s="832">
        <v>5922.95</v>
      </c>
      <c r="L173" s="832">
        <v>7107.54</v>
      </c>
      <c r="M173" s="832">
        <v>8292.1299999999992</v>
      </c>
      <c r="N173" s="832">
        <v>9330.59</v>
      </c>
      <c r="O173" s="832">
        <v>10369.049999999999</v>
      </c>
      <c r="P173" s="832">
        <v>11407.51</v>
      </c>
      <c r="Q173" s="832">
        <v>12137.91</v>
      </c>
      <c r="R173" s="832">
        <v>12868.31</v>
      </c>
      <c r="S173" s="832">
        <v>1103.45</v>
      </c>
      <c r="T173" s="832">
        <v>1103.45</v>
      </c>
      <c r="U173" s="832">
        <v>0</v>
      </c>
      <c r="V173" s="832">
        <v>0</v>
      </c>
      <c r="W173" s="832">
        <v>0</v>
      </c>
      <c r="X173" s="832">
        <v>0</v>
      </c>
      <c r="Y173" s="832">
        <v>0</v>
      </c>
      <c r="Z173" s="832">
        <v>0</v>
      </c>
      <c r="AA173" s="832">
        <v>0</v>
      </c>
      <c r="AB173" s="832">
        <v>0</v>
      </c>
      <c r="AC173" s="832">
        <v>0</v>
      </c>
      <c r="AD173" s="832">
        <v>0</v>
      </c>
      <c r="AE173" s="832">
        <v>0</v>
      </c>
      <c r="AF173" s="832">
        <v>0</v>
      </c>
      <c r="AG173" s="832">
        <v>0</v>
      </c>
      <c r="AH173" s="832">
        <v>0</v>
      </c>
      <c r="AI173" s="832">
        <v>0</v>
      </c>
      <c r="AJ173" s="1030" t="str">
        <f t="shared" si="12"/>
        <v>H01564</v>
      </c>
      <c r="AK173" s="1030" t="str">
        <f t="shared" si="13"/>
        <v>SVC ASSURANCE BATIMENT</v>
      </c>
      <c r="AL173" s="1030">
        <f>IFERROR(INDEX(G173:R173,1,MATCH(Parametres!$B$3,G$1:R$1,0)-1)*IF(OR(F173="L",F173="S",F173="I"),-1,1),"")</f>
        <v>4738.3599999999997</v>
      </c>
      <c r="AM173" s="1030">
        <f t="shared" si="14"/>
        <v>1184.5900000000001</v>
      </c>
      <c r="AN173" s="1030">
        <f>INDEX(G173:R173,1,MATCH(Parametres!$B$3,G$1:R$1,0))*IF(OR(F173="L",F173="S",F173="I"),-1,1)</f>
        <v>5922.95</v>
      </c>
      <c r="AO173" s="598" t="str">
        <f>+VLOOKUP($AJ173,Data_Validation!$A:$D,1,0)</f>
        <v>H01564</v>
      </c>
      <c r="AP173" s="598" t="str">
        <f>+VLOOKUP($AJ173,Data_Validation!$A:$D,3,0)</f>
        <v>Service</v>
      </c>
      <c r="AQ173" s="598" t="str">
        <f>+VLOOKUP($AJ173,Data_Validation!$A:$D,4,0)</f>
        <v>Assurances</v>
      </c>
      <c r="AR173" s="598" t="s">
        <v>299</v>
      </c>
      <c r="AS173" s="598">
        <f>+VLOOKUP($AJ173,Data_Validation!$A:$E,5,0)</f>
        <v>0</v>
      </c>
      <c r="AT173" s="1036" t="str">
        <f t="shared" si="15"/>
        <v>H01564</v>
      </c>
      <c r="AU173" s="599" t="str">
        <f t="shared" si="16"/>
        <v>SVC ASSURANCE BATIMENT</v>
      </c>
      <c r="AV173" s="1030">
        <f>IFERROR(INDEX(V173:AG173,1,MATCH(Parametres!$B$3,V$1:AG$1,0)-1)*IF(OR(C173="L",C173="S",C173="I"),-1,1),"")</f>
        <v>0</v>
      </c>
      <c r="AW173" s="1030">
        <f t="shared" si="17"/>
        <v>0</v>
      </c>
      <c r="AX173" s="1030">
        <f>INDEX(V173:AG173,1,MATCH(Parametres!$B$3,V$1:AG$1,0))*IF(OR(C173="L",C173="S",C173="I"),-1,1)</f>
        <v>0</v>
      </c>
      <c r="AY173" s="598" t="s">
        <v>337</v>
      </c>
      <c r="AZ173" s="598">
        <f>+VLOOKUP($AJ173,Data_Validation!$A:$E,5,0)</f>
        <v>0</v>
      </c>
    </row>
    <row r="174" spans="1:52" ht="15" customHeight="1">
      <c r="A174" s="832" t="s">
        <v>1150</v>
      </c>
      <c r="B174" s="832">
        <v>2025</v>
      </c>
      <c r="C174" s="832" t="s">
        <v>1494</v>
      </c>
      <c r="D174" s="832" t="s">
        <v>1495</v>
      </c>
      <c r="E174" s="832" t="s">
        <v>333</v>
      </c>
      <c r="F174" s="832" t="s">
        <v>1119</v>
      </c>
      <c r="G174" s="832">
        <v>0</v>
      </c>
      <c r="H174" s="832">
        <v>0</v>
      </c>
      <c r="I174" s="832">
        <v>0</v>
      </c>
      <c r="J174" s="832">
        <v>0</v>
      </c>
      <c r="K174" s="832">
        <v>0</v>
      </c>
      <c r="L174" s="832">
        <v>0</v>
      </c>
      <c r="M174" s="832">
        <v>0</v>
      </c>
      <c r="N174" s="832">
        <v>0</v>
      </c>
      <c r="O174" s="832">
        <v>0</v>
      </c>
      <c r="P174" s="832">
        <v>0</v>
      </c>
      <c r="Q174" s="832">
        <v>0</v>
      </c>
      <c r="R174" s="832">
        <v>0</v>
      </c>
      <c r="S174" s="832">
        <v>0</v>
      </c>
      <c r="T174" s="832">
        <v>0</v>
      </c>
      <c r="U174" s="832">
        <v>0</v>
      </c>
      <c r="V174" s="832">
        <v>0</v>
      </c>
      <c r="W174" s="832">
        <v>0</v>
      </c>
      <c r="X174" s="832">
        <v>0</v>
      </c>
      <c r="Y174" s="832">
        <v>0</v>
      </c>
      <c r="Z174" s="832">
        <v>0</v>
      </c>
      <c r="AA174" s="832">
        <v>0</v>
      </c>
      <c r="AB174" s="832">
        <v>0</v>
      </c>
      <c r="AC174" s="832">
        <v>0</v>
      </c>
      <c r="AD174" s="832">
        <v>0</v>
      </c>
      <c r="AE174" s="832">
        <v>0</v>
      </c>
      <c r="AF174" s="832">
        <v>0</v>
      </c>
      <c r="AG174" s="832">
        <v>0</v>
      </c>
      <c r="AH174" s="832">
        <v>0</v>
      </c>
      <c r="AI174" s="832">
        <v>0</v>
      </c>
      <c r="AJ174" s="1030" t="str">
        <f t="shared" si="12"/>
        <v>H01565</v>
      </c>
      <c r="AK174" s="1030" t="str">
        <f t="shared" si="13"/>
        <v>SVC AMORT BATIMENT</v>
      </c>
      <c r="AL174" s="1030">
        <f>IFERROR(INDEX(G174:R174,1,MATCH(Parametres!$B$3,G$1:R$1,0)-1)*IF(OR(F174="L",F174="S",F174="I"),-1,1),"")</f>
        <v>0</v>
      </c>
      <c r="AM174" s="1030">
        <f t="shared" si="14"/>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t="str">
        <f t="shared" si="15"/>
        <v>H01565</v>
      </c>
      <c r="AU174" s="599" t="str">
        <f t="shared" si="16"/>
        <v>SVC AMORT BATIMENT</v>
      </c>
      <c r="AV174" s="1030">
        <f>IFERROR(INDEX(V174:AG174,1,MATCH(Parametres!$B$3,V$1:AG$1,0)-1)*IF(OR(C174="L",C174="S",C174="I"),-1,1),"")</f>
        <v>0</v>
      </c>
      <c r="AW174" s="1030">
        <f t="shared" si="17"/>
        <v>0</v>
      </c>
      <c r="AX174" s="1030">
        <f>INDEX(V174:AG174,1,MATCH(Parametres!$B$3,V$1:AG$1,0))*IF(OR(C174="L",C174="S",C174="I"),-1,1)</f>
        <v>0</v>
      </c>
      <c r="AY174" s="598" t="s">
        <v>337</v>
      </c>
      <c r="AZ174" s="598" t="e">
        <f>+VLOOKUP($AJ174,Data_Validation!$A:$E,5,0)</f>
        <v>#N/A</v>
      </c>
    </row>
    <row r="175" spans="1:52" ht="15" customHeight="1">
      <c r="A175" s="832" t="s">
        <v>1150</v>
      </c>
      <c r="B175" s="832">
        <v>2025</v>
      </c>
      <c r="C175" s="832" t="s">
        <v>1496</v>
      </c>
      <c r="D175" s="832" t="s">
        <v>1497</v>
      </c>
      <c r="E175" s="832" t="s">
        <v>333</v>
      </c>
      <c r="F175" s="832" t="s">
        <v>1119</v>
      </c>
      <c r="G175" s="832">
        <v>0</v>
      </c>
      <c r="H175" s="832">
        <v>0</v>
      </c>
      <c r="I175" s="832">
        <v>0</v>
      </c>
      <c r="J175" s="832">
        <v>0</v>
      </c>
      <c r="K175" s="832">
        <v>0</v>
      </c>
      <c r="L175" s="832">
        <v>0</v>
      </c>
      <c r="M175" s="832">
        <v>0</v>
      </c>
      <c r="N175" s="832">
        <v>0</v>
      </c>
      <c r="O175" s="832">
        <v>0</v>
      </c>
      <c r="P175" s="832">
        <v>0</v>
      </c>
      <c r="Q175" s="832">
        <v>0</v>
      </c>
      <c r="R175" s="832">
        <v>0</v>
      </c>
      <c r="S175" s="832">
        <v>0</v>
      </c>
      <c r="T175" s="832">
        <v>0</v>
      </c>
      <c r="U175" s="832">
        <v>0</v>
      </c>
      <c r="V175" s="832">
        <v>0</v>
      </c>
      <c r="W175" s="832">
        <v>0</v>
      </c>
      <c r="X175" s="832">
        <v>0</v>
      </c>
      <c r="Y175" s="832">
        <v>0</v>
      </c>
      <c r="Z175" s="832">
        <v>0</v>
      </c>
      <c r="AA175" s="832">
        <v>0</v>
      </c>
      <c r="AB175" s="832">
        <v>0</v>
      </c>
      <c r="AC175" s="832">
        <v>0</v>
      </c>
      <c r="AD175" s="832">
        <v>0</v>
      </c>
      <c r="AE175" s="832">
        <v>0</v>
      </c>
      <c r="AF175" s="832">
        <v>0</v>
      </c>
      <c r="AG175" s="832">
        <v>0</v>
      </c>
      <c r="AH175" s="832">
        <v>0</v>
      </c>
      <c r="AI175" s="832">
        <v>0</v>
      </c>
      <c r="AJ175" s="1030" t="str">
        <f t="shared" si="12"/>
        <v>H01568</v>
      </c>
      <c r="AK175" s="1030" t="str">
        <f t="shared" si="13"/>
        <v>SVC TAXES AFFAIRES&amp;AUTRES</v>
      </c>
      <c r="AL175" s="1030">
        <f>IFERROR(INDEX(G175:R175,1,MATCH(Parametres!$B$3,G$1:R$1,0)-1)*IF(OR(F175="L",F175="S",F175="I"),-1,1),"")</f>
        <v>0</v>
      </c>
      <c r="AM175" s="1030">
        <f t="shared" si="14"/>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t="str">
        <f t="shared" si="15"/>
        <v>H01568</v>
      </c>
      <c r="AU175" s="599" t="str">
        <f t="shared" si="16"/>
        <v>SVC TAXES AFFAIRES&amp;AUTRES</v>
      </c>
      <c r="AV175" s="1030">
        <f>IFERROR(INDEX(V175:AG175,1,MATCH(Parametres!$B$3,V$1:AG$1,0)-1)*IF(OR(C175="L",C175="S",C175="I"),-1,1),"")</f>
        <v>0</v>
      </c>
      <c r="AW175" s="1030">
        <f t="shared" si="17"/>
        <v>0</v>
      </c>
      <c r="AX175" s="1030">
        <f>INDEX(V175:AG175,1,MATCH(Parametres!$B$3,V$1:AG$1,0))*IF(OR(C175="L",C175="S",C175="I"),-1,1)</f>
        <v>0</v>
      </c>
      <c r="AY175" s="598" t="s">
        <v>337</v>
      </c>
      <c r="AZ175" s="598" t="e">
        <f>+VLOOKUP($AJ175,Data_Validation!$A:$E,5,0)</f>
        <v>#N/A</v>
      </c>
    </row>
    <row r="176" spans="1:52" ht="15.75" customHeight="1">
      <c r="A176" s="832" t="s">
        <v>1150</v>
      </c>
      <c r="B176" s="832">
        <v>2025</v>
      </c>
      <c r="C176" s="832" t="s">
        <v>1498</v>
      </c>
      <c r="D176" s="832" t="s">
        <v>1499</v>
      </c>
      <c r="E176" s="832" t="s">
        <v>333</v>
      </c>
      <c r="F176" s="832" t="s">
        <v>1119</v>
      </c>
      <c r="G176" s="832">
        <v>876.7</v>
      </c>
      <c r="H176" s="832">
        <v>1753.4</v>
      </c>
      <c r="I176" s="832">
        <v>2656.75</v>
      </c>
      <c r="J176" s="832">
        <v>3551.3</v>
      </c>
      <c r="K176" s="832">
        <v>4426.95</v>
      </c>
      <c r="L176" s="832">
        <v>5284.14</v>
      </c>
      <c r="M176" s="832">
        <v>6140.33</v>
      </c>
      <c r="N176" s="832">
        <v>6978.49</v>
      </c>
      <c r="O176" s="832">
        <v>7799.02</v>
      </c>
      <c r="P176" s="832">
        <v>8728.91</v>
      </c>
      <c r="Q176" s="832">
        <v>9725.7900000000009</v>
      </c>
      <c r="R176" s="832">
        <v>10707.4</v>
      </c>
      <c r="S176" s="832">
        <v>884.16</v>
      </c>
      <c r="T176" s="832">
        <v>884.16</v>
      </c>
      <c r="U176" s="832">
        <v>0</v>
      </c>
      <c r="V176" s="832">
        <v>0</v>
      </c>
      <c r="W176" s="832">
        <v>0</v>
      </c>
      <c r="X176" s="832">
        <v>0</v>
      </c>
      <c r="Y176" s="832">
        <v>0</v>
      </c>
      <c r="Z176" s="832">
        <v>0</v>
      </c>
      <c r="AA176" s="832">
        <v>0</v>
      </c>
      <c r="AB176" s="832">
        <v>0</v>
      </c>
      <c r="AC176" s="832">
        <v>0</v>
      </c>
      <c r="AD176" s="832">
        <v>0</v>
      </c>
      <c r="AE176" s="832">
        <v>0</v>
      </c>
      <c r="AF176" s="832">
        <v>0</v>
      </c>
      <c r="AG176" s="832">
        <v>0</v>
      </c>
      <c r="AH176" s="832">
        <v>0</v>
      </c>
      <c r="AI176" s="832">
        <v>0</v>
      </c>
      <c r="AJ176" s="1030" t="str">
        <f t="shared" si="12"/>
        <v>H01569</v>
      </c>
      <c r="AK176" s="1030" t="str">
        <f t="shared" si="13"/>
        <v>SVC AMORT EQUIP &amp; INSTALL</v>
      </c>
      <c r="AL176" s="1030">
        <f>IFERROR(INDEX(G176:R176,1,MATCH(Parametres!$B$3,G$1:R$1,0)-1)*IF(OR(F176="L",F176="S",F176="I"),-1,1),"")</f>
        <v>3551.3</v>
      </c>
      <c r="AM176" s="1030">
        <f t="shared" si="14"/>
        <v>875.64999999999964</v>
      </c>
      <c r="AN176" s="1030">
        <f>INDEX(G176:R176,1,MATCH(Parametres!$B$3,G$1:R$1,0))*IF(OR(F176="L",F176="S",F176="I"),-1,1)</f>
        <v>4426.95</v>
      </c>
      <c r="AO176" s="598" t="str">
        <f>+VLOOKUP($AJ176,Data_Validation!$A:$D,1,0)</f>
        <v>H01569</v>
      </c>
      <c r="AP176" s="598" t="str">
        <f>+VLOOKUP($AJ176,Data_Validation!$A:$D,3,0)</f>
        <v>Service</v>
      </c>
      <c r="AQ176" s="598" t="str">
        <f>+VLOOKUP($AJ176,Data_Validation!$A:$D,4,0)</f>
        <v>Amortissement</v>
      </c>
      <c r="AR176" s="598" t="s">
        <v>299</v>
      </c>
      <c r="AS176" s="598">
        <f>+VLOOKUP($AJ176,Data_Validation!$A:$E,5,0)</f>
        <v>0</v>
      </c>
      <c r="AT176" s="1036" t="str">
        <f t="shared" si="15"/>
        <v>H01569</v>
      </c>
      <c r="AU176" s="599" t="str">
        <f t="shared" si="16"/>
        <v>SVC AMORT EQUIP &amp; INSTALL</v>
      </c>
      <c r="AV176" s="1030">
        <f>IFERROR(INDEX(V176:AG176,1,MATCH(Parametres!$B$3,V$1:AG$1,0)-1)*IF(OR(C176="L",C176="S",C176="I"),-1,1),"")</f>
        <v>0</v>
      </c>
      <c r="AW176" s="1030">
        <f t="shared" si="17"/>
        <v>0</v>
      </c>
      <c r="AX176" s="1030">
        <f>INDEX(V176:AG176,1,MATCH(Parametres!$B$3,V$1:AG$1,0))*IF(OR(C176="L",C176="S",C176="I"),-1,1)</f>
        <v>0</v>
      </c>
      <c r="AY176" s="598" t="s">
        <v>337</v>
      </c>
      <c r="AZ176" s="598">
        <f>+VLOOKUP($AJ176,Data_Validation!$A:$E,5,0)</f>
        <v>0</v>
      </c>
    </row>
    <row r="177" spans="1:52" ht="15" customHeight="1">
      <c r="A177" s="832" t="s">
        <v>1150</v>
      </c>
      <c r="B177" s="832">
        <v>2025</v>
      </c>
      <c r="C177" s="832" t="s">
        <v>1500</v>
      </c>
      <c r="D177" s="832" t="s">
        <v>1501</v>
      </c>
      <c r="E177" s="832" t="s">
        <v>333</v>
      </c>
      <c r="F177" s="832" t="s">
        <v>1119</v>
      </c>
      <c r="G177" s="832">
        <v>0</v>
      </c>
      <c r="H177" s="832">
        <v>0</v>
      </c>
      <c r="I177" s="832">
        <v>0</v>
      </c>
      <c r="J177" s="832">
        <v>0</v>
      </c>
      <c r="K177" s="832">
        <v>0</v>
      </c>
      <c r="L177" s="832">
        <v>0</v>
      </c>
      <c r="M177" s="832">
        <v>0</v>
      </c>
      <c r="N177" s="832">
        <v>0</v>
      </c>
      <c r="O177" s="832">
        <v>0</v>
      </c>
      <c r="P177" s="832">
        <v>0</v>
      </c>
      <c r="Q177" s="832">
        <v>0</v>
      </c>
      <c r="R177" s="832">
        <v>0</v>
      </c>
      <c r="S177" s="832">
        <v>0</v>
      </c>
      <c r="T177" s="832">
        <v>0</v>
      </c>
      <c r="U177" s="832">
        <v>0</v>
      </c>
      <c r="V177" s="832">
        <v>0</v>
      </c>
      <c r="W177" s="832">
        <v>0</v>
      </c>
      <c r="X177" s="832">
        <v>0</v>
      </c>
      <c r="Y177" s="832">
        <v>0</v>
      </c>
      <c r="Z177" s="832">
        <v>0</v>
      </c>
      <c r="AA177" s="832">
        <v>0</v>
      </c>
      <c r="AB177" s="832">
        <v>0</v>
      </c>
      <c r="AC177" s="832">
        <v>0</v>
      </c>
      <c r="AD177" s="832">
        <v>0</v>
      </c>
      <c r="AE177" s="832">
        <v>0</v>
      </c>
      <c r="AF177" s="832">
        <v>0</v>
      </c>
      <c r="AG177" s="832">
        <v>0</v>
      </c>
      <c r="AH177" s="832">
        <v>0</v>
      </c>
      <c r="AI177" s="832">
        <v>0</v>
      </c>
      <c r="AJ177" s="1030" t="str">
        <f t="shared" si="12"/>
        <v>H01570</v>
      </c>
      <c r="AK177" s="1030" t="str">
        <f t="shared" si="13"/>
        <v>SVC ASSURANCE GENERALE</v>
      </c>
      <c r="AL177" s="1030">
        <f>IFERROR(INDEX(G177:R177,1,MATCH(Parametres!$B$3,G$1:R$1,0)-1)*IF(OR(F177="L",F177="S",F177="I"),-1,1),"")</f>
        <v>0</v>
      </c>
      <c r="AM177" s="1030">
        <f t="shared" si="14"/>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t="str">
        <f t="shared" si="15"/>
        <v>H01570</v>
      </c>
      <c r="AU177" s="599" t="str">
        <f t="shared" si="16"/>
        <v>SVC ASSURANCE GENERALE</v>
      </c>
      <c r="AV177" s="1030">
        <f>IFERROR(INDEX(V177:AG177,1,MATCH(Parametres!$B$3,V$1:AG$1,0)-1)*IF(OR(C177="L",C177="S",C177="I"),-1,1),"")</f>
        <v>0</v>
      </c>
      <c r="AW177" s="1030">
        <f t="shared" si="17"/>
        <v>0</v>
      </c>
      <c r="AX177" s="1030">
        <f>INDEX(V177:AG177,1,MATCH(Parametres!$B$3,V$1:AG$1,0))*IF(OR(C177="L",C177="S",C177="I"),-1,1)</f>
        <v>0</v>
      </c>
      <c r="AY177" s="598" t="s">
        <v>337</v>
      </c>
      <c r="AZ177" s="598" t="e">
        <f>+VLOOKUP($AJ177,Data_Validation!$A:$E,5,0)</f>
        <v>#N/A</v>
      </c>
    </row>
    <row r="178" spans="1:52" ht="15" customHeight="1">
      <c r="A178" s="832" t="s">
        <v>1150</v>
      </c>
      <c r="B178" s="832">
        <v>2025</v>
      </c>
      <c r="C178" s="832" t="s">
        <v>1502</v>
      </c>
      <c r="D178" s="832" t="s">
        <v>1503</v>
      </c>
      <c r="E178" s="832" t="s">
        <v>333</v>
      </c>
      <c r="F178" s="832" t="s">
        <v>1119</v>
      </c>
      <c r="G178" s="832">
        <v>1906.34</v>
      </c>
      <c r="H178" s="832">
        <v>5997.35</v>
      </c>
      <c r="I178" s="832">
        <v>8530.42</v>
      </c>
      <c r="J178" s="832">
        <v>12236.84</v>
      </c>
      <c r="K178" s="832">
        <v>13991.11</v>
      </c>
      <c r="L178" s="832">
        <v>15829.07</v>
      </c>
      <c r="M178" s="832">
        <v>17398.66</v>
      </c>
      <c r="N178" s="832">
        <v>19641.53</v>
      </c>
      <c r="O178" s="832">
        <v>21309.48</v>
      </c>
      <c r="P178" s="832">
        <v>22691.360000000001</v>
      </c>
      <c r="Q178" s="832">
        <v>24738.58</v>
      </c>
      <c r="R178" s="832">
        <v>26871.95</v>
      </c>
      <c r="S178" s="832">
        <v>2248.96</v>
      </c>
      <c r="T178" s="832">
        <v>2248.96</v>
      </c>
      <c r="U178" s="832">
        <v>0</v>
      </c>
      <c r="V178" s="832">
        <v>0</v>
      </c>
      <c r="W178" s="832">
        <v>0</v>
      </c>
      <c r="X178" s="832">
        <v>0</v>
      </c>
      <c r="Y178" s="832">
        <v>0</v>
      </c>
      <c r="Z178" s="832">
        <v>0</v>
      </c>
      <c r="AA178" s="832">
        <v>0</v>
      </c>
      <c r="AB178" s="832">
        <v>0</v>
      </c>
      <c r="AC178" s="832">
        <v>0</v>
      </c>
      <c r="AD178" s="832">
        <v>0</v>
      </c>
      <c r="AE178" s="832">
        <v>0</v>
      </c>
      <c r="AF178" s="832">
        <v>0</v>
      </c>
      <c r="AG178" s="832">
        <v>0</v>
      </c>
      <c r="AH178" s="832">
        <v>0</v>
      </c>
      <c r="AI178" s="832">
        <v>0</v>
      </c>
      <c r="AJ178" s="1030" t="str">
        <f t="shared" si="12"/>
        <v>H01574</v>
      </c>
      <c r="AK178" s="1030" t="str">
        <f t="shared" si="13"/>
        <v>SVC EAU/ELECT/CHAUFFAGE</v>
      </c>
      <c r="AL178" s="1030">
        <f>IFERROR(INDEX(G178:R178,1,MATCH(Parametres!$B$3,G$1:R$1,0)-1)*IF(OR(F178="L",F178="S",F178="I"),-1,1),"")</f>
        <v>12236.84</v>
      </c>
      <c r="AM178" s="1030">
        <f t="shared" si="14"/>
        <v>1754.2700000000004</v>
      </c>
      <c r="AN178" s="1030">
        <f>INDEX(G178:R178,1,MATCH(Parametres!$B$3,G$1:R$1,0))*IF(OR(F178="L",F178="S",F178="I"),-1,1)</f>
        <v>13991.11</v>
      </c>
      <c r="AO178" s="598" t="str">
        <f>+VLOOKUP($AJ178,Data_Validation!$A:$D,1,0)</f>
        <v>H01574</v>
      </c>
      <c r="AP178" s="598" t="str">
        <f>+VLOOKUP($AJ178,Data_Validation!$A:$D,3,0)</f>
        <v>Service</v>
      </c>
      <c r="AQ178" s="598" t="str">
        <f>+VLOOKUP($AJ178,Data_Validation!$A:$D,4,0)</f>
        <v>Chauffage, éclairage</v>
      </c>
      <c r="AR178" s="598" t="s">
        <v>299</v>
      </c>
      <c r="AS178" s="598">
        <f>+VLOOKUP($AJ178,Data_Validation!$A:$E,5,0)</f>
        <v>0</v>
      </c>
      <c r="AT178" s="1036" t="str">
        <f t="shared" si="15"/>
        <v>H01574</v>
      </c>
      <c r="AU178" s="599" t="str">
        <f t="shared" si="16"/>
        <v>SVC EAU/ELECT/CHAUFFAGE</v>
      </c>
      <c r="AV178" s="1030">
        <f>IFERROR(INDEX(V178:AG178,1,MATCH(Parametres!$B$3,V$1:AG$1,0)-1)*IF(OR(C178="L",C178="S",C178="I"),-1,1),"")</f>
        <v>0</v>
      </c>
      <c r="AW178" s="1030">
        <f t="shared" si="17"/>
        <v>0</v>
      </c>
      <c r="AX178" s="1030">
        <f>INDEX(V178:AG178,1,MATCH(Parametres!$B$3,V$1:AG$1,0))*IF(OR(C178="L",C178="S",C178="I"),-1,1)</f>
        <v>0</v>
      </c>
      <c r="AY178" s="598" t="s">
        <v>337</v>
      </c>
      <c r="AZ178" s="598">
        <f>+VLOOKUP($AJ178,Data_Validation!$A:$E,5,0)</f>
        <v>0</v>
      </c>
    </row>
    <row r="179" spans="1:52" ht="15" customHeight="1">
      <c r="A179" s="832" t="s">
        <v>1150</v>
      </c>
      <c r="B179" s="832">
        <v>2025</v>
      </c>
      <c r="C179" s="832" t="s">
        <v>1504</v>
      </c>
      <c r="D179" s="832" t="s">
        <v>1505</v>
      </c>
      <c r="E179" s="832" t="s">
        <v>333</v>
      </c>
      <c r="F179" s="832" t="s">
        <v>1119</v>
      </c>
      <c r="G179" s="832">
        <v>1000</v>
      </c>
      <c r="H179" s="832">
        <v>2000</v>
      </c>
      <c r="I179" s="832">
        <v>2250</v>
      </c>
      <c r="J179" s="832">
        <v>2500</v>
      </c>
      <c r="K179" s="832">
        <v>2750</v>
      </c>
      <c r="L179" s="832">
        <v>3000</v>
      </c>
      <c r="M179" s="832">
        <v>3250</v>
      </c>
      <c r="N179" s="832">
        <v>3500</v>
      </c>
      <c r="O179" s="832">
        <v>2000</v>
      </c>
      <c r="P179" s="832">
        <v>2368.6999999999998</v>
      </c>
      <c r="Q179" s="832">
        <v>2618.6999999999998</v>
      </c>
      <c r="R179" s="832">
        <v>2868.7</v>
      </c>
      <c r="S179" s="832">
        <v>238.06</v>
      </c>
      <c r="T179" s="832">
        <v>238.06</v>
      </c>
      <c r="U179" s="832">
        <v>0</v>
      </c>
      <c r="V179" s="832">
        <v>0</v>
      </c>
      <c r="W179" s="832">
        <v>0</v>
      </c>
      <c r="X179" s="832">
        <v>0</v>
      </c>
      <c r="Y179" s="832">
        <v>0</v>
      </c>
      <c r="Z179" s="832">
        <v>0</v>
      </c>
      <c r="AA179" s="832">
        <v>0</v>
      </c>
      <c r="AB179" s="832">
        <v>0</v>
      </c>
      <c r="AC179" s="832">
        <v>0</v>
      </c>
      <c r="AD179" s="832">
        <v>0</v>
      </c>
      <c r="AE179" s="832">
        <v>0</v>
      </c>
      <c r="AF179" s="832">
        <v>0</v>
      </c>
      <c r="AG179" s="832">
        <v>0</v>
      </c>
      <c r="AH179" s="832">
        <v>0</v>
      </c>
      <c r="AI179" s="832">
        <v>0</v>
      </c>
      <c r="AJ179" s="1030" t="str">
        <f t="shared" si="12"/>
        <v>H01576</v>
      </c>
      <c r="AK179" s="1030" t="str">
        <f t="shared" si="13"/>
        <v>SVC VERIFICATION COMPTABL</v>
      </c>
      <c r="AL179" s="1030">
        <f>IFERROR(INDEX(G179:R179,1,MATCH(Parametres!$B$3,G$1:R$1,0)-1)*IF(OR(F179="L",F179="S",F179="I"),-1,1),"")</f>
        <v>2500</v>
      </c>
      <c r="AM179" s="1030">
        <f t="shared" si="14"/>
        <v>250</v>
      </c>
      <c r="AN179" s="1030">
        <f>INDEX(G179:R179,1,MATCH(Parametres!$B$3,G$1:R$1,0))*IF(OR(F179="L",F179="S",F179="I"),-1,1)</f>
        <v>2750</v>
      </c>
      <c r="AO179" s="598" t="str">
        <f>+VLOOKUP($AJ179,Data_Validation!$A:$D,1,0)</f>
        <v>H01576</v>
      </c>
      <c r="AP179" s="598" t="str">
        <f>+VLOOKUP($AJ179,Data_Validation!$A:$D,3,0)</f>
        <v>Service</v>
      </c>
      <c r="AQ179" s="598" t="str">
        <f>+VLOOKUP($AJ179,Data_Validation!$A:$D,4,0)</f>
        <v>Honoraires</v>
      </c>
      <c r="AR179" s="598" t="s">
        <v>299</v>
      </c>
      <c r="AS179" s="598">
        <f>+VLOOKUP($AJ179,Data_Validation!$A:$E,5,0)</f>
        <v>0</v>
      </c>
      <c r="AT179" s="1036" t="str">
        <f t="shared" si="15"/>
        <v>H01576</v>
      </c>
      <c r="AU179" s="599" t="str">
        <f t="shared" si="16"/>
        <v>SVC VERIFICATION COMPTABL</v>
      </c>
      <c r="AV179" s="1030">
        <f>IFERROR(INDEX(V179:AG179,1,MATCH(Parametres!$B$3,V$1:AG$1,0)-1)*IF(OR(C179="L",C179="S",C179="I"),-1,1),"")</f>
        <v>0</v>
      </c>
      <c r="AW179" s="1030">
        <f t="shared" si="17"/>
        <v>0</v>
      </c>
      <c r="AX179" s="1030">
        <f>INDEX(V179:AG179,1,MATCH(Parametres!$B$3,V$1:AG$1,0))*IF(OR(C179="L",C179="S",C179="I"),-1,1)</f>
        <v>0</v>
      </c>
      <c r="AY179" s="598" t="s">
        <v>337</v>
      </c>
      <c r="AZ179" s="598">
        <f>+VLOOKUP($AJ179,Data_Validation!$A:$E,5,0)</f>
        <v>0</v>
      </c>
    </row>
    <row r="180" spans="1:52" ht="15" customHeight="1">
      <c r="A180" s="832" t="s">
        <v>1150</v>
      </c>
      <c r="B180" s="832">
        <v>2025</v>
      </c>
      <c r="C180" s="832" t="s">
        <v>1506</v>
      </c>
      <c r="D180" s="832" t="s">
        <v>1507</v>
      </c>
      <c r="E180" s="832" t="s">
        <v>333</v>
      </c>
      <c r="F180" s="832" t="s">
        <v>1119</v>
      </c>
      <c r="G180" s="832">
        <v>486.84</v>
      </c>
      <c r="H180" s="832">
        <v>495.59</v>
      </c>
      <c r="I180" s="832">
        <v>504.34</v>
      </c>
      <c r="J180" s="832">
        <v>1009.1</v>
      </c>
      <c r="K180" s="832">
        <v>1573.86</v>
      </c>
      <c r="L180" s="832">
        <v>1573.86</v>
      </c>
      <c r="M180" s="832">
        <v>2087.37</v>
      </c>
      <c r="N180" s="832">
        <v>2096.12</v>
      </c>
      <c r="O180" s="832">
        <v>2104.87</v>
      </c>
      <c r="P180" s="832">
        <v>2609.63</v>
      </c>
      <c r="Q180" s="832">
        <v>2618.38</v>
      </c>
      <c r="R180" s="832">
        <v>3367.63</v>
      </c>
      <c r="S180" s="832">
        <v>238.03</v>
      </c>
      <c r="T180" s="832">
        <v>238.03</v>
      </c>
      <c r="U180" s="832">
        <v>0</v>
      </c>
      <c r="V180" s="832">
        <v>0</v>
      </c>
      <c r="W180" s="832">
        <v>0</v>
      </c>
      <c r="X180" s="832">
        <v>0</v>
      </c>
      <c r="Y180" s="832">
        <v>0</v>
      </c>
      <c r="Z180" s="832">
        <v>0</v>
      </c>
      <c r="AA180" s="832">
        <v>0</v>
      </c>
      <c r="AB180" s="832">
        <v>0</v>
      </c>
      <c r="AC180" s="832">
        <v>0</v>
      </c>
      <c r="AD180" s="832">
        <v>0</v>
      </c>
      <c r="AE180" s="832">
        <v>0</v>
      </c>
      <c r="AF180" s="832">
        <v>0</v>
      </c>
      <c r="AG180" s="832">
        <v>0</v>
      </c>
      <c r="AH180" s="832">
        <v>0</v>
      </c>
      <c r="AI180" s="832">
        <v>0</v>
      </c>
      <c r="AJ180" s="1030" t="str">
        <f t="shared" si="12"/>
        <v>H01577</v>
      </c>
      <c r="AK180" s="1030" t="str">
        <f t="shared" si="13"/>
        <v>SVC COTISATIONS SOUSCRIP.</v>
      </c>
      <c r="AL180" s="1030">
        <f>IFERROR(INDEX(G180:R180,1,MATCH(Parametres!$B$3,G$1:R$1,0)-1)*IF(OR(F180="L",F180="S",F180="I"),-1,1),"")</f>
        <v>1009.1</v>
      </c>
      <c r="AM180" s="1030">
        <f t="shared" si="14"/>
        <v>564.75999999999988</v>
      </c>
      <c r="AN180" s="1030">
        <f>INDEX(G180:R180,1,MATCH(Parametres!$B$3,G$1:R$1,0))*IF(OR(F180="L",F180="S",F180="I"),-1,1)</f>
        <v>1573.86</v>
      </c>
      <c r="AO180" s="598" t="str">
        <f>+VLOOKUP($AJ180,Data_Validation!$A:$D,1,0)</f>
        <v>H01577</v>
      </c>
      <c r="AP180" s="598" t="str">
        <f>+VLOOKUP($AJ180,Data_Validation!$A:$D,3,0)</f>
        <v>Autres</v>
      </c>
      <c r="AQ180" s="598" t="str">
        <f>+VLOOKUP($AJ180,Data_Validation!$A:$D,4,0)</f>
        <v>Divers</v>
      </c>
      <c r="AR180" s="598" t="s">
        <v>299</v>
      </c>
      <c r="AS180" s="598">
        <f>+VLOOKUP($AJ180,Data_Validation!$A:$E,5,0)</f>
        <v>0</v>
      </c>
      <c r="AT180" s="1036" t="str">
        <f t="shared" si="15"/>
        <v>H01577</v>
      </c>
      <c r="AU180" s="599" t="str">
        <f t="shared" si="16"/>
        <v>SVC COTISATIONS SOUSCRIP.</v>
      </c>
      <c r="AV180" s="1030">
        <f>IFERROR(INDEX(V180:AG180,1,MATCH(Parametres!$B$3,V$1:AG$1,0)-1)*IF(OR(C180="L",C180="S",C180="I"),-1,1),"")</f>
        <v>0</v>
      </c>
      <c r="AW180" s="1030">
        <f t="shared" si="17"/>
        <v>0</v>
      </c>
      <c r="AX180" s="1030">
        <f>INDEX(V180:AG180,1,MATCH(Parametres!$B$3,V$1:AG$1,0))*IF(OR(C180="L",C180="S",C180="I"),-1,1)</f>
        <v>0</v>
      </c>
      <c r="AY180" s="598" t="s">
        <v>337</v>
      </c>
      <c r="AZ180" s="598">
        <f>+VLOOKUP($AJ180,Data_Validation!$A:$E,5,0)</f>
        <v>0</v>
      </c>
    </row>
    <row r="181" spans="1:52" ht="15.75" customHeight="1">
      <c r="A181" s="832" t="s">
        <v>1150</v>
      </c>
      <c r="B181" s="832">
        <v>2025</v>
      </c>
      <c r="C181" s="832" t="s">
        <v>1508</v>
      </c>
      <c r="D181" s="832" t="s">
        <v>1509</v>
      </c>
      <c r="E181" s="832" t="s">
        <v>333</v>
      </c>
      <c r="F181" s="832" t="s">
        <v>1119</v>
      </c>
      <c r="G181" s="832">
        <v>0</v>
      </c>
      <c r="H181" s="832">
        <v>0</v>
      </c>
      <c r="I181" s="832">
        <v>0</v>
      </c>
      <c r="J181" s="832">
        <v>0</v>
      </c>
      <c r="K181" s="832">
        <v>0</v>
      </c>
      <c r="L181" s="832">
        <v>0</v>
      </c>
      <c r="M181" s="832">
        <v>0</v>
      </c>
      <c r="N181" s="832">
        <v>0</v>
      </c>
      <c r="O181" s="832">
        <v>0</v>
      </c>
      <c r="P181" s="832">
        <v>0</v>
      </c>
      <c r="Q181" s="832">
        <v>0</v>
      </c>
      <c r="R181" s="832">
        <v>487.5</v>
      </c>
      <c r="S181" s="832">
        <v>0</v>
      </c>
      <c r="T181" s="832">
        <v>0</v>
      </c>
      <c r="U181" s="832">
        <v>0</v>
      </c>
      <c r="V181" s="832">
        <v>0</v>
      </c>
      <c r="W181" s="832">
        <v>0</v>
      </c>
      <c r="X181" s="832">
        <v>0</v>
      </c>
      <c r="Y181" s="832">
        <v>0</v>
      </c>
      <c r="Z181" s="832">
        <v>0</v>
      </c>
      <c r="AA181" s="832">
        <v>0</v>
      </c>
      <c r="AB181" s="832">
        <v>0</v>
      </c>
      <c r="AC181" s="832">
        <v>0</v>
      </c>
      <c r="AD181" s="832">
        <v>0</v>
      </c>
      <c r="AE181" s="832">
        <v>0</v>
      </c>
      <c r="AF181" s="832">
        <v>0</v>
      </c>
      <c r="AG181" s="832">
        <v>0</v>
      </c>
      <c r="AH181" s="832">
        <v>0</v>
      </c>
      <c r="AI181" s="832">
        <v>0</v>
      </c>
      <c r="AJ181" s="1030" t="str">
        <f t="shared" si="12"/>
        <v>H01579</v>
      </c>
      <c r="AK181" s="1030" t="str">
        <f t="shared" si="13"/>
        <v>SVC DONATIONS</v>
      </c>
      <c r="AL181" s="1030">
        <f>IFERROR(INDEX(G181:R181,1,MATCH(Parametres!$B$3,G$1:R$1,0)-1)*IF(OR(F181="L",F181="S",F181="I"),-1,1),"")</f>
        <v>0</v>
      </c>
      <c r="AM181" s="1030">
        <f t="shared" si="14"/>
        <v>0</v>
      </c>
      <c r="AN181" s="1030">
        <f>INDEX(G181:R181,1,MATCH(Parametres!$B$3,G$1:R$1,0))*IF(OR(F181="L",F181="S",F181="I"),-1,1)</f>
        <v>0</v>
      </c>
      <c r="AO181" s="598" t="str">
        <f>+VLOOKUP($AJ181,Data_Validation!$A:$D,1,0)</f>
        <v>H01579</v>
      </c>
      <c r="AP181" s="598" t="str">
        <f>+VLOOKUP($AJ181,Data_Validation!$A:$D,3,0)</f>
        <v>Autres</v>
      </c>
      <c r="AQ181" s="598" t="str">
        <f>+VLOOKUP($AJ181,Data_Validation!$A:$D,4,0)</f>
        <v>Dons</v>
      </c>
      <c r="AR181" s="598" t="s">
        <v>299</v>
      </c>
      <c r="AS181" s="598">
        <f>+VLOOKUP($AJ181,Data_Validation!$A:$E,5,0)</f>
        <v>0</v>
      </c>
      <c r="AT181" s="1036" t="str">
        <f t="shared" si="15"/>
        <v>H01579</v>
      </c>
      <c r="AU181" s="599" t="str">
        <f t="shared" si="16"/>
        <v>SVC DONATIONS</v>
      </c>
      <c r="AV181" s="1030">
        <f>IFERROR(INDEX(V181:AG181,1,MATCH(Parametres!$B$3,V$1:AG$1,0)-1)*IF(OR(C181="L",C181="S",C181="I"),-1,1),"")</f>
        <v>0</v>
      </c>
      <c r="AW181" s="1030">
        <f t="shared" si="17"/>
        <v>0</v>
      </c>
      <c r="AX181" s="1030">
        <f>INDEX(V181:AG181,1,MATCH(Parametres!$B$3,V$1:AG$1,0))*IF(OR(C181="L",C181="S",C181="I"),-1,1)</f>
        <v>0</v>
      </c>
      <c r="AY181" s="598" t="s">
        <v>337</v>
      </c>
      <c r="AZ181" s="598">
        <f>+VLOOKUP($AJ181,Data_Validation!$A:$E,5,0)</f>
        <v>0</v>
      </c>
    </row>
    <row r="182" spans="1:52" ht="15.75" customHeight="1">
      <c r="A182" s="832" t="s">
        <v>1150</v>
      </c>
      <c r="B182" s="832">
        <v>2025</v>
      </c>
      <c r="C182" s="832" t="s">
        <v>1510</v>
      </c>
      <c r="D182" s="832" t="s">
        <v>1511</v>
      </c>
      <c r="E182" s="832" t="s">
        <v>333</v>
      </c>
      <c r="F182" s="832" t="s">
        <v>1119</v>
      </c>
      <c r="G182" s="832">
        <v>880.52</v>
      </c>
      <c r="H182" s="832">
        <v>880.52</v>
      </c>
      <c r="I182" s="832">
        <v>1428.27</v>
      </c>
      <c r="J182" s="832">
        <v>4476.21</v>
      </c>
      <c r="K182" s="832">
        <v>5004.3599999999997</v>
      </c>
      <c r="L182" s="832">
        <v>5083.62</v>
      </c>
      <c r="M182" s="832">
        <v>5125.22</v>
      </c>
      <c r="N182" s="832">
        <v>5156.42</v>
      </c>
      <c r="O182" s="832">
        <v>5166.82</v>
      </c>
      <c r="P182" s="832">
        <v>8111.77</v>
      </c>
      <c r="Q182" s="832">
        <v>9201.2000000000007</v>
      </c>
      <c r="R182" s="832">
        <v>9848.24</v>
      </c>
      <c r="S182" s="832">
        <v>836.47</v>
      </c>
      <c r="T182" s="832">
        <v>836.47</v>
      </c>
      <c r="U182" s="832">
        <v>0</v>
      </c>
      <c r="V182" s="832">
        <v>0</v>
      </c>
      <c r="W182" s="832">
        <v>0</v>
      </c>
      <c r="X182" s="832">
        <v>0</v>
      </c>
      <c r="Y182" s="832">
        <v>0</v>
      </c>
      <c r="Z182" s="832">
        <v>0</v>
      </c>
      <c r="AA182" s="832">
        <v>0</v>
      </c>
      <c r="AB182" s="832">
        <v>0</v>
      </c>
      <c r="AC182" s="832">
        <v>0</v>
      </c>
      <c r="AD182" s="832">
        <v>0</v>
      </c>
      <c r="AE182" s="832">
        <v>0</v>
      </c>
      <c r="AF182" s="832">
        <v>0</v>
      </c>
      <c r="AG182" s="832">
        <v>0</v>
      </c>
      <c r="AH182" s="832">
        <v>0</v>
      </c>
      <c r="AI182" s="832">
        <v>0</v>
      </c>
      <c r="AJ182" s="1030" t="str">
        <f t="shared" si="12"/>
        <v>H01580</v>
      </c>
      <c r="AK182" s="1030" t="str">
        <f t="shared" si="13"/>
        <v>SVC IMM &amp; PERMIS/CIE SEUL</v>
      </c>
      <c r="AL182" s="1030">
        <f>IFERROR(INDEX(G182:R182,1,MATCH(Parametres!$B$3,G$1:R$1,0)-1)*IF(OR(F182="L",F182="S",F182="I"),-1,1),"")</f>
        <v>4476.21</v>
      </c>
      <c r="AM182" s="1030">
        <f t="shared" si="14"/>
        <v>528.14999999999964</v>
      </c>
      <c r="AN182" s="1030">
        <f>INDEX(G182:R182,1,MATCH(Parametres!$B$3,G$1:R$1,0))*IF(OR(F182="L",F182="S",F182="I"),-1,1)</f>
        <v>5004.3599999999997</v>
      </c>
      <c r="AO182" s="598" t="str">
        <f>+VLOOKUP($AJ182,Data_Validation!$A:$D,1,0)</f>
        <v>H01580</v>
      </c>
      <c r="AP182" s="598" t="str">
        <f>+VLOOKUP($AJ182,Data_Validation!$A:$D,3,0)</f>
        <v>Service</v>
      </c>
      <c r="AQ182" s="598" t="str">
        <f>+VLOOKUP($AJ182,Data_Validation!$A:$D,4,0)</f>
        <v>Honoraires</v>
      </c>
      <c r="AR182" s="598" t="s">
        <v>299</v>
      </c>
      <c r="AS182" s="598">
        <f>+VLOOKUP($AJ182,Data_Validation!$A:$E,5,0)</f>
        <v>0</v>
      </c>
      <c r="AT182" s="1036" t="str">
        <f t="shared" si="15"/>
        <v>H01580</v>
      </c>
      <c r="AU182" s="599" t="str">
        <f t="shared" si="16"/>
        <v>SVC IMM &amp; PERMIS/CIE SEUL</v>
      </c>
      <c r="AV182" s="1030">
        <f>IFERROR(INDEX(V182:AG182,1,MATCH(Parametres!$B$3,V$1:AG$1,0)-1)*IF(OR(C182="L",C182="S",C182="I"),-1,1),"")</f>
        <v>0</v>
      </c>
      <c r="AW182" s="1030">
        <f t="shared" si="17"/>
        <v>0</v>
      </c>
      <c r="AX182" s="1030">
        <f>INDEX(V182:AG182,1,MATCH(Parametres!$B$3,V$1:AG$1,0))*IF(OR(C182="L",C182="S",C182="I"),-1,1)</f>
        <v>0</v>
      </c>
      <c r="AY182" s="598" t="s">
        <v>337</v>
      </c>
      <c r="AZ182" s="598">
        <f>+VLOOKUP($AJ182,Data_Validation!$A:$E,5,0)</f>
        <v>0</v>
      </c>
    </row>
    <row r="183" spans="1:52" ht="15.75" customHeight="1">
      <c r="A183" s="832" t="s">
        <v>1150</v>
      </c>
      <c r="B183" s="832">
        <v>2025</v>
      </c>
      <c r="C183" s="832" t="s">
        <v>1512</v>
      </c>
      <c r="D183" s="832" t="s">
        <v>1513</v>
      </c>
      <c r="E183" s="832" t="s">
        <v>333</v>
      </c>
      <c r="F183" s="832" t="s">
        <v>1119</v>
      </c>
      <c r="G183" s="832">
        <v>0</v>
      </c>
      <c r="H183" s="832">
        <v>0</v>
      </c>
      <c r="I183" s="832">
        <v>0</v>
      </c>
      <c r="J183" s="832">
        <v>0</v>
      </c>
      <c r="K183" s="832">
        <v>0</v>
      </c>
      <c r="L183" s="832">
        <v>0</v>
      </c>
      <c r="M183" s="832">
        <v>0</v>
      </c>
      <c r="N183" s="832">
        <v>0</v>
      </c>
      <c r="O183" s="832">
        <v>0</v>
      </c>
      <c r="P183" s="832">
        <v>0</v>
      </c>
      <c r="Q183" s="832">
        <v>0</v>
      </c>
      <c r="R183" s="832">
        <v>0</v>
      </c>
      <c r="S183" s="832">
        <v>0</v>
      </c>
      <c r="T183" s="832">
        <v>0</v>
      </c>
      <c r="U183" s="832">
        <v>0</v>
      </c>
      <c r="V183" s="832">
        <v>0</v>
      </c>
      <c r="W183" s="832">
        <v>0</v>
      </c>
      <c r="X183" s="832">
        <v>0</v>
      </c>
      <c r="Y183" s="832">
        <v>0</v>
      </c>
      <c r="Z183" s="832">
        <v>0</v>
      </c>
      <c r="AA183" s="832">
        <v>0</v>
      </c>
      <c r="AB183" s="832">
        <v>0</v>
      </c>
      <c r="AC183" s="832">
        <v>0</v>
      </c>
      <c r="AD183" s="832">
        <v>0</v>
      </c>
      <c r="AE183" s="832">
        <v>0</v>
      </c>
      <c r="AF183" s="832">
        <v>0</v>
      </c>
      <c r="AG183" s="832">
        <v>0</v>
      </c>
      <c r="AH183" s="832">
        <v>0</v>
      </c>
      <c r="AI183" s="832">
        <v>0</v>
      </c>
      <c r="AJ183" s="1030" t="str">
        <f t="shared" si="12"/>
        <v>H01620</v>
      </c>
      <c r="AK183" s="1030" t="str">
        <f t="shared" si="13"/>
        <v>CARR SALAIRES-DIR-DEPT</v>
      </c>
      <c r="AL183" s="1030">
        <f>IFERROR(INDEX(G183:R183,1,MATCH(Parametres!$B$3,G$1:R$1,0)-1)*IF(OR(F183="L",F183="S",F183="I"),-1,1),"")</f>
        <v>0</v>
      </c>
      <c r="AM183" s="1030">
        <f t="shared" si="14"/>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t="str">
        <f t="shared" si="15"/>
        <v>H01620</v>
      </c>
      <c r="AU183" s="599" t="str">
        <f t="shared" si="16"/>
        <v>CARR SALAIRES-DIR-DEPT</v>
      </c>
      <c r="AV183" s="1030">
        <f>IFERROR(INDEX(V183:AG183,1,MATCH(Parametres!$B$3,V$1:AG$1,0)-1)*IF(OR(C183="L",C183="S",C183="I"),-1,1),"")</f>
        <v>0</v>
      </c>
      <c r="AW183" s="1030">
        <f t="shared" si="17"/>
        <v>0</v>
      </c>
      <c r="AX183" s="1030">
        <f>INDEX(V183:AG183,1,MATCH(Parametres!$B$3,V$1:AG$1,0))*IF(OR(C183="L",C183="S",C183="I"),-1,1)</f>
        <v>0</v>
      </c>
      <c r="AY183" s="598" t="s">
        <v>337</v>
      </c>
      <c r="AZ183" s="598" t="e">
        <f>+VLOOKUP($AJ183,Data_Validation!$A:$E,5,0)</f>
        <v>#N/A</v>
      </c>
    </row>
    <row r="184" spans="1:52" ht="15.75" customHeight="1">
      <c r="A184" s="832" t="s">
        <v>1150</v>
      </c>
      <c r="B184" s="832">
        <v>2025</v>
      </c>
      <c r="C184" s="832" t="s">
        <v>1514</v>
      </c>
      <c r="D184" s="832" t="s">
        <v>1515</v>
      </c>
      <c r="E184" s="832" t="s">
        <v>333</v>
      </c>
      <c r="F184" s="832" t="s">
        <v>1119</v>
      </c>
      <c r="G184" s="832">
        <v>0</v>
      </c>
      <c r="H184" s="832">
        <v>0</v>
      </c>
      <c r="I184" s="832">
        <v>0</v>
      </c>
      <c r="J184" s="832">
        <v>0</v>
      </c>
      <c r="K184" s="832">
        <v>0</v>
      </c>
      <c r="L184" s="832">
        <v>0</v>
      </c>
      <c r="M184" s="832">
        <v>0</v>
      </c>
      <c r="N184" s="832">
        <v>0</v>
      </c>
      <c r="O184" s="832">
        <v>0</v>
      </c>
      <c r="P184" s="832">
        <v>0</v>
      </c>
      <c r="Q184" s="832">
        <v>0</v>
      </c>
      <c r="R184" s="832">
        <v>0</v>
      </c>
      <c r="S184" s="832">
        <v>0</v>
      </c>
      <c r="T184" s="832">
        <v>0</v>
      </c>
      <c r="U184" s="832">
        <v>0</v>
      </c>
      <c r="V184" s="832">
        <v>0</v>
      </c>
      <c r="W184" s="832">
        <v>0</v>
      </c>
      <c r="X184" s="832">
        <v>0</v>
      </c>
      <c r="Y184" s="832">
        <v>0</v>
      </c>
      <c r="Z184" s="832">
        <v>0</v>
      </c>
      <c r="AA184" s="832">
        <v>0</v>
      </c>
      <c r="AB184" s="832">
        <v>0</v>
      </c>
      <c r="AC184" s="832">
        <v>0</v>
      </c>
      <c r="AD184" s="832">
        <v>0</v>
      </c>
      <c r="AE184" s="832">
        <v>0</v>
      </c>
      <c r="AF184" s="832">
        <v>0</v>
      </c>
      <c r="AG184" s="832">
        <v>0</v>
      </c>
      <c r="AH184" s="832">
        <v>0</v>
      </c>
      <c r="AI184" s="832">
        <v>0</v>
      </c>
      <c r="AJ184" s="1030" t="str">
        <f t="shared" si="12"/>
        <v>H01621</v>
      </c>
      <c r="AK184" s="1030" t="str">
        <f t="shared" si="13"/>
        <v>CARR SALAIRES-AUTRES</v>
      </c>
      <c r="AL184" s="1030">
        <f>IFERROR(INDEX(G184:R184,1,MATCH(Parametres!$B$3,G$1:R$1,0)-1)*IF(OR(F184="L",F184="S",F184="I"),-1,1),"")</f>
        <v>0</v>
      </c>
      <c r="AM184" s="1030">
        <f t="shared" si="14"/>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t="str">
        <f t="shared" si="15"/>
        <v>H01621</v>
      </c>
      <c r="AU184" s="599" t="str">
        <f t="shared" si="16"/>
        <v>CARR SALAIRES-AUTRES</v>
      </c>
      <c r="AV184" s="1030">
        <f>IFERROR(INDEX(V184:AG184,1,MATCH(Parametres!$B$3,V$1:AG$1,0)-1)*IF(OR(C184="L",C184="S",C184="I"),-1,1),"")</f>
        <v>0</v>
      </c>
      <c r="AW184" s="1030">
        <f t="shared" si="17"/>
        <v>0</v>
      </c>
      <c r="AX184" s="1030">
        <f>INDEX(V184:AG184,1,MATCH(Parametres!$B$3,V$1:AG$1,0))*IF(OR(C184="L",C184="S",C184="I"),-1,1)</f>
        <v>0</v>
      </c>
      <c r="AY184" s="598" t="s">
        <v>337</v>
      </c>
      <c r="AZ184" s="598" t="e">
        <f>+VLOOKUP($AJ184,Data_Validation!$A:$E,5,0)</f>
        <v>#N/A</v>
      </c>
    </row>
    <row r="185" spans="1:52" ht="15.75" customHeight="1">
      <c r="A185" s="832" t="s">
        <v>1150</v>
      </c>
      <c r="B185" s="832">
        <v>2025</v>
      </c>
      <c r="C185" s="832" t="s">
        <v>1516</v>
      </c>
      <c r="D185" s="832" t="s">
        <v>1517</v>
      </c>
      <c r="E185" s="832" t="s">
        <v>333</v>
      </c>
      <c r="F185" s="832" t="s">
        <v>1119</v>
      </c>
      <c r="G185" s="832">
        <v>0</v>
      </c>
      <c r="H185" s="832">
        <v>0</v>
      </c>
      <c r="I185" s="832">
        <v>0</v>
      </c>
      <c r="J185" s="832">
        <v>0</v>
      </c>
      <c r="K185" s="832">
        <v>0</v>
      </c>
      <c r="L185" s="832">
        <v>0</v>
      </c>
      <c r="M185" s="832">
        <v>0</v>
      </c>
      <c r="N185" s="832">
        <v>0</v>
      </c>
      <c r="O185" s="832">
        <v>0</v>
      </c>
      <c r="P185" s="832">
        <v>0</v>
      </c>
      <c r="Q185" s="832">
        <v>0</v>
      </c>
      <c r="R185" s="832">
        <v>0</v>
      </c>
      <c r="S185" s="832">
        <v>0</v>
      </c>
      <c r="T185" s="832">
        <v>0</v>
      </c>
      <c r="U185" s="832">
        <v>0</v>
      </c>
      <c r="V185" s="832">
        <v>0</v>
      </c>
      <c r="W185" s="832">
        <v>0</v>
      </c>
      <c r="X185" s="832">
        <v>0</v>
      </c>
      <c r="Y185" s="832">
        <v>0</v>
      </c>
      <c r="Z185" s="832">
        <v>0</v>
      </c>
      <c r="AA185" s="832">
        <v>0</v>
      </c>
      <c r="AB185" s="832">
        <v>0</v>
      </c>
      <c r="AC185" s="832">
        <v>0</v>
      </c>
      <c r="AD185" s="832">
        <v>0</v>
      </c>
      <c r="AE185" s="832">
        <v>0</v>
      </c>
      <c r="AF185" s="832">
        <v>0</v>
      </c>
      <c r="AG185" s="832">
        <v>0</v>
      </c>
      <c r="AH185" s="832">
        <v>0</v>
      </c>
      <c r="AI185" s="832">
        <v>0</v>
      </c>
      <c r="AJ185" s="1030" t="str">
        <f t="shared" si="12"/>
        <v>H01623</v>
      </c>
      <c r="AK185" s="1030" t="str">
        <f t="shared" si="13"/>
        <v>CARR ABS. &amp; CONGES PAYES</v>
      </c>
      <c r="AL185" s="1030">
        <f>IFERROR(INDEX(G185:R185,1,MATCH(Parametres!$B$3,G$1:R$1,0)-1)*IF(OR(F185="L",F185="S",F185="I"),-1,1),"")</f>
        <v>0</v>
      </c>
      <c r="AM185" s="1030">
        <f t="shared" si="14"/>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t="str">
        <f t="shared" si="15"/>
        <v>H01623</v>
      </c>
      <c r="AU185" s="599" t="str">
        <f t="shared" si="16"/>
        <v>CARR ABS. &amp; CONGES PAYES</v>
      </c>
      <c r="AV185" s="1030">
        <f>IFERROR(INDEX(V185:AG185,1,MATCH(Parametres!$B$3,V$1:AG$1,0)-1)*IF(OR(C185="L",C185="S",C185="I"),-1,1),"")</f>
        <v>0</v>
      </c>
      <c r="AW185" s="1030">
        <f t="shared" si="17"/>
        <v>0</v>
      </c>
      <c r="AX185" s="1030">
        <f>INDEX(V185:AG185,1,MATCH(Parametres!$B$3,V$1:AG$1,0))*IF(OR(C185="L",C185="S",C185="I"),-1,1)</f>
        <v>0</v>
      </c>
      <c r="AY185" s="598" t="s">
        <v>337</v>
      </c>
      <c r="AZ185" s="598" t="e">
        <f>+VLOOKUP($AJ185,Data_Validation!$A:$E,5,0)</f>
        <v>#N/A</v>
      </c>
    </row>
    <row r="186" spans="1:52" ht="15.75" customHeight="1">
      <c r="A186" s="832" t="s">
        <v>1150</v>
      </c>
      <c r="B186" s="832">
        <v>2025</v>
      </c>
      <c r="C186" s="832" t="s">
        <v>1518</v>
      </c>
      <c r="D186" s="832" t="s">
        <v>1519</v>
      </c>
      <c r="E186" s="832" t="s">
        <v>333</v>
      </c>
      <c r="F186" s="832" t="s">
        <v>1119</v>
      </c>
      <c r="G186" s="832">
        <v>0</v>
      </c>
      <c r="H186" s="832">
        <v>0</v>
      </c>
      <c r="I186" s="832">
        <v>0</v>
      </c>
      <c r="J186" s="832">
        <v>0</v>
      </c>
      <c r="K186" s="832">
        <v>0</v>
      </c>
      <c r="L186" s="832">
        <v>0</v>
      </c>
      <c r="M186" s="832">
        <v>0</v>
      </c>
      <c r="N186" s="832">
        <v>0</v>
      </c>
      <c r="O186" s="832">
        <v>0</v>
      </c>
      <c r="P186" s="832">
        <v>0</v>
      </c>
      <c r="Q186" s="832">
        <v>0</v>
      </c>
      <c r="R186" s="832">
        <v>0</v>
      </c>
      <c r="S186" s="832">
        <v>0</v>
      </c>
      <c r="T186" s="832">
        <v>0</v>
      </c>
      <c r="U186" s="832">
        <v>0</v>
      </c>
      <c r="V186" s="832">
        <v>0</v>
      </c>
      <c r="W186" s="832">
        <v>0</v>
      </c>
      <c r="X186" s="832">
        <v>0</v>
      </c>
      <c r="Y186" s="832">
        <v>0</v>
      </c>
      <c r="Z186" s="832">
        <v>0</v>
      </c>
      <c r="AA186" s="832">
        <v>0</v>
      </c>
      <c r="AB186" s="832">
        <v>0</v>
      </c>
      <c r="AC186" s="832">
        <v>0</v>
      </c>
      <c r="AD186" s="832">
        <v>0</v>
      </c>
      <c r="AE186" s="832">
        <v>0</v>
      </c>
      <c r="AF186" s="832">
        <v>0</v>
      </c>
      <c r="AG186" s="832">
        <v>0</v>
      </c>
      <c r="AH186" s="832">
        <v>0</v>
      </c>
      <c r="AI186" s="832">
        <v>0</v>
      </c>
      <c r="AJ186" s="1030" t="str">
        <f t="shared" si="12"/>
        <v>H01624</v>
      </c>
      <c r="AK186" s="1030" t="str">
        <f t="shared" si="13"/>
        <v>CARR CSST</v>
      </c>
      <c r="AL186" s="1030">
        <f>IFERROR(INDEX(G186:R186,1,MATCH(Parametres!$B$3,G$1:R$1,0)-1)*IF(OR(F186="L",F186="S",F186="I"),-1,1),"")</f>
        <v>0</v>
      </c>
      <c r="AM186" s="1030">
        <f t="shared" si="14"/>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t="str">
        <f t="shared" si="15"/>
        <v>H01624</v>
      </c>
      <c r="AU186" s="599" t="str">
        <f t="shared" si="16"/>
        <v>CARR CSST</v>
      </c>
      <c r="AV186" s="1030">
        <f>IFERROR(INDEX(V186:AG186,1,MATCH(Parametres!$B$3,V$1:AG$1,0)-1)*IF(OR(C186="L",C186="S",C186="I"),-1,1),"")</f>
        <v>0</v>
      </c>
      <c r="AW186" s="1030">
        <f t="shared" si="17"/>
        <v>0</v>
      </c>
      <c r="AX186" s="1030">
        <f>INDEX(V186:AG186,1,MATCH(Parametres!$B$3,V$1:AG$1,0))*IF(OR(C186="L",C186="S",C186="I"),-1,1)</f>
        <v>0</v>
      </c>
      <c r="AY186" s="598" t="s">
        <v>337</v>
      </c>
      <c r="AZ186" s="598" t="e">
        <f>+VLOOKUP($AJ186,Data_Validation!$A:$E,5,0)</f>
        <v>#N/A</v>
      </c>
    </row>
    <row r="187" spans="1:52" ht="15" customHeight="1">
      <c r="A187" s="832" t="s">
        <v>1150</v>
      </c>
      <c r="B187" s="832">
        <v>2025</v>
      </c>
      <c r="C187" s="832" t="s">
        <v>1520</v>
      </c>
      <c r="D187" s="832" t="s">
        <v>1521</v>
      </c>
      <c r="E187" s="832" t="s">
        <v>333</v>
      </c>
      <c r="F187" s="832" t="s">
        <v>1119</v>
      </c>
      <c r="G187" s="832">
        <v>0</v>
      </c>
      <c r="H187" s="832">
        <v>0</v>
      </c>
      <c r="I187" s="832">
        <v>0</v>
      </c>
      <c r="J187" s="832">
        <v>0</v>
      </c>
      <c r="K187" s="832">
        <v>0</v>
      </c>
      <c r="L187" s="832">
        <v>0</v>
      </c>
      <c r="M187" s="832">
        <v>0</v>
      </c>
      <c r="N187" s="832">
        <v>0</v>
      </c>
      <c r="O187" s="832">
        <v>0</v>
      </c>
      <c r="P187" s="832">
        <v>0</v>
      </c>
      <c r="Q187" s="832">
        <v>0</v>
      </c>
      <c r="R187" s="832">
        <v>0</v>
      </c>
      <c r="S187" s="832">
        <v>0</v>
      </c>
      <c r="T187" s="832">
        <v>0</v>
      </c>
      <c r="U187" s="832">
        <v>0</v>
      </c>
      <c r="V187" s="832">
        <v>0</v>
      </c>
      <c r="W187" s="832">
        <v>0</v>
      </c>
      <c r="X187" s="832">
        <v>0</v>
      </c>
      <c r="Y187" s="832">
        <v>0</v>
      </c>
      <c r="Z187" s="832">
        <v>0</v>
      </c>
      <c r="AA187" s="832">
        <v>0</v>
      </c>
      <c r="AB187" s="832">
        <v>0</v>
      </c>
      <c r="AC187" s="832">
        <v>0</v>
      </c>
      <c r="AD187" s="832">
        <v>0</v>
      </c>
      <c r="AE187" s="832">
        <v>0</v>
      </c>
      <c r="AF187" s="832">
        <v>0</v>
      </c>
      <c r="AG187" s="832">
        <v>0</v>
      </c>
      <c r="AH187" s="832">
        <v>0</v>
      </c>
      <c r="AI187" s="832">
        <v>0</v>
      </c>
      <c r="AJ187" s="1030" t="str">
        <f t="shared" si="12"/>
        <v>H01625</v>
      </c>
      <c r="AK187" s="1030" t="str">
        <f t="shared" si="13"/>
        <v>CARR ASSURANCE-CHOMAGE</v>
      </c>
      <c r="AL187" s="1030">
        <f>IFERROR(INDEX(G187:R187,1,MATCH(Parametres!$B$3,G$1:R$1,0)-1)*IF(OR(F187="L",F187="S",F187="I"),-1,1),"")</f>
        <v>0</v>
      </c>
      <c r="AM187" s="1030">
        <f t="shared" si="14"/>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t="str">
        <f t="shared" si="15"/>
        <v>H01625</v>
      </c>
      <c r="AU187" s="599" t="str">
        <f t="shared" si="16"/>
        <v>CARR ASSURANCE-CHOMAGE</v>
      </c>
      <c r="AV187" s="1030">
        <f>IFERROR(INDEX(V187:AG187,1,MATCH(Parametres!$B$3,V$1:AG$1,0)-1)*IF(OR(C187="L",C187="S",C187="I"),-1,1),"")</f>
        <v>0</v>
      </c>
      <c r="AW187" s="1030">
        <f t="shared" si="17"/>
        <v>0</v>
      </c>
      <c r="AX187" s="1030">
        <f>INDEX(V187:AG187,1,MATCH(Parametres!$B$3,V$1:AG$1,0))*IF(OR(C187="L",C187="S",C187="I"),-1,1)</f>
        <v>0</v>
      </c>
      <c r="AY187" s="598" t="s">
        <v>337</v>
      </c>
      <c r="AZ187" s="598" t="e">
        <f>+VLOOKUP($AJ187,Data_Validation!$A:$E,5,0)</f>
        <v>#N/A</v>
      </c>
    </row>
    <row r="188" spans="1:52" ht="15" customHeight="1">
      <c r="A188" s="832" t="s">
        <v>1150</v>
      </c>
      <c r="B188" s="832">
        <v>2025</v>
      </c>
      <c r="C188" s="832" t="s">
        <v>1522</v>
      </c>
      <c r="D188" s="832" t="s">
        <v>1523</v>
      </c>
      <c r="E188" s="832" t="s">
        <v>333</v>
      </c>
      <c r="F188" s="832" t="s">
        <v>1119</v>
      </c>
      <c r="G188" s="832">
        <v>0</v>
      </c>
      <c r="H188" s="832">
        <v>0</v>
      </c>
      <c r="I188" s="832">
        <v>0</v>
      </c>
      <c r="J188" s="832">
        <v>0</v>
      </c>
      <c r="K188" s="832">
        <v>0</v>
      </c>
      <c r="L188" s="832">
        <v>0</v>
      </c>
      <c r="M188" s="832">
        <v>0</v>
      </c>
      <c r="N188" s="832">
        <v>0</v>
      </c>
      <c r="O188" s="832">
        <v>0</v>
      </c>
      <c r="P188" s="832">
        <v>0</v>
      </c>
      <c r="Q188" s="832">
        <v>0</v>
      </c>
      <c r="R188" s="832">
        <v>0</v>
      </c>
      <c r="S188" s="832">
        <v>0</v>
      </c>
      <c r="T188" s="832">
        <v>0</v>
      </c>
      <c r="U188" s="832">
        <v>0</v>
      </c>
      <c r="V188" s="832">
        <v>0</v>
      </c>
      <c r="W188" s="832">
        <v>0</v>
      </c>
      <c r="X188" s="832">
        <v>0</v>
      </c>
      <c r="Y188" s="832">
        <v>0</v>
      </c>
      <c r="Z188" s="832">
        <v>0</v>
      </c>
      <c r="AA188" s="832">
        <v>0</v>
      </c>
      <c r="AB188" s="832">
        <v>0</v>
      </c>
      <c r="AC188" s="832">
        <v>0</v>
      </c>
      <c r="AD188" s="832">
        <v>0</v>
      </c>
      <c r="AE188" s="832">
        <v>0</v>
      </c>
      <c r="AF188" s="832">
        <v>0</v>
      </c>
      <c r="AG188" s="832">
        <v>0</v>
      </c>
      <c r="AH188" s="832">
        <v>0</v>
      </c>
      <c r="AI188" s="832">
        <v>0</v>
      </c>
      <c r="AJ188" s="1030" t="str">
        <f t="shared" si="12"/>
        <v>H01626</v>
      </c>
      <c r="AK188" s="1030" t="str">
        <f t="shared" si="13"/>
        <v>CARR ASSURANCE GROUPE</v>
      </c>
      <c r="AL188" s="1030">
        <f>IFERROR(INDEX(G188:R188,1,MATCH(Parametres!$B$3,G$1:R$1,0)-1)*IF(OR(F188="L",F188="S",F188="I"),-1,1),"")</f>
        <v>0</v>
      </c>
      <c r="AM188" s="1030">
        <f t="shared" si="14"/>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t="str">
        <f t="shared" si="15"/>
        <v>H01626</v>
      </c>
      <c r="AU188" s="599" t="str">
        <f t="shared" si="16"/>
        <v>CARR ASSURANCE GROUPE</v>
      </c>
      <c r="AV188" s="1030">
        <f>IFERROR(INDEX(V188:AG188,1,MATCH(Parametres!$B$3,V$1:AG$1,0)-1)*IF(OR(C188="L",C188="S",C188="I"),-1,1),"")</f>
        <v>0</v>
      </c>
      <c r="AW188" s="1030">
        <f t="shared" si="17"/>
        <v>0</v>
      </c>
      <c r="AX188" s="1030">
        <f>INDEX(V188:AG188,1,MATCH(Parametres!$B$3,V$1:AG$1,0))*IF(OR(C188="L",C188="S",C188="I"),-1,1)</f>
        <v>0</v>
      </c>
      <c r="AY188" s="598" t="s">
        <v>337</v>
      </c>
      <c r="AZ188" s="598" t="e">
        <f>+VLOOKUP($AJ188,Data_Validation!$A:$E,5,0)</f>
        <v>#N/A</v>
      </c>
    </row>
    <row r="189" spans="1:52" ht="15" customHeight="1">
      <c r="A189" s="832" t="s">
        <v>1150</v>
      </c>
      <c r="B189" s="832">
        <v>2025</v>
      </c>
      <c r="C189" s="832" t="s">
        <v>1524</v>
      </c>
      <c r="D189" s="832" t="s">
        <v>1525</v>
      </c>
      <c r="E189" s="832" t="s">
        <v>333</v>
      </c>
      <c r="F189" s="832" t="s">
        <v>1119</v>
      </c>
      <c r="G189" s="832">
        <v>0</v>
      </c>
      <c r="H189" s="832">
        <v>0</v>
      </c>
      <c r="I189" s="832">
        <v>0</v>
      </c>
      <c r="J189" s="832">
        <v>0</v>
      </c>
      <c r="K189" s="832">
        <v>0</v>
      </c>
      <c r="L189" s="832">
        <v>0</v>
      </c>
      <c r="M189" s="832">
        <v>0</v>
      </c>
      <c r="N189" s="832">
        <v>0</v>
      </c>
      <c r="O189" s="832">
        <v>0</v>
      </c>
      <c r="P189" s="832">
        <v>0</v>
      </c>
      <c r="Q189" s="832">
        <v>0</v>
      </c>
      <c r="R189" s="832">
        <v>0</v>
      </c>
      <c r="S189" s="832">
        <v>0</v>
      </c>
      <c r="T189" s="832">
        <v>0</v>
      </c>
      <c r="U189" s="832">
        <v>0</v>
      </c>
      <c r="V189" s="832">
        <v>0</v>
      </c>
      <c r="W189" s="832">
        <v>0</v>
      </c>
      <c r="X189" s="832">
        <v>0</v>
      </c>
      <c r="Y189" s="832">
        <v>0</v>
      </c>
      <c r="Z189" s="832">
        <v>0</v>
      </c>
      <c r="AA189" s="832">
        <v>0</v>
      </c>
      <c r="AB189" s="832">
        <v>0</v>
      </c>
      <c r="AC189" s="832">
        <v>0</v>
      </c>
      <c r="AD189" s="832">
        <v>0</v>
      </c>
      <c r="AE189" s="832">
        <v>0</v>
      </c>
      <c r="AF189" s="832">
        <v>0</v>
      </c>
      <c r="AG189" s="832">
        <v>0</v>
      </c>
      <c r="AH189" s="832">
        <v>0</v>
      </c>
      <c r="AI189" s="832">
        <v>0</v>
      </c>
      <c r="AJ189" s="1030" t="str">
        <f t="shared" si="12"/>
        <v>H01627</v>
      </c>
      <c r="AK189" s="1030" t="str">
        <f t="shared" si="13"/>
        <v>CARR AUTRES AV. SOCIAUX</v>
      </c>
      <c r="AL189" s="1030">
        <f>IFERROR(INDEX(G189:R189,1,MATCH(Parametres!$B$3,G$1:R$1,0)-1)*IF(OR(F189="L",F189="S",F189="I"),-1,1),"")</f>
        <v>0</v>
      </c>
      <c r="AM189" s="1030">
        <f t="shared" si="14"/>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t="str">
        <f t="shared" si="15"/>
        <v>H01627</v>
      </c>
      <c r="AU189" s="599" t="str">
        <f t="shared" si="16"/>
        <v>CARR AUTRES AV. SOCIAUX</v>
      </c>
      <c r="AV189" s="1030">
        <f>IFERROR(INDEX(V189:AG189,1,MATCH(Parametres!$B$3,V$1:AG$1,0)-1)*IF(OR(C189="L",C189="S",C189="I"),-1,1),"")</f>
        <v>0</v>
      </c>
      <c r="AW189" s="1030">
        <f t="shared" si="17"/>
        <v>0</v>
      </c>
      <c r="AX189" s="1030">
        <f>INDEX(V189:AG189,1,MATCH(Parametres!$B$3,V$1:AG$1,0))*IF(OR(C189="L",C189="S",C189="I"),-1,1)</f>
        <v>0</v>
      </c>
      <c r="AY189" s="598" t="s">
        <v>337</v>
      </c>
      <c r="AZ189" s="598" t="e">
        <f>+VLOOKUP($AJ189,Data_Validation!$A:$E,5,0)</f>
        <v>#N/A</v>
      </c>
    </row>
    <row r="190" spans="1:52" ht="15" customHeight="1">
      <c r="A190" s="832" t="s">
        <v>1150</v>
      </c>
      <c r="B190" s="832">
        <v>2025</v>
      </c>
      <c r="C190" s="832" t="s">
        <v>1526</v>
      </c>
      <c r="D190" s="832" t="s">
        <v>1527</v>
      </c>
      <c r="E190" s="832" t="s">
        <v>333</v>
      </c>
      <c r="F190" s="832" t="s">
        <v>1119</v>
      </c>
      <c r="G190" s="832">
        <v>0</v>
      </c>
      <c r="H190" s="832">
        <v>0</v>
      </c>
      <c r="I190" s="832">
        <v>0</v>
      </c>
      <c r="J190" s="832">
        <v>0</v>
      </c>
      <c r="K190" s="832">
        <v>0</v>
      </c>
      <c r="L190" s="832">
        <v>0</v>
      </c>
      <c r="M190" s="832">
        <v>0</v>
      </c>
      <c r="N190" s="832">
        <v>0</v>
      </c>
      <c r="O190" s="832">
        <v>0</v>
      </c>
      <c r="P190" s="832">
        <v>0</v>
      </c>
      <c r="Q190" s="832">
        <v>0</v>
      </c>
      <c r="R190" s="832">
        <v>0</v>
      </c>
      <c r="S190" s="832">
        <v>0</v>
      </c>
      <c r="T190" s="832">
        <v>0</v>
      </c>
      <c r="U190" s="832">
        <v>0</v>
      </c>
      <c r="V190" s="832">
        <v>0</v>
      </c>
      <c r="W190" s="832">
        <v>0</v>
      </c>
      <c r="X190" s="832">
        <v>0</v>
      </c>
      <c r="Y190" s="832">
        <v>0</v>
      </c>
      <c r="Z190" s="832">
        <v>0</v>
      </c>
      <c r="AA190" s="832">
        <v>0</v>
      </c>
      <c r="AB190" s="832">
        <v>0</v>
      </c>
      <c r="AC190" s="832">
        <v>0</v>
      </c>
      <c r="AD190" s="832">
        <v>0</v>
      </c>
      <c r="AE190" s="832">
        <v>0</v>
      </c>
      <c r="AF190" s="832">
        <v>0</v>
      </c>
      <c r="AG190" s="832">
        <v>0</v>
      </c>
      <c r="AH190" s="832">
        <v>0</v>
      </c>
      <c r="AI190" s="832">
        <v>0</v>
      </c>
      <c r="AJ190" s="1030" t="str">
        <f t="shared" si="12"/>
        <v>H01628</v>
      </c>
      <c r="AK190" s="1030" t="str">
        <f t="shared" si="13"/>
        <v>CARR FORMATION</v>
      </c>
      <c r="AL190" s="1030">
        <f>IFERROR(INDEX(G190:R190,1,MATCH(Parametres!$B$3,G$1:R$1,0)-1)*IF(OR(F190="L",F190="S",F190="I"),-1,1),"")</f>
        <v>0</v>
      </c>
      <c r="AM190" s="1030">
        <f t="shared" si="14"/>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t="str">
        <f t="shared" si="15"/>
        <v>H01628</v>
      </c>
      <c r="AU190" s="599" t="str">
        <f t="shared" si="16"/>
        <v>CARR FORMATION</v>
      </c>
      <c r="AV190" s="1030">
        <f>IFERROR(INDEX(V190:AG190,1,MATCH(Parametres!$B$3,V$1:AG$1,0)-1)*IF(OR(C190="L",C190="S",C190="I"),-1,1),"")</f>
        <v>0</v>
      </c>
      <c r="AW190" s="1030">
        <f t="shared" si="17"/>
        <v>0</v>
      </c>
      <c r="AX190" s="1030">
        <f>INDEX(V190:AG190,1,MATCH(Parametres!$B$3,V$1:AG$1,0))*IF(OR(C190="L",C190="S",C190="I"),-1,1)</f>
        <v>0</v>
      </c>
      <c r="AY190" s="598" t="s">
        <v>337</v>
      </c>
      <c r="AZ190" s="598" t="e">
        <f>+VLOOKUP($AJ190,Data_Validation!$A:$E,5,0)</f>
        <v>#N/A</v>
      </c>
    </row>
    <row r="191" spans="1:52" ht="15" customHeight="1">
      <c r="A191" s="832" t="s">
        <v>1150</v>
      </c>
      <c r="B191" s="832">
        <v>2025</v>
      </c>
      <c r="C191" s="832" t="s">
        <v>1528</v>
      </c>
      <c r="D191" s="832" t="s">
        <v>1529</v>
      </c>
      <c r="E191" s="832" t="s">
        <v>333</v>
      </c>
      <c r="F191" s="832" t="s">
        <v>1119</v>
      </c>
      <c r="G191" s="832">
        <v>0</v>
      </c>
      <c r="H191" s="832">
        <v>0</v>
      </c>
      <c r="I191" s="832">
        <v>0</v>
      </c>
      <c r="J191" s="832">
        <v>0</v>
      </c>
      <c r="K191" s="832">
        <v>0</v>
      </c>
      <c r="L191" s="832">
        <v>0</v>
      </c>
      <c r="M191" s="832">
        <v>0</v>
      </c>
      <c r="N191" s="832">
        <v>0</v>
      </c>
      <c r="O191" s="832">
        <v>0</v>
      </c>
      <c r="P191" s="832">
        <v>0</v>
      </c>
      <c r="Q191" s="832">
        <v>0</v>
      </c>
      <c r="R191" s="832">
        <v>0</v>
      </c>
      <c r="S191" s="832">
        <v>0</v>
      </c>
      <c r="T191" s="832">
        <v>0</v>
      </c>
      <c r="U191" s="832">
        <v>0</v>
      </c>
      <c r="V191" s="832">
        <v>0</v>
      </c>
      <c r="W191" s="832">
        <v>0</v>
      </c>
      <c r="X191" s="832">
        <v>0</v>
      </c>
      <c r="Y191" s="832">
        <v>0</v>
      </c>
      <c r="Z191" s="832">
        <v>0</v>
      </c>
      <c r="AA191" s="832">
        <v>0</v>
      </c>
      <c r="AB191" s="832">
        <v>0</v>
      </c>
      <c r="AC191" s="832">
        <v>0</v>
      </c>
      <c r="AD191" s="832">
        <v>0</v>
      </c>
      <c r="AE191" s="832">
        <v>0</v>
      </c>
      <c r="AF191" s="832">
        <v>0</v>
      </c>
      <c r="AG191" s="832">
        <v>0</v>
      </c>
      <c r="AH191" s="832">
        <v>0</v>
      </c>
      <c r="AI191" s="832">
        <v>0</v>
      </c>
      <c r="AJ191" s="1030" t="str">
        <f t="shared" si="12"/>
        <v>H01630</v>
      </c>
      <c r="AK191" s="1030" t="str">
        <f t="shared" si="13"/>
        <v>CARR PAPETRIE-FOUR.BUREAU</v>
      </c>
      <c r="AL191" s="1030">
        <f>IFERROR(INDEX(G191:R191,1,MATCH(Parametres!$B$3,G$1:R$1,0)-1)*IF(OR(F191="L",F191="S",F191="I"),-1,1),"")</f>
        <v>0</v>
      </c>
      <c r="AM191" s="1030">
        <f t="shared" si="14"/>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t="str">
        <f t="shared" si="15"/>
        <v>H01630</v>
      </c>
      <c r="AU191" s="599" t="str">
        <f t="shared" si="16"/>
        <v>CARR PAPETRIE-FOUR.BUREAU</v>
      </c>
      <c r="AV191" s="1030">
        <f>IFERROR(INDEX(V191:AG191,1,MATCH(Parametres!$B$3,V$1:AG$1,0)-1)*IF(OR(C191="L",C191="S",C191="I"),-1,1),"")</f>
        <v>0</v>
      </c>
      <c r="AW191" s="1030">
        <f t="shared" si="17"/>
        <v>0</v>
      </c>
      <c r="AX191" s="1030">
        <f>INDEX(V191:AG191,1,MATCH(Parametres!$B$3,V$1:AG$1,0))*IF(OR(C191="L",C191="S",C191="I"),-1,1)</f>
        <v>0</v>
      </c>
      <c r="AY191" s="598" t="s">
        <v>337</v>
      </c>
      <c r="AZ191" s="598" t="e">
        <f>+VLOOKUP($AJ191,Data_Validation!$A:$E,5,0)</f>
        <v>#N/A</v>
      </c>
    </row>
    <row r="192" spans="1:52" ht="15" customHeight="1">
      <c r="A192" s="832" t="s">
        <v>1150</v>
      </c>
      <c r="B192" s="832">
        <v>2025</v>
      </c>
      <c r="C192" s="832" t="s">
        <v>1530</v>
      </c>
      <c r="D192" s="832" t="s">
        <v>1531</v>
      </c>
      <c r="E192" s="832" t="s">
        <v>333</v>
      </c>
      <c r="F192" s="832" t="s">
        <v>1119</v>
      </c>
      <c r="G192" s="832">
        <v>0</v>
      </c>
      <c r="H192" s="832">
        <v>0</v>
      </c>
      <c r="I192" s="832">
        <v>0</v>
      </c>
      <c r="J192" s="832">
        <v>0</v>
      </c>
      <c r="K192" s="832">
        <v>0</v>
      </c>
      <c r="L192" s="832">
        <v>0</v>
      </c>
      <c r="M192" s="832">
        <v>0</v>
      </c>
      <c r="N192" s="832">
        <v>0</v>
      </c>
      <c r="O192" s="832">
        <v>0</v>
      </c>
      <c r="P192" s="832">
        <v>0</v>
      </c>
      <c r="Q192" s="832">
        <v>0</v>
      </c>
      <c r="R192" s="832">
        <v>0</v>
      </c>
      <c r="S192" s="832">
        <v>0</v>
      </c>
      <c r="T192" s="832">
        <v>0</v>
      </c>
      <c r="U192" s="832">
        <v>0</v>
      </c>
      <c r="V192" s="832">
        <v>0</v>
      </c>
      <c r="W192" s="832">
        <v>0</v>
      </c>
      <c r="X192" s="832">
        <v>0</v>
      </c>
      <c r="Y192" s="832">
        <v>0</v>
      </c>
      <c r="Z192" s="832">
        <v>0</v>
      </c>
      <c r="AA192" s="832">
        <v>0</v>
      </c>
      <c r="AB192" s="832">
        <v>0</v>
      </c>
      <c r="AC192" s="832">
        <v>0</v>
      </c>
      <c r="AD192" s="832">
        <v>0</v>
      </c>
      <c r="AE192" s="832">
        <v>0</v>
      </c>
      <c r="AF192" s="832">
        <v>0</v>
      </c>
      <c r="AG192" s="832">
        <v>0</v>
      </c>
      <c r="AH192" s="832">
        <v>0</v>
      </c>
      <c r="AI192" s="832">
        <v>0</v>
      </c>
      <c r="AJ192" s="1030" t="str">
        <f t="shared" si="12"/>
        <v>H01631</v>
      </c>
      <c r="AK192" s="1030" t="str">
        <f t="shared" si="13"/>
        <v>CARR OUTIL-FOUR.DIVERS</v>
      </c>
      <c r="AL192" s="1030">
        <f>IFERROR(INDEX(G192:R192,1,MATCH(Parametres!$B$3,G$1:R$1,0)-1)*IF(OR(F192="L",F192="S",F192="I"),-1,1),"")</f>
        <v>0</v>
      </c>
      <c r="AM192" s="1030">
        <f t="shared" si="14"/>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t="str">
        <f t="shared" si="15"/>
        <v>H01631</v>
      </c>
      <c r="AU192" s="599" t="str">
        <f t="shared" si="16"/>
        <v>CARR OUTIL-FOUR.DIVERS</v>
      </c>
      <c r="AV192" s="1030">
        <f>IFERROR(INDEX(V192:AG192,1,MATCH(Parametres!$B$3,V$1:AG$1,0)-1)*IF(OR(C192="L",C192="S",C192="I"),-1,1),"")</f>
        <v>0</v>
      </c>
      <c r="AW192" s="1030">
        <f t="shared" si="17"/>
        <v>0</v>
      </c>
      <c r="AX192" s="1030">
        <f>INDEX(V192:AG192,1,MATCH(Parametres!$B$3,V$1:AG$1,0))*IF(OR(C192="L",C192="S",C192="I"),-1,1)</f>
        <v>0</v>
      </c>
      <c r="AY192" s="598" t="s">
        <v>337</v>
      </c>
      <c r="AZ192" s="598" t="e">
        <f>+VLOOKUP($AJ192,Data_Validation!$A:$E,5,0)</f>
        <v>#N/A</v>
      </c>
    </row>
    <row r="193" spans="1:52" ht="15" customHeight="1">
      <c r="A193" s="832" t="s">
        <v>1150</v>
      </c>
      <c r="B193" s="832">
        <v>2025</v>
      </c>
      <c r="C193" s="832" t="s">
        <v>1532</v>
      </c>
      <c r="D193" s="832" t="s">
        <v>1533</v>
      </c>
      <c r="E193" s="832" t="s">
        <v>333</v>
      </c>
      <c r="F193" s="832" t="s">
        <v>1119</v>
      </c>
      <c r="G193" s="832">
        <v>0</v>
      </c>
      <c r="H193" s="832">
        <v>0</v>
      </c>
      <c r="I193" s="832">
        <v>0</v>
      </c>
      <c r="J193" s="832">
        <v>0</v>
      </c>
      <c r="K193" s="832">
        <v>0</v>
      </c>
      <c r="L193" s="832">
        <v>0</v>
      </c>
      <c r="M193" s="832">
        <v>0</v>
      </c>
      <c r="N193" s="832">
        <v>0</v>
      </c>
      <c r="O193" s="832">
        <v>0</v>
      </c>
      <c r="P193" s="832">
        <v>0</v>
      </c>
      <c r="Q193" s="832">
        <v>0</v>
      </c>
      <c r="R193" s="832">
        <v>0</v>
      </c>
      <c r="S193" s="832">
        <v>0</v>
      </c>
      <c r="T193" s="832">
        <v>0</v>
      </c>
      <c r="U193" s="832">
        <v>0</v>
      </c>
      <c r="V193" s="832">
        <v>0</v>
      </c>
      <c r="W193" s="832">
        <v>0</v>
      </c>
      <c r="X193" s="832">
        <v>0</v>
      </c>
      <c r="Y193" s="832">
        <v>0</v>
      </c>
      <c r="Z193" s="832">
        <v>0</v>
      </c>
      <c r="AA193" s="832">
        <v>0</v>
      </c>
      <c r="AB193" s="832">
        <v>0</v>
      </c>
      <c r="AC193" s="832">
        <v>0</v>
      </c>
      <c r="AD193" s="832">
        <v>0</v>
      </c>
      <c r="AE193" s="832">
        <v>0</v>
      </c>
      <c r="AF193" s="832">
        <v>0</v>
      </c>
      <c r="AG193" s="832">
        <v>0</v>
      </c>
      <c r="AH193" s="832">
        <v>0</v>
      </c>
      <c r="AI193" s="832">
        <v>0</v>
      </c>
      <c r="AJ193" s="1030" t="str">
        <f t="shared" si="12"/>
        <v>H01634</v>
      </c>
      <c r="AK193" s="1030" t="str">
        <f t="shared" si="13"/>
        <v>CARR UNIFORMES-SALOPETTES</v>
      </c>
      <c r="AL193" s="1030">
        <f>IFERROR(INDEX(G193:R193,1,MATCH(Parametres!$B$3,G$1:R$1,0)-1)*IF(OR(F193="L",F193="S",F193="I"),-1,1),"")</f>
        <v>0</v>
      </c>
      <c r="AM193" s="1030">
        <f t="shared" si="14"/>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t="str">
        <f t="shared" si="15"/>
        <v>H01634</v>
      </c>
      <c r="AU193" s="599" t="str">
        <f t="shared" si="16"/>
        <v>CARR UNIFORMES-SALOPETTES</v>
      </c>
      <c r="AV193" s="1030">
        <f>IFERROR(INDEX(V193:AG193,1,MATCH(Parametres!$B$3,V$1:AG$1,0)-1)*IF(OR(C193="L",C193="S",C193="I"),-1,1),"")</f>
        <v>0</v>
      </c>
      <c r="AW193" s="1030">
        <f t="shared" si="17"/>
        <v>0</v>
      </c>
      <c r="AX193" s="1030">
        <f>INDEX(V193:AG193,1,MATCH(Parametres!$B$3,V$1:AG$1,0))*IF(OR(C193="L",C193="S",C193="I"),-1,1)</f>
        <v>0</v>
      </c>
      <c r="AY193" s="598" t="s">
        <v>337</v>
      </c>
      <c r="AZ193" s="598" t="e">
        <f>+VLOOKUP($AJ193,Data_Validation!$A:$E,5,0)</f>
        <v>#N/A</v>
      </c>
    </row>
    <row r="194" spans="1:52" ht="15.75" customHeight="1">
      <c r="A194" s="832" t="s">
        <v>1150</v>
      </c>
      <c r="B194" s="832">
        <v>2025</v>
      </c>
      <c r="C194" s="832" t="s">
        <v>1534</v>
      </c>
      <c r="D194" s="832" t="s">
        <v>1535</v>
      </c>
      <c r="E194" s="832" t="s">
        <v>333</v>
      </c>
      <c r="F194" s="832" t="s">
        <v>1119</v>
      </c>
      <c r="G194" s="832">
        <v>0</v>
      </c>
      <c r="H194" s="832">
        <v>0</v>
      </c>
      <c r="I194" s="832">
        <v>0</v>
      </c>
      <c r="J194" s="832">
        <v>0</v>
      </c>
      <c r="K194" s="832">
        <v>0</v>
      </c>
      <c r="L194" s="832">
        <v>0</v>
      </c>
      <c r="M194" s="832">
        <v>0</v>
      </c>
      <c r="N194" s="832">
        <v>0</v>
      </c>
      <c r="O194" s="832">
        <v>0</v>
      </c>
      <c r="P194" s="832">
        <v>0</v>
      </c>
      <c r="Q194" s="832">
        <v>0</v>
      </c>
      <c r="R194" s="832">
        <v>0</v>
      </c>
      <c r="S194" s="832">
        <v>0</v>
      </c>
      <c r="T194" s="832">
        <v>0</v>
      </c>
      <c r="U194" s="832">
        <v>0</v>
      </c>
      <c r="V194" s="832">
        <v>0</v>
      </c>
      <c r="W194" s="832">
        <v>0</v>
      </c>
      <c r="X194" s="832">
        <v>0</v>
      </c>
      <c r="Y194" s="832">
        <v>0</v>
      </c>
      <c r="Z194" s="832">
        <v>0</v>
      </c>
      <c r="AA194" s="832">
        <v>0</v>
      </c>
      <c r="AB194" s="832">
        <v>0</v>
      </c>
      <c r="AC194" s="832">
        <v>0</v>
      </c>
      <c r="AD194" s="832">
        <v>0</v>
      </c>
      <c r="AE194" s="832">
        <v>0</v>
      </c>
      <c r="AF194" s="832">
        <v>0</v>
      </c>
      <c r="AG194" s="832">
        <v>0</v>
      </c>
      <c r="AH194" s="832">
        <v>0</v>
      </c>
      <c r="AI194" s="832">
        <v>0</v>
      </c>
      <c r="AJ194" s="1030" t="str">
        <f t="shared" si="12"/>
        <v>H01635</v>
      </c>
      <c r="AK194" s="1030" t="str">
        <f t="shared" si="13"/>
        <v>CARR CONCIERGE-NETTOYAGE</v>
      </c>
      <c r="AL194" s="1030">
        <f>IFERROR(INDEX(G194:R194,1,MATCH(Parametres!$B$3,G$1:R$1,0)-1)*IF(OR(F194="L",F194="S",F194="I"),-1,1),"")</f>
        <v>0</v>
      </c>
      <c r="AM194" s="1030">
        <f t="shared" si="14"/>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t="str">
        <f t="shared" si="15"/>
        <v>H01635</v>
      </c>
      <c r="AU194" s="599" t="str">
        <f t="shared" si="16"/>
        <v>CARR CONCIERGE-NETTOYAGE</v>
      </c>
      <c r="AV194" s="1030">
        <f>IFERROR(INDEX(V194:AG194,1,MATCH(Parametres!$B$3,V$1:AG$1,0)-1)*IF(OR(C194="L",C194="S",C194="I"),-1,1),"")</f>
        <v>0</v>
      </c>
      <c r="AW194" s="1030">
        <f t="shared" si="17"/>
        <v>0</v>
      </c>
      <c r="AX194" s="1030">
        <f>INDEX(V194:AG194,1,MATCH(Parametres!$B$3,V$1:AG$1,0))*IF(OR(C194="L",C194="S",C194="I"),-1,1)</f>
        <v>0</v>
      </c>
      <c r="AY194" s="598" t="s">
        <v>337</v>
      </c>
      <c r="AZ194" s="598" t="e">
        <f>+VLOOKUP($AJ194,Data_Validation!$A:$E,5,0)</f>
        <v>#N/A</v>
      </c>
    </row>
    <row r="195" spans="1:52" ht="15" customHeight="1">
      <c r="A195" s="832" t="s">
        <v>1150</v>
      </c>
      <c r="B195" s="832">
        <v>2025</v>
      </c>
      <c r="C195" s="832" t="s">
        <v>1536</v>
      </c>
      <c r="D195" s="832" t="s">
        <v>1537</v>
      </c>
      <c r="E195" s="832" t="s">
        <v>333</v>
      </c>
      <c r="F195" s="832" t="s">
        <v>1119</v>
      </c>
      <c r="G195" s="832">
        <v>0</v>
      </c>
      <c r="H195" s="832">
        <v>0</v>
      </c>
      <c r="I195" s="832">
        <v>0</v>
      </c>
      <c r="J195" s="832">
        <v>0</v>
      </c>
      <c r="K195" s="832">
        <v>0</v>
      </c>
      <c r="L195" s="832">
        <v>0</v>
      </c>
      <c r="M195" s="832">
        <v>0</v>
      </c>
      <c r="N195" s="832">
        <v>0</v>
      </c>
      <c r="O195" s="832">
        <v>0</v>
      </c>
      <c r="P195" s="832">
        <v>0</v>
      </c>
      <c r="Q195" s="832">
        <v>0</v>
      </c>
      <c r="R195" s="832">
        <v>0</v>
      </c>
      <c r="S195" s="832">
        <v>0</v>
      </c>
      <c r="T195" s="832">
        <v>0</v>
      </c>
      <c r="U195" s="832">
        <v>0</v>
      </c>
      <c r="V195" s="832">
        <v>0</v>
      </c>
      <c r="W195" s="832">
        <v>0</v>
      </c>
      <c r="X195" s="832">
        <v>0</v>
      </c>
      <c r="Y195" s="832">
        <v>0</v>
      </c>
      <c r="Z195" s="832">
        <v>0</v>
      </c>
      <c r="AA195" s="832">
        <v>0</v>
      </c>
      <c r="AB195" s="832">
        <v>0</v>
      </c>
      <c r="AC195" s="832">
        <v>0</v>
      </c>
      <c r="AD195" s="832">
        <v>0</v>
      </c>
      <c r="AE195" s="832">
        <v>0</v>
      </c>
      <c r="AF195" s="832">
        <v>0</v>
      </c>
      <c r="AG195" s="832">
        <v>0</v>
      </c>
      <c r="AH195" s="832">
        <v>0</v>
      </c>
      <c r="AI195" s="832">
        <v>0</v>
      </c>
      <c r="AJ195" s="1030" t="str">
        <f t="shared" si="12"/>
        <v>H01637</v>
      </c>
      <c r="AK195" s="1030" t="str">
        <f t="shared" si="13"/>
        <v>CARR PRATIQUES COURTOISIE</v>
      </c>
      <c r="AL195" s="1030">
        <f>IFERROR(INDEX(G195:R195,1,MATCH(Parametres!$B$3,G$1:R$1,0)-1)*IF(OR(F195="L",F195="S",F195="I"),-1,1),"")</f>
        <v>0</v>
      </c>
      <c r="AM195" s="1030">
        <f t="shared" si="14"/>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t="str">
        <f t="shared" si="15"/>
        <v>H01637</v>
      </c>
      <c r="AU195" s="599" t="str">
        <f t="shared" si="16"/>
        <v>CARR PRATIQUES COURTOISIE</v>
      </c>
      <c r="AV195" s="1030">
        <f>IFERROR(INDEX(V195:AG195,1,MATCH(Parametres!$B$3,V$1:AG$1,0)-1)*IF(OR(C195="L",C195="S",C195="I"),-1,1),"")</f>
        <v>0</v>
      </c>
      <c r="AW195" s="1030">
        <f t="shared" si="17"/>
        <v>0</v>
      </c>
      <c r="AX195" s="1030">
        <f>INDEX(V195:AG195,1,MATCH(Parametres!$B$3,V$1:AG$1,0))*IF(OR(C195="L",C195="S",C195="I"),-1,1)</f>
        <v>0</v>
      </c>
      <c r="AY195" s="598" t="s">
        <v>337</v>
      </c>
      <c r="AZ195" s="598" t="e">
        <f>+VLOOKUP($AJ195,Data_Validation!$A:$E,5,0)</f>
        <v>#N/A</v>
      </c>
    </row>
    <row r="196" spans="1:52" ht="15" customHeight="1">
      <c r="A196" s="832" t="s">
        <v>1150</v>
      </c>
      <c r="B196" s="832">
        <v>2025</v>
      </c>
      <c r="C196" s="832" t="s">
        <v>1538</v>
      </c>
      <c r="D196" s="832" t="s">
        <v>1539</v>
      </c>
      <c r="E196" s="832" t="s">
        <v>333</v>
      </c>
      <c r="F196" s="832" t="s">
        <v>1119</v>
      </c>
      <c r="G196" s="832">
        <v>0</v>
      </c>
      <c r="H196" s="832">
        <v>0</v>
      </c>
      <c r="I196" s="832">
        <v>0</v>
      </c>
      <c r="J196" s="832">
        <v>0</v>
      </c>
      <c r="K196" s="832">
        <v>0</v>
      </c>
      <c r="L196" s="832">
        <v>0</v>
      </c>
      <c r="M196" s="832">
        <v>0</v>
      </c>
      <c r="N196" s="832">
        <v>0</v>
      </c>
      <c r="O196" s="832">
        <v>0</v>
      </c>
      <c r="P196" s="832">
        <v>0</v>
      </c>
      <c r="Q196" s="832">
        <v>0</v>
      </c>
      <c r="R196" s="832">
        <v>0</v>
      </c>
      <c r="S196" s="832">
        <v>0</v>
      </c>
      <c r="T196" s="832">
        <v>0</v>
      </c>
      <c r="U196" s="832">
        <v>0</v>
      </c>
      <c r="V196" s="832">
        <v>0</v>
      </c>
      <c r="W196" s="832">
        <v>0</v>
      </c>
      <c r="X196" s="832">
        <v>0</v>
      </c>
      <c r="Y196" s="832">
        <v>0</v>
      </c>
      <c r="Z196" s="832">
        <v>0</v>
      </c>
      <c r="AA196" s="832">
        <v>0</v>
      </c>
      <c r="AB196" s="832">
        <v>0</v>
      </c>
      <c r="AC196" s="832">
        <v>0</v>
      </c>
      <c r="AD196" s="832">
        <v>0</v>
      </c>
      <c r="AE196" s="832">
        <v>0</v>
      </c>
      <c r="AF196" s="832">
        <v>0</v>
      </c>
      <c r="AG196" s="832">
        <v>0</v>
      </c>
      <c r="AH196" s="832">
        <v>0</v>
      </c>
      <c r="AI196" s="832">
        <v>0</v>
      </c>
      <c r="AJ196" s="1030" t="str">
        <f t="shared" ref="AJ196:AJ259" si="18">C196</f>
        <v>H01638</v>
      </c>
      <c r="AK196" s="1030" t="str">
        <f t="shared" ref="AK196:AK259" si="19">D196</f>
        <v>CARR PUB-PROMOTION-PCE SV</v>
      </c>
      <c r="AL196" s="1030">
        <f>IFERROR(INDEX(G196:R196,1,MATCH(Parametres!$B$3,G$1:R$1,0)-1)*IF(OR(F196="L",F196="S",F196="I"),-1,1),"")</f>
        <v>0</v>
      </c>
      <c r="AM196" s="1030">
        <f t="shared" ref="AM196:AM259" si="20">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t="str">
        <f t="shared" ref="AT196:AT259" si="21">C196</f>
        <v>H01638</v>
      </c>
      <c r="AU196" s="599" t="str">
        <f t="shared" ref="AU196:AU259" si="22">D196</f>
        <v>CARR PUB-PROMOTION-PCE SV</v>
      </c>
      <c r="AV196" s="1030">
        <f>IFERROR(INDEX(V196:AG196,1,MATCH(Parametres!$B$3,V$1:AG$1,0)-1)*IF(OR(C196="L",C196="S",C196="I"),-1,1),"")</f>
        <v>0</v>
      </c>
      <c r="AW196" s="1030">
        <f t="shared" ref="AW196:AW259" si="23">AX196-N(AV196)</f>
        <v>0</v>
      </c>
      <c r="AX196" s="1030">
        <f>INDEX(V196:AG196,1,MATCH(Parametres!$B$3,V$1:AG$1,0))*IF(OR(C196="L",C196="S",C196="I"),-1,1)</f>
        <v>0</v>
      </c>
      <c r="AY196" s="598" t="s">
        <v>337</v>
      </c>
      <c r="AZ196" s="598" t="e">
        <f>+VLOOKUP($AJ196,Data_Validation!$A:$E,5,0)</f>
        <v>#N/A</v>
      </c>
    </row>
    <row r="197" spans="1:52" ht="15" customHeight="1">
      <c r="A197" s="832" t="s">
        <v>1150</v>
      </c>
      <c r="B197" s="832">
        <v>2025</v>
      </c>
      <c r="C197" s="832" t="s">
        <v>1540</v>
      </c>
      <c r="D197" s="832" t="s">
        <v>1541</v>
      </c>
      <c r="E197" s="832" t="s">
        <v>333</v>
      </c>
      <c r="F197" s="832" t="s">
        <v>1119</v>
      </c>
      <c r="G197" s="832">
        <v>0</v>
      </c>
      <c r="H197" s="832">
        <v>0</v>
      </c>
      <c r="I197" s="832">
        <v>0</v>
      </c>
      <c r="J197" s="832">
        <v>0</v>
      </c>
      <c r="K197" s="832">
        <v>0</v>
      </c>
      <c r="L197" s="832">
        <v>0</v>
      </c>
      <c r="M197" s="832">
        <v>0</v>
      </c>
      <c r="N197" s="832">
        <v>0</v>
      </c>
      <c r="O197" s="832">
        <v>0</v>
      </c>
      <c r="P197" s="832">
        <v>0</v>
      </c>
      <c r="Q197" s="832">
        <v>0</v>
      </c>
      <c r="R197" s="832">
        <v>0</v>
      </c>
      <c r="S197" s="832">
        <v>0</v>
      </c>
      <c r="T197" s="832">
        <v>0</v>
      </c>
      <c r="U197" s="832">
        <v>0</v>
      </c>
      <c r="V197" s="832">
        <v>0</v>
      </c>
      <c r="W197" s="832">
        <v>0</v>
      </c>
      <c r="X197" s="832">
        <v>0</v>
      </c>
      <c r="Y197" s="832">
        <v>0</v>
      </c>
      <c r="Z197" s="832">
        <v>0</v>
      </c>
      <c r="AA197" s="832">
        <v>0</v>
      </c>
      <c r="AB197" s="832">
        <v>0</v>
      </c>
      <c r="AC197" s="832">
        <v>0</v>
      </c>
      <c r="AD197" s="832">
        <v>0</v>
      </c>
      <c r="AE197" s="832">
        <v>0</v>
      </c>
      <c r="AF197" s="832">
        <v>0</v>
      </c>
      <c r="AG197" s="832">
        <v>0</v>
      </c>
      <c r="AH197" s="832">
        <v>0</v>
      </c>
      <c r="AI197" s="832">
        <v>0</v>
      </c>
      <c r="AJ197" s="1030" t="str">
        <f t="shared" si="18"/>
        <v>H01640</v>
      </c>
      <c r="AK197" s="1030" t="str">
        <f t="shared" si="19"/>
        <v>CARR ENT EQUIPEMENT</v>
      </c>
      <c r="AL197" s="1030">
        <f>IFERROR(INDEX(G197:R197,1,MATCH(Parametres!$B$3,G$1:R$1,0)-1)*IF(OR(F197="L",F197="S",F197="I"),-1,1),"")</f>
        <v>0</v>
      </c>
      <c r="AM197" s="1030">
        <f t="shared" si="20"/>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t="str">
        <f t="shared" si="21"/>
        <v>H01640</v>
      </c>
      <c r="AU197" s="599" t="str">
        <f t="shared" si="22"/>
        <v>CARR ENT EQUIPEMENT</v>
      </c>
      <c r="AV197" s="1030">
        <f>IFERROR(INDEX(V197:AG197,1,MATCH(Parametres!$B$3,V$1:AG$1,0)-1)*IF(OR(C197="L",C197="S",C197="I"),-1,1),"")</f>
        <v>0</v>
      </c>
      <c r="AW197" s="1030">
        <f t="shared" si="23"/>
        <v>0</v>
      </c>
      <c r="AX197" s="1030">
        <f>INDEX(V197:AG197,1,MATCH(Parametres!$B$3,V$1:AG$1,0))*IF(OR(C197="L",C197="S",C197="I"),-1,1)</f>
        <v>0</v>
      </c>
      <c r="AY197" s="598" t="s">
        <v>337</v>
      </c>
      <c r="AZ197" s="598" t="e">
        <f>+VLOOKUP($AJ197,Data_Validation!$A:$E,5,0)</f>
        <v>#N/A</v>
      </c>
    </row>
    <row r="198" spans="1:52" ht="15" customHeight="1">
      <c r="A198" s="832" t="s">
        <v>1150</v>
      </c>
      <c r="B198" s="832">
        <v>2025</v>
      </c>
      <c r="C198" s="832" t="s">
        <v>1542</v>
      </c>
      <c r="D198" s="832" t="s">
        <v>1543</v>
      </c>
      <c r="E198" s="832" t="s">
        <v>333</v>
      </c>
      <c r="F198" s="832" t="s">
        <v>1119</v>
      </c>
      <c r="G198" s="832">
        <v>0</v>
      </c>
      <c r="H198" s="832">
        <v>0</v>
      </c>
      <c r="I198" s="832">
        <v>0</v>
      </c>
      <c r="J198" s="832">
        <v>0</v>
      </c>
      <c r="K198" s="832">
        <v>0</v>
      </c>
      <c r="L198" s="832">
        <v>0</v>
      </c>
      <c r="M198" s="832">
        <v>0</v>
      </c>
      <c r="N198" s="832">
        <v>0</v>
      </c>
      <c r="O198" s="832">
        <v>0</v>
      </c>
      <c r="P198" s="832">
        <v>0</v>
      </c>
      <c r="Q198" s="832">
        <v>0</v>
      </c>
      <c r="R198" s="832">
        <v>0</v>
      </c>
      <c r="S198" s="832">
        <v>0</v>
      </c>
      <c r="T198" s="832">
        <v>0</v>
      </c>
      <c r="U198" s="832">
        <v>0</v>
      </c>
      <c r="V198" s="832">
        <v>0</v>
      </c>
      <c r="W198" s="832">
        <v>0</v>
      </c>
      <c r="X198" s="832">
        <v>0</v>
      </c>
      <c r="Y198" s="832">
        <v>0</v>
      </c>
      <c r="Z198" s="832">
        <v>0</v>
      </c>
      <c r="AA198" s="832">
        <v>0</v>
      </c>
      <c r="AB198" s="832">
        <v>0</v>
      </c>
      <c r="AC198" s="832">
        <v>0</v>
      </c>
      <c r="AD198" s="832">
        <v>0</v>
      </c>
      <c r="AE198" s="832">
        <v>0</v>
      </c>
      <c r="AF198" s="832">
        <v>0</v>
      </c>
      <c r="AG198" s="832">
        <v>0</v>
      </c>
      <c r="AH198" s="832">
        <v>0</v>
      </c>
      <c r="AI198" s="832">
        <v>0</v>
      </c>
      <c r="AJ198" s="1030" t="str">
        <f t="shared" si="18"/>
        <v>H01641</v>
      </c>
      <c r="AK198" s="1030" t="str">
        <f t="shared" si="19"/>
        <v>CARR VEH DE SERVITUDE</v>
      </c>
      <c r="AL198" s="1030">
        <f>IFERROR(INDEX(G198:R198,1,MATCH(Parametres!$B$3,G$1:R$1,0)-1)*IF(OR(F198="L",F198="S",F198="I"),-1,1),"")</f>
        <v>0</v>
      </c>
      <c r="AM198" s="1030">
        <f t="shared" si="20"/>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t="str">
        <f t="shared" si="21"/>
        <v>H01641</v>
      </c>
      <c r="AU198" s="599" t="str">
        <f t="shared" si="22"/>
        <v>CARR VEH DE SERVITUDE</v>
      </c>
      <c r="AV198" s="1030">
        <f>IFERROR(INDEX(V198:AG198,1,MATCH(Parametres!$B$3,V$1:AG$1,0)-1)*IF(OR(C198="L",C198="S",C198="I"),-1,1),"")</f>
        <v>0</v>
      </c>
      <c r="AW198" s="1030">
        <f t="shared" si="23"/>
        <v>0</v>
      </c>
      <c r="AX198" s="1030">
        <f>INDEX(V198:AG198,1,MATCH(Parametres!$B$3,V$1:AG$1,0))*IF(OR(C198="L",C198="S",C198="I"),-1,1)</f>
        <v>0</v>
      </c>
      <c r="AY198" s="598" t="s">
        <v>337</v>
      </c>
      <c r="AZ198" s="598" t="e">
        <f>+VLOOKUP($AJ198,Data_Validation!$A:$E,5,0)</f>
        <v>#N/A</v>
      </c>
    </row>
    <row r="199" spans="1:52" ht="15.75" customHeight="1">
      <c r="A199" s="832" t="s">
        <v>1150</v>
      </c>
      <c r="B199" s="832">
        <v>2025</v>
      </c>
      <c r="C199" s="832" t="s">
        <v>1544</v>
      </c>
      <c r="D199" s="832" t="s">
        <v>1545</v>
      </c>
      <c r="E199" s="832" t="s">
        <v>333</v>
      </c>
      <c r="F199" s="832" t="s">
        <v>1119</v>
      </c>
      <c r="G199" s="832">
        <v>0</v>
      </c>
      <c r="H199" s="832">
        <v>0</v>
      </c>
      <c r="I199" s="832">
        <v>0</v>
      </c>
      <c r="J199" s="832">
        <v>0</v>
      </c>
      <c r="K199" s="832">
        <v>0</v>
      </c>
      <c r="L199" s="832">
        <v>0</v>
      </c>
      <c r="M199" s="832">
        <v>0</v>
      </c>
      <c r="N199" s="832">
        <v>0</v>
      </c>
      <c r="O199" s="832">
        <v>0</v>
      </c>
      <c r="P199" s="832">
        <v>0</v>
      </c>
      <c r="Q199" s="832">
        <v>0</v>
      </c>
      <c r="R199" s="832">
        <v>0</v>
      </c>
      <c r="S199" s="832">
        <v>0</v>
      </c>
      <c r="T199" s="832">
        <v>0</v>
      </c>
      <c r="U199" s="832">
        <v>0</v>
      </c>
      <c r="V199" s="832">
        <v>0</v>
      </c>
      <c r="W199" s="832">
        <v>0</v>
      </c>
      <c r="X199" s="832">
        <v>0</v>
      </c>
      <c r="Y199" s="832">
        <v>0</v>
      </c>
      <c r="Z199" s="832">
        <v>0</v>
      </c>
      <c r="AA199" s="832">
        <v>0</v>
      </c>
      <c r="AB199" s="832">
        <v>0</v>
      </c>
      <c r="AC199" s="832">
        <v>0</v>
      </c>
      <c r="AD199" s="832">
        <v>0</v>
      </c>
      <c r="AE199" s="832">
        <v>0</v>
      </c>
      <c r="AF199" s="832">
        <v>0</v>
      </c>
      <c r="AG199" s="832">
        <v>0</v>
      </c>
      <c r="AH199" s="832">
        <v>0</v>
      </c>
      <c r="AI199" s="832">
        <v>0</v>
      </c>
      <c r="AJ199" s="1030" t="str">
        <f t="shared" si="18"/>
        <v>H01643</v>
      </c>
      <c r="AK199" s="1030" t="str">
        <f t="shared" si="19"/>
        <v>CARR EQUIPMENT RENTAL</v>
      </c>
      <c r="AL199" s="1030">
        <f>IFERROR(INDEX(G199:R199,1,MATCH(Parametres!$B$3,G$1:R$1,0)-1)*IF(OR(F199="L",F199="S",F199="I"),-1,1),"")</f>
        <v>0</v>
      </c>
      <c r="AM199" s="1030">
        <f t="shared" si="20"/>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t="str">
        <f t="shared" si="21"/>
        <v>H01643</v>
      </c>
      <c r="AU199" s="599" t="str">
        <f t="shared" si="22"/>
        <v>CARR EQUIPMENT RENTAL</v>
      </c>
      <c r="AV199" s="1030">
        <f>IFERROR(INDEX(V199:AG199,1,MATCH(Parametres!$B$3,V$1:AG$1,0)-1)*IF(OR(C199="L",C199="S",C199="I"),-1,1),"")</f>
        <v>0</v>
      </c>
      <c r="AW199" s="1030">
        <f t="shared" si="23"/>
        <v>0</v>
      </c>
      <c r="AX199" s="1030">
        <f>INDEX(V199:AG199,1,MATCH(Parametres!$B$3,V$1:AG$1,0))*IF(OR(C199="L",C199="S",C199="I"),-1,1)</f>
        <v>0</v>
      </c>
      <c r="AY199" s="598" t="s">
        <v>337</v>
      </c>
      <c r="AZ199" s="598" t="e">
        <f>+VLOOKUP($AJ199,Data_Validation!$A:$E,5,0)</f>
        <v>#N/A</v>
      </c>
    </row>
    <row r="200" spans="1:52" ht="15" customHeight="1">
      <c r="A200" s="832" t="s">
        <v>1150</v>
      </c>
      <c r="B200" s="832">
        <v>2025</v>
      </c>
      <c r="C200" s="832" t="s">
        <v>1546</v>
      </c>
      <c r="D200" s="832" t="s">
        <v>1547</v>
      </c>
      <c r="E200" s="832" t="s">
        <v>333</v>
      </c>
      <c r="F200" s="832" t="s">
        <v>1119</v>
      </c>
      <c r="G200" s="832">
        <v>0</v>
      </c>
      <c r="H200" s="832">
        <v>0</v>
      </c>
      <c r="I200" s="832">
        <v>0</v>
      </c>
      <c r="J200" s="832">
        <v>0</v>
      </c>
      <c r="K200" s="832">
        <v>0</v>
      </c>
      <c r="L200" s="832">
        <v>0</v>
      </c>
      <c r="M200" s="832">
        <v>0</v>
      </c>
      <c r="N200" s="832">
        <v>0</v>
      </c>
      <c r="O200" s="832">
        <v>0</v>
      </c>
      <c r="P200" s="832">
        <v>0</v>
      </c>
      <c r="Q200" s="832">
        <v>0</v>
      </c>
      <c r="R200" s="832">
        <v>0</v>
      </c>
      <c r="S200" s="832">
        <v>0</v>
      </c>
      <c r="T200" s="832">
        <v>0</v>
      </c>
      <c r="U200" s="832">
        <v>0</v>
      </c>
      <c r="V200" s="832">
        <v>0</v>
      </c>
      <c r="W200" s="832">
        <v>0</v>
      </c>
      <c r="X200" s="832">
        <v>0</v>
      </c>
      <c r="Y200" s="832">
        <v>0</v>
      </c>
      <c r="Z200" s="832">
        <v>0</v>
      </c>
      <c r="AA200" s="832">
        <v>0</v>
      </c>
      <c r="AB200" s="832">
        <v>0</v>
      </c>
      <c r="AC200" s="832">
        <v>0</v>
      </c>
      <c r="AD200" s="832">
        <v>0</v>
      </c>
      <c r="AE200" s="832">
        <v>0</v>
      </c>
      <c r="AF200" s="832">
        <v>0</v>
      </c>
      <c r="AG200" s="832">
        <v>0</v>
      </c>
      <c r="AH200" s="832">
        <v>0</v>
      </c>
      <c r="AI200" s="832">
        <v>0</v>
      </c>
      <c r="AJ200" s="1030" t="str">
        <f t="shared" si="18"/>
        <v>H01644</v>
      </c>
      <c r="AK200" s="1030" t="str">
        <f t="shared" si="19"/>
        <v>CARR TRAITEMENT DONNEES</v>
      </c>
      <c r="AL200" s="1030">
        <f>IFERROR(INDEX(G200:R200,1,MATCH(Parametres!$B$3,G$1:R$1,0)-1)*IF(OR(F200="L",F200="S",F200="I"),-1,1),"")</f>
        <v>0</v>
      </c>
      <c r="AM200" s="1030">
        <f t="shared" si="20"/>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t="str">
        <f t="shared" si="21"/>
        <v>H01644</v>
      </c>
      <c r="AU200" s="599" t="str">
        <f t="shared" si="22"/>
        <v>CARR TRAITEMENT DONNEES</v>
      </c>
      <c r="AV200" s="1030">
        <f>IFERROR(INDEX(V200:AG200,1,MATCH(Parametres!$B$3,V$1:AG$1,0)-1)*IF(OR(C200="L",C200="S",C200="I"),-1,1),"")</f>
        <v>0</v>
      </c>
      <c r="AW200" s="1030">
        <f t="shared" si="23"/>
        <v>0</v>
      </c>
      <c r="AX200" s="1030">
        <f>INDEX(V200:AG200,1,MATCH(Parametres!$B$3,V$1:AG$1,0))*IF(OR(C200="L",C200="S",C200="I"),-1,1)</f>
        <v>0</v>
      </c>
      <c r="AY200" s="598" t="s">
        <v>337</v>
      </c>
      <c r="AZ200" s="598" t="e">
        <f>+VLOOKUP($AJ200,Data_Validation!$A:$E,5,0)</f>
        <v>#N/A</v>
      </c>
    </row>
    <row r="201" spans="1:52" ht="15" customHeight="1">
      <c r="A201" s="832" t="s">
        <v>1150</v>
      </c>
      <c r="B201" s="832">
        <v>2025</v>
      </c>
      <c r="C201" s="832" t="s">
        <v>1548</v>
      </c>
      <c r="D201" s="832" t="s">
        <v>1549</v>
      </c>
      <c r="E201" s="832" t="s">
        <v>333</v>
      </c>
      <c r="F201" s="832" t="s">
        <v>1119</v>
      </c>
      <c r="G201" s="832">
        <v>0</v>
      </c>
      <c r="H201" s="832">
        <v>0</v>
      </c>
      <c r="I201" s="832">
        <v>0</v>
      </c>
      <c r="J201" s="832">
        <v>0</v>
      </c>
      <c r="K201" s="832">
        <v>0</v>
      </c>
      <c r="L201" s="832">
        <v>0</v>
      </c>
      <c r="M201" s="832">
        <v>0</v>
      </c>
      <c r="N201" s="832">
        <v>0</v>
      </c>
      <c r="O201" s="832">
        <v>0</v>
      </c>
      <c r="P201" s="832">
        <v>0</v>
      </c>
      <c r="Q201" s="832">
        <v>0</v>
      </c>
      <c r="R201" s="832">
        <v>0</v>
      </c>
      <c r="S201" s="832">
        <v>0</v>
      </c>
      <c r="T201" s="832">
        <v>0</v>
      </c>
      <c r="U201" s="832">
        <v>0</v>
      </c>
      <c r="V201" s="832">
        <v>0</v>
      </c>
      <c r="W201" s="832">
        <v>0</v>
      </c>
      <c r="X201" s="832">
        <v>0</v>
      </c>
      <c r="Y201" s="832">
        <v>0</v>
      </c>
      <c r="Z201" s="832">
        <v>0</v>
      </c>
      <c r="AA201" s="832">
        <v>0</v>
      </c>
      <c r="AB201" s="832">
        <v>0</v>
      </c>
      <c r="AC201" s="832">
        <v>0</v>
      </c>
      <c r="AD201" s="832">
        <v>0</v>
      </c>
      <c r="AE201" s="832">
        <v>0</v>
      </c>
      <c r="AF201" s="832">
        <v>0</v>
      </c>
      <c r="AG201" s="832">
        <v>0</v>
      </c>
      <c r="AH201" s="832">
        <v>0</v>
      </c>
      <c r="AI201" s="832">
        <v>0</v>
      </c>
      <c r="AJ201" s="1030" t="str">
        <f t="shared" si="18"/>
        <v>H01646</v>
      </c>
      <c r="AK201" s="1030" t="str">
        <f t="shared" si="19"/>
        <v>CARR DEPLACEMENT-REPRESEN</v>
      </c>
      <c r="AL201" s="1030">
        <f>IFERROR(INDEX(G201:R201,1,MATCH(Parametres!$B$3,G$1:R$1,0)-1)*IF(OR(F201="L",F201="S",F201="I"),-1,1),"")</f>
        <v>0</v>
      </c>
      <c r="AM201" s="1030">
        <f t="shared" si="20"/>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t="str">
        <f t="shared" si="21"/>
        <v>H01646</v>
      </c>
      <c r="AU201" s="599" t="str">
        <f t="shared" si="22"/>
        <v>CARR DEPLACEMENT-REPRESEN</v>
      </c>
      <c r="AV201" s="1030">
        <f>IFERROR(INDEX(V201:AG201,1,MATCH(Parametres!$B$3,V$1:AG$1,0)-1)*IF(OR(C201="L",C201="S",C201="I"),-1,1),"")</f>
        <v>0</v>
      </c>
      <c r="AW201" s="1030">
        <f t="shared" si="23"/>
        <v>0</v>
      </c>
      <c r="AX201" s="1030">
        <f>INDEX(V201:AG201,1,MATCH(Parametres!$B$3,V$1:AG$1,0))*IF(OR(C201="L",C201="S",C201="I"),-1,1)</f>
        <v>0</v>
      </c>
      <c r="AY201" s="598" t="s">
        <v>337</v>
      </c>
      <c r="AZ201" s="598" t="e">
        <f>+VLOOKUP($AJ201,Data_Validation!$A:$E,5,0)</f>
        <v>#N/A</v>
      </c>
    </row>
    <row r="202" spans="1:52" ht="15" customHeight="1">
      <c r="A202" s="832" t="s">
        <v>1150</v>
      </c>
      <c r="B202" s="832">
        <v>2025</v>
      </c>
      <c r="C202" s="832" t="s">
        <v>1550</v>
      </c>
      <c r="D202" s="832" t="s">
        <v>1551</v>
      </c>
      <c r="E202" s="832" t="s">
        <v>333</v>
      </c>
      <c r="F202" s="832" t="s">
        <v>1119</v>
      </c>
      <c r="G202" s="832">
        <v>0</v>
      </c>
      <c r="H202" s="832">
        <v>0</v>
      </c>
      <c r="I202" s="832">
        <v>0</v>
      </c>
      <c r="J202" s="832">
        <v>0</v>
      </c>
      <c r="K202" s="832">
        <v>0</v>
      </c>
      <c r="L202" s="832">
        <v>0</v>
      </c>
      <c r="M202" s="832">
        <v>0</v>
      </c>
      <c r="N202" s="832">
        <v>0</v>
      </c>
      <c r="O202" s="832">
        <v>0</v>
      </c>
      <c r="P202" s="832">
        <v>0</v>
      </c>
      <c r="Q202" s="832">
        <v>0</v>
      </c>
      <c r="R202" s="832">
        <v>0</v>
      </c>
      <c r="S202" s="832">
        <v>0</v>
      </c>
      <c r="T202" s="832">
        <v>0</v>
      </c>
      <c r="U202" s="832">
        <v>0</v>
      </c>
      <c r="V202" s="832">
        <v>0</v>
      </c>
      <c r="W202" s="832">
        <v>0</v>
      </c>
      <c r="X202" s="832">
        <v>0</v>
      </c>
      <c r="Y202" s="832">
        <v>0</v>
      </c>
      <c r="Z202" s="832">
        <v>0</v>
      </c>
      <c r="AA202" s="832">
        <v>0</v>
      </c>
      <c r="AB202" s="832">
        <v>0</v>
      </c>
      <c r="AC202" s="832">
        <v>0</v>
      </c>
      <c r="AD202" s="832">
        <v>0</v>
      </c>
      <c r="AE202" s="832">
        <v>0</v>
      </c>
      <c r="AF202" s="832">
        <v>0</v>
      </c>
      <c r="AG202" s="832">
        <v>0</v>
      </c>
      <c r="AH202" s="832">
        <v>0</v>
      </c>
      <c r="AI202" s="832">
        <v>0</v>
      </c>
      <c r="AJ202" s="1030" t="str">
        <f t="shared" si="18"/>
        <v>H01647</v>
      </c>
      <c r="AK202" s="1030" t="str">
        <f t="shared" si="19"/>
        <v>CARR TELEPHONE-TELEGRAMME</v>
      </c>
      <c r="AL202" s="1030">
        <f>IFERROR(INDEX(G202:R202,1,MATCH(Parametres!$B$3,G$1:R$1,0)-1)*IF(OR(F202="L",F202="S",F202="I"),-1,1),"")</f>
        <v>0</v>
      </c>
      <c r="AM202" s="1030">
        <f t="shared" si="20"/>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t="str">
        <f t="shared" si="21"/>
        <v>H01647</v>
      </c>
      <c r="AU202" s="599" t="str">
        <f t="shared" si="22"/>
        <v>CARR TELEPHONE-TELEGRAMME</v>
      </c>
      <c r="AV202" s="1030">
        <f>IFERROR(INDEX(V202:AG202,1,MATCH(Parametres!$B$3,V$1:AG$1,0)-1)*IF(OR(C202="L",C202="S",C202="I"),-1,1),"")</f>
        <v>0</v>
      </c>
      <c r="AW202" s="1030">
        <f t="shared" si="23"/>
        <v>0</v>
      </c>
      <c r="AX202" s="1030">
        <f>INDEX(V202:AG202,1,MATCH(Parametres!$B$3,V$1:AG$1,0))*IF(OR(C202="L",C202="S",C202="I"),-1,1)</f>
        <v>0</v>
      </c>
      <c r="AY202" s="598" t="s">
        <v>337</v>
      </c>
      <c r="AZ202" s="598" t="e">
        <f>+VLOOKUP($AJ202,Data_Validation!$A:$E,5,0)</f>
        <v>#N/A</v>
      </c>
    </row>
    <row r="203" spans="1:52" ht="15" customHeight="1">
      <c r="A203" s="832" t="s">
        <v>1150</v>
      </c>
      <c r="B203" s="832">
        <v>2025</v>
      </c>
      <c r="C203" s="832" t="s">
        <v>1552</v>
      </c>
      <c r="D203" s="832" t="s">
        <v>1553</v>
      </c>
      <c r="E203" s="832" t="s">
        <v>333</v>
      </c>
      <c r="F203" s="832" t="s">
        <v>1119</v>
      </c>
      <c r="G203" s="832">
        <v>0</v>
      </c>
      <c r="H203" s="832">
        <v>0</v>
      </c>
      <c r="I203" s="832">
        <v>0</v>
      </c>
      <c r="J203" s="832">
        <v>0</v>
      </c>
      <c r="K203" s="832">
        <v>0</v>
      </c>
      <c r="L203" s="832">
        <v>0</v>
      </c>
      <c r="M203" s="832">
        <v>0</v>
      </c>
      <c r="N203" s="832">
        <v>0</v>
      </c>
      <c r="O203" s="832">
        <v>0</v>
      </c>
      <c r="P203" s="832">
        <v>0</v>
      </c>
      <c r="Q203" s="832">
        <v>0</v>
      </c>
      <c r="R203" s="832">
        <v>0</v>
      </c>
      <c r="S203" s="832">
        <v>0</v>
      </c>
      <c r="T203" s="832">
        <v>0</v>
      </c>
      <c r="U203" s="832">
        <v>0</v>
      </c>
      <c r="V203" s="832">
        <v>0</v>
      </c>
      <c r="W203" s="832">
        <v>0</v>
      </c>
      <c r="X203" s="832">
        <v>0</v>
      </c>
      <c r="Y203" s="832">
        <v>0</v>
      </c>
      <c r="Z203" s="832">
        <v>0</v>
      </c>
      <c r="AA203" s="832">
        <v>0</v>
      </c>
      <c r="AB203" s="832">
        <v>0</v>
      </c>
      <c r="AC203" s="832">
        <v>0</v>
      </c>
      <c r="AD203" s="832">
        <v>0</v>
      </c>
      <c r="AE203" s="832">
        <v>0</v>
      </c>
      <c r="AF203" s="832">
        <v>0</v>
      </c>
      <c r="AG203" s="832">
        <v>0</v>
      </c>
      <c r="AH203" s="832">
        <v>0</v>
      </c>
      <c r="AI203" s="832">
        <v>0</v>
      </c>
      <c r="AJ203" s="1030" t="str">
        <f t="shared" si="18"/>
        <v>H01648</v>
      </c>
      <c r="AK203" s="1030" t="str">
        <f t="shared" si="19"/>
        <v>CARR FRAIS POSTAUX</v>
      </c>
      <c r="AL203" s="1030">
        <f>IFERROR(INDEX(G203:R203,1,MATCH(Parametres!$B$3,G$1:R$1,0)-1)*IF(OR(F203="L",F203="S",F203="I"),-1,1),"")</f>
        <v>0</v>
      </c>
      <c r="AM203" s="1030">
        <f t="shared" si="20"/>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t="str">
        <f t="shared" si="21"/>
        <v>H01648</v>
      </c>
      <c r="AU203" s="599" t="str">
        <f t="shared" si="22"/>
        <v>CARR FRAIS POSTAUX</v>
      </c>
      <c r="AV203" s="1030">
        <f>IFERROR(INDEX(V203:AG203,1,MATCH(Parametres!$B$3,V$1:AG$1,0)-1)*IF(OR(C203="L",C203="S",C203="I"),-1,1),"")</f>
        <v>0</v>
      </c>
      <c r="AW203" s="1030">
        <f t="shared" si="23"/>
        <v>0</v>
      </c>
      <c r="AX203" s="1030">
        <f>INDEX(V203:AG203,1,MATCH(Parametres!$B$3,V$1:AG$1,0))*IF(OR(C203="L",C203="S",C203="I"),-1,1)</f>
        <v>0</v>
      </c>
      <c r="AY203" s="598" t="s">
        <v>337</v>
      </c>
      <c r="AZ203" s="598" t="e">
        <f>+VLOOKUP($AJ203,Data_Validation!$A:$E,5,0)</f>
        <v>#N/A</v>
      </c>
    </row>
    <row r="204" spans="1:52" ht="15" customHeight="1">
      <c r="A204" s="832" t="s">
        <v>1150</v>
      </c>
      <c r="B204" s="832">
        <v>2025</v>
      </c>
      <c r="C204" s="832" t="s">
        <v>1554</v>
      </c>
      <c r="D204" s="832" t="s">
        <v>1555</v>
      </c>
      <c r="E204" s="832" t="s">
        <v>333</v>
      </c>
      <c r="F204" s="832" t="s">
        <v>1119</v>
      </c>
      <c r="G204" s="832">
        <v>0</v>
      </c>
      <c r="H204" s="832">
        <v>0</v>
      </c>
      <c r="I204" s="832">
        <v>0</v>
      </c>
      <c r="J204" s="832">
        <v>0</v>
      </c>
      <c r="K204" s="832">
        <v>0</v>
      </c>
      <c r="L204" s="832">
        <v>0</v>
      </c>
      <c r="M204" s="832">
        <v>0</v>
      </c>
      <c r="N204" s="832">
        <v>0</v>
      </c>
      <c r="O204" s="832">
        <v>0</v>
      </c>
      <c r="P204" s="832">
        <v>0</v>
      </c>
      <c r="Q204" s="832">
        <v>0</v>
      </c>
      <c r="R204" s="832">
        <v>0</v>
      </c>
      <c r="S204" s="832">
        <v>0</v>
      </c>
      <c r="T204" s="832">
        <v>0</v>
      </c>
      <c r="U204" s="832">
        <v>0</v>
      </c>
      <c r="V204" s="832">
        <v>0</v>
      </c>
      <c r="W204" s="832">
        <v>0</v>
      </c>
      <c r="X204" s="832">
        <v>0</v>
      </c>
      <c r="Y204" s="832">
        <v>0</v>
      </c>
      <c r="Z204" s="832">
        <v>0</v>
      </c>
      <c r="AA204" s="832">
        <v>0</v>
      </c>
      <c r="AB204" s="832">
        <v>0</v>
      </c>
      <c r="AC204" s="832">
        <v>0</v>
      </c>
      <c r="AD204" s="832">
        <v>0</v>
      </c>
      <c r="AE204" s="832">
        <v>0</v>
      </c>
      <c r="AF204" s="832">
        <v>0</v>
      </c>
      <c r="AG204" s="832">
        <v>0</v>
      </c>
      <c r="AH204" s="832">
        <v>0</v>
      </c>
      <c r="AI204" s="832">
        <v>0</v>
      </c>
      <c r="AJ204" s="1030" t="str">
        <f t="shared" si="18"/>
        <v>H01652</v>
      </c>
      <c r="AK204" s="1030" t="str">
        <f t="shared" si="19"/>
        <v>CARR FRAIS DIVERS</v>
      </c>
      <c r="AL204" s="1030">
        <f>IFERROR(INDEX(G204:R204,1,MATCH(Parametres!$B$3,G$1:R$1,0)-1)*IF(OR(F204="L",F204="S",F204="I"),-1,1),"")</f>
        <v>0</v>
      </c>
      <c r="AM204" s="1030">
        <f t="shared" si="20"/>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t="str">
        <f t="shared" si="21"/>
        <v>H01652</v>
      </c>
      <c r="AU204" s="599" t="str">
        <f t="shared" si="22"/>
        <v>CARR FRAIS DIVERS</v>
      </c>
      <c r="AV204" s="1030">
        <f>IFERROR(INDEX(V204:AG204,1,MATCH(Parametres!$B$3,V$1:AG$1,0)-1)*IF(OR(C204="L",C204="S",C204="I"),-1,1),"")</f>
        <v>0</v>
      </c>
      <c r="AW204" s="1030">
        <f t="shared" si="23"/>
        <v>0</v>
      </c>
      <c r="AX204" s="1030">
        <f>INDEX(V204:AG204,1,MATCH(Parametres!$B$3,V$1:AG$1,0))*IF(OR(C204="L",C204="S",C204="I"),-1,1)</f>
        <v>0</v>
      </c>
      <c r="AY204" s="598" t="s">
        <v>337</v>
      </c>
      <c r="AZ204" s="598" t="e">
        <f>+VLOOKUP($AJ204,Data_Validation!$A:$E,5,0)</f>
        <v>#N/A</v>
      </c>
    </row>
    <row r="205" spans="1:52" ht="15" customHeight="1">
      <c r="A205" s="832" t="s">
        <v>1150</v>
      </c>
      <c r="B205" s="832">
        <v>2025</v>
      </c>
      <c r="C205" s="832" t="s">
        <v>1556</v>
      </c>
      <c r="D205" s="832" t="s">
        <v>1557</v>
      </c>
      <c r="E205" s="832" t="s">
        <v>333</v>
      </c>
      <c r="F205" s="832" t="s">
        <v>1119</v>
      </c>
      <c r="G205" s="832">
        <v>0</v>
      </c>
      <c r="H205" s="832">
        <v>0</v>
      </c>
      <c r="I205" s="832">
        <v>0</v>
      </c>
      <c r="J205" s="832">
        <v>0</v>
      </c>
      <c r="K205" s="832">
        <v>0</v>
      </c>
      <c r="L205" s="832">
        <v>0</v>
      </c>
      <c r="M205" s="832">
        <v>0</v>
      </c>
      <c r="N205" s="832">
        <v>0</v>
      </c>
      <c r="O205" s="832">
        <v>0</v>
      </c>
      <c r="P205" s="832">
        <v>0</v>
      </c>
      <c r="Q205" s="832">
        <v>0</v>
      </c>
      <c r="R205" s="832">
        <v>0</v>
      </c>
      <c r="S205" s="832">
        <v>0</v>
      </c>
      <c r="T205" s="832">
        <v>0</v>
      </c>
      <c r="U205" s="832">
        <v>0</v>
      </c>
      <c r="V205" s="832">
        <v>0</v>
      </c>
      <c r="W205" s="832">
        <v>0</v>
      </c>
      <c r="X205" s="832">
        <v>0</v>
      </c>
      <c r="Y205" s="832">
        <v>0</v>
      </c>
      <c r="Z205" s="832">
        <v>0</v>
      </c>
      <c r="AA205" s="832">
        <v>0</v>
      </c>
      <c r="AB205" s="832">
        <v>0</v>
      </c>
      <c r="AC205" s="832">
        <v>0</v>
      </c>
      <c r="AD205" s="832">
        <v>0</v>
      </c>
      <c r="AE205" s="832">
        <v>0</v>
      </c>
      <c r="AF205" s="832">
        <v>0</v>
      </c>
      <c r="AG205" s="832">
        <v>0</v>
      </c>
      <c r="AH205" s="832">
        <v>0</v>
      </c>
      <c r="AI205" s="832">
        <v>0</v>
      </c>
      <c r="AJ205" s="1030" t="str">
        <f t="shared" si="18"/>
        <v>H01660</v>
      </c>
      <c r="AK205" s="1030" t="str">
        <f t="shared" si="19"/>
        <v>CARR LOYER INT HYPOTH.</v>
      </c>
      <c r="AL205" s="1030">
        <f>IFERROR(INDEX(G205:R205,1,MATCH(Parametres!$B$3,G$1:R$1,0)-1)*IF(OR(F205="L",F205="S",F205="I"),-1,1),"")</f>
        <v>0</v>
      </c>
      <c r="AM205" s="1030">
        <f t="shared" si="20"/>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t="str">
        <f t="shared" si="21"/>
        <v>H01660</v>
      </c>
      <c r="AU205" s="599" t="str">
        <f t="shared" si="22"/>
        <v>CARR LOYER INT HYPOTH.</v>
      </c>
      <c r="AV205" s="1030">
        <f>IFERROR(INDEX(V205:AG205,1,MATCH(Parametres!$B$3,V$1:AG$1,0)-1)*IF(OR(C205="L",C205="S",C205="I"),-1,1),"")</f>
        <v>0</v>
      </c>
      <c r="AW205" s="1030">
        <f t="shared" si="23"/>
        <v>0</v>
      </c>
      <c r="AX205" s="1030">
        <f>INDEX(V205:AG205,1,MATCH(Parametres!$B$3,V$1:AG$1,0))*IF(OR(C205="L",C205="S",C205="I"),-1,1)</f>
        <v>0</v>
      </c>
      <c r="AY205" s="598" t="s">
        <v>337</v>
      </c>
      <c r="AZ205" s="598" t="e">
        <f>+VLOOKUP($AJ205,Data_Validation!$A:$E,5,0)</f>
        <v>#N/A</v>
      </c>
    </row>
    <row r="206" spans="1:52" ht="15.75" customHeight="1">
      <c r="A206" s="832" t="s">
        <v>1150</v>
      </c>
      <c r="B206" s="832">
        <v>2025</v>
      </c>
      <c r="C206" s="832" t="s">
        <v>1558</v>
      </c>
      <c r="D206" s="832" t="s">
        <v>1559</v>
      </c>
      <c r="E206" s="832" t="s">
        <v>333</v>
      </c>
      <c r="F206" s="832" t="s">
        <v>1119</v>
      </c>
      <c r="G206" s="832">
        <v>0</v>
      </c>
      <c r="H206" s="832">
        <v>0</v>
      </c>
      <c r="I206" s="832">
        <v>0</v>
      </c>
      <c r="J206" s="832">
        <v>0</v>
      </c>
      <c r="K206" s="832">
        <v>0</v>
      </c>
      <c r="L206" s="832">
        <v>0</v>
      </c>
      <c r="M206" s="832">
        <v>0</v>
      </c>
      <c r="N206" s="832">
        <v>0</v>
      </c>
      <c r="O206" s="832">
        <v>0</v>
      </c>
      <c r="P206" s="832">
        <v>0</v>
      </c>
      <c r="Q206" s="832">
        <v>0</v>
      </c>
      <c r="R206" s="832">
        <v>0</v>
      </c>
      <c r="S206" s="832">
        <v>0</v>
      </c>
      <c r="T206" s="832">
        <v>0</v>
      </c>
      <c r="U206" s="832">
        <v>0</v>
      </c>
      <c r="V206" s="832">
        <v>0</v>
      </c>
      <c r="W206" s="832">
        <v>0</v>
      </c>
      <c r="X206" s="832">
        <v>0</v>
      </c>
      <c r="Y206" s="832">
        <v>0</v>
      </c>
      <c r="Z206" s="832">
        <v>0</v>
      </c>
      <c r="AA206" s="832">
        <v>0</v>
      </c>
      <c r="AB206" s="832">
        <v>0</v>
      </c>
      <c r="AC206" s="832">
        <v>0</v>
      </c>
      <c r="AD206" s="832">
        <v>0</v>
      </c>
      <c r="AE206" s="832">
        <v>0</v>
      </c>
      <c r="AF206" s="832">
        <v>0</v>
      </c>
      <c r="AG206" s="832">
        <v>0</v>
      </c>
      <c r="AH206" s="832">
        <v>0</v>
      </c>
      <c r="AI206" s="832">
        <v>0</v>
      </c>
      <c r="AJ206" s="1030" t="str">
        <f t="shared" si="18"/>
        <v>H01661</v>
      </c>
      <c r="AK206" s="1030" t="str">
        <f t="shared" si="19"/>
        <v>CARR AMORT AMELIOR  LOC</v>
      </c>
      <c r="AL206" s="1030">
        <f>IFERROR(INDEX(G206:R206,1,MATCH(Parametres!$B$3,G$1:R$1,0)-1)*IF(OR(F206="L",F206="S",F206="I"),-1,1),"")</f>
        <v>0</v>
      </c>
      <c r="AM206" s="1030">
        <f t="shared" si="20"/>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t="str">
        <f t="shared" si="21"/>
        <v>H01661</v>
      </c>
      <c r="AU206" s="599" t="str">
        <f t="shared" si="22"/>
        <v>CARR AMORT AMELIOR  LOC</v>
      </c>
      <c r="AV206" s="1030">
        <f>IFERROR(INDEX(V206:AG206,1,MATCH(Parametres!$B$3,V$1:AG$1,0)-1)*IF(OR(C206="L",C206="S",C206="I"),-1,1),"")</f>
        <v>0</v>
      </c>
      <c r="AW206" s="1030">
        <f t="shared" si="23"/>
        <v>0</v>
      </c>
      <c r="AX206" s="1030">
        <f>INDEX(V206:AG206,1,MATCH(Parametres!$B$3,V$1:AG$1,0))*IF(OR(C206="L",C206="S",C206="I"),-1,1)</f>
        <v>0</v>
      </c>
      <c r="AY206" s="598" t="s">
        <v>337</v>
      </c>
      <c r="AZ206" s="598" t="e">
        <f>+VLOOKUP($AJ206,Data_Validation!$A:$E,5,0)</f>
        <v>#N/A</v>
      </c>
    </row>
    <row r="207" spans="1:52" ht="15" customHeight="1">
      <c r="A207" s="832" t="s">
        <v>1150</v>
      </c>
      <c r="B207" s="832">
        <v>2025</v>
      </c>
      <c r="C207" s="832" t="s">
        <v>1560</v>
      </c>
      <c r="D207" s="832" t="s">
        <v>1561</v>
      </c>
      <c r="E207" s="832" t="s">
        <v>333</v>
      </c>
      <c r="F207" s="832" t="s">
        <v>1119</v>
      </c>
      <c r="G207" s="832">
        <v>0</v>
      </c>
      <c r="H207" s="832">
        <v>0</v>
      </c>
      <c r="I207" s="832">
        <v>0</v>
      </c>
      <c r="J207" s="832">
        <v>0</v>
      </c>
      <c r="K207" s="832">
        <v>0</v>
      </c>
      <c r="L207" s="832">
        <v>0</v>
      </c>
      <c r="M207" s="832">
        <v>0</v>
      </c>
      <c r="N207" s="832">
        <v>0</v>
      </c>
      <c r="O207" s="832">
        <v>0</v>
      </c>
      <c r="P207" s="832">
        <v>0</v>
      </c>
      <c r="Q207" s="832">
        <v>0</v>
      </c>
      <c r="R207" s="832">
        <v>0</v>
      </c>
      <c r="S207" s="832">
        <v>0</v>
      </c>
      <c r="T207" s="832">
        <v>0</v>
      </c>
      <c r="U207" s="832">
        <v>0</v>
      </c>
      <c r="V207" s="832">
        <v>0</v>
      </c>
      <c r="W207" s="832">
        <v>0</v>
      </c>
      <c r="X207" s="832">
        <v>0</v>
      </c>
      <c r="Y207" s="832">
        <v>0</v>
      </c>
      <c r="Z207" s="832">
        <v>0</v>
      </c>
      <c r="AA207" s="832">
        <v>0</v>
      </c>
      <c r="AB207" s="832">
        <v>0</v>
      </c>
      <c r="AC207" s="832">
        <v>0</v>
      </c>
      <c r="AD207" s="832">
        <v>0</v>
      </c>
      <c r="AE207" s="832">
        <v>0</v>
      </c>
      <c r="AF207" s="832">
        <v>0</v>
      </c>
      <c r="AG207" s="832">
        <v>0</v>
      </c>
      <c r="AH207" s="832">
        <v>0</v>
      </c>
      <c r="AI207" s="832">
        <v>0</v>
      </c>
      <c r="AJ207" s="1030" t="str">
        <f t="shared" si="18"/>
        <v>H01662</v>
      </c>
      <c r="AK207" s="1030" t="str">
        <f t="shared" si="19"/>
        <v>CARR ENTRERIEN PROPRIÉTÉ</v>
      </c>
      <c r="AL207" s="1030">
        <f>IFERROR(INDEX(G207:R207,1,MATCH(Parametres!$B$3,G$1:R$1,0)-1)*IF(OR(F207="L",F207="S",F207="I"),-1,1),"")</f>
        <v>0</v>
      </c>
      <c r="AM207" s="1030">
        <f t="shared" si="20"/>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t="str">
        <f t="shared" si="21"/>
        <v>H01662</v>
      </c>
      <c r="AU207" s="599" t="str">
        <f t="shared" si="22"/>
        <v>CARR ENTRERIEN PROPRIÉTÉ</v>
      </c>
      <c r="AV207" s="1030">
        <f>IFERROR(INDEX(V207:AG207,1,MATCH(Parametres!$B$3,V$1:AG$1,0)-1)*IF(OR(C207="L",C207="S",C207="I"),-1,1),"")</f>
        <v>0</v>
      </c>
      <c r="AW207" s="1030">
        <f t="shared" si="23"/>
        <v>0</v>
      </c>
      <c r="AX207" s="1030">
        <f>INDEX(V207:AG207,1,MATCH(Parametres!$B$3,V$1:AG$1,0))*IF(OR(C207="L",C207="S",C207="I"),-1,1)</f>
        <v>0</v>
      </c>
      <c r="AY207" s="598" t="s">
        <v>337</v>
      </c>
      <c r="AZ207" s="598" t="e">
        <f>+VLOOKUP($AJ207,Data_Validation!$A:$E,5,0)</f>
        <v>#N/A</v>
      </c>
    </row>
    <row r="208" spans="1:52" ht="15" customHeight="1">
      <c r="A208" s="832" t="s">
        <v>1150</v>
      </c>
      <c r="B208" s="832">
        <v>2025</v>
      </c>
      <c r="C208" s="832" t="s">
        <v>1562</v>
      </c>
      <c r="D208" s="832" t="s">
        <v>1563</v>
      </c>
      <c r="E208" s="832" t="s">
        <v>333</v>
      </c>
      <c r="F208" s="832" t="s">
        <v>1119</v>
      </c>
      <c r="G208" s="832">
        <v>0</v>
      </c>
      <c r="H208" s="832">
        <v>0</v>
      </c>
      <c r="I208" s="832">
        <v>0</v>
      </c>
      <c r="J208" s="832">
        <v>0</v>
      </c>
      <c r="K208" s="832">
        <v>0</v>
      </c>
      <c r="L208" s="832">
        <v>0</v>
      </c>
      <c r="M208" s="832">
        <v>0</v>
      </c>
      <c r="N208" s="832">
        <v>0</v>
      </c>
      <c r="O208" s="832">
        <v>0</v>
      </c>
      <c r="P208" s="832">
        <v>0</v>
      </c>
      <c r="Q208" s="832">
        <v>0</v>
      </c>
      <c r="R208" s="832">
        <v>0</v>
      </c>
      <c r="S208" s="832">
        <v>0</v>
      </c>
      <c r="T208" s="832">
        <v>0</v>
      </c>
      <c r="U208" s="832">
        <v>0</v>
      </c>
      <c r="V208" s="832">
        <v>0</v>
      </c>
      <c r="W208" s="832">
        <v>0</v>
      </c>
      <c r="X208" s="832">
        <v>0</v>
      </c>
      <c r="Y208" s="832">
        <v>0</v>
      </c>
      <c r="Z208" s="832">
        <v>0</v>
      </c>
      <c r="AA208" s="832">
        <v>0</v>
      </c>
      <c r="AB208" s="832">
        <v>0</v>
      </c>
      <c r="AC208" s="832">
        <v>0</v>
      </c>
      <c r="AD208" s="832">
        <v>0</v>
      </c>
      <c r="AE208" s="832">
        <v>0</v>
      </c>
      <c r="AF208" s="832">
        <v>0</v>
      </c>
      <c r="AG208" s="832">
        <v>0</v>
      </c>
      <c r="AH208" s="832">
        <v>0</v>
      </c>
      <c r="AI208" s="832">
        <v>0</v>
      </c>
      <c r="AJ208" s="1030" t="str">
        <f t="shared" si="18"/>
        <v>H01663</v>
      </c>
      <c r="AK208" s="1030" t="str">
        <f t="shared" si="19"/>
        <v>CARR TAXES PROPRIÉTÉ</v>
      </c>
      <c r="AL208" s="1030">
        <f>IFERROR(INDEX(G208:R208,1,MATCH(Parametres!$B$3,G$1:R$1,0)-1)*IF(OR(F208="L",F208="S",F208="I"),-1,1),"")</f>
        <v>0</v>
      </c>
      <c r="AM208" s="1030">
        <f t="shared" si="20"/>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t="str">
        <f t="shared" si="21"/>
        <v>H01663</v>
      </c>
      <c r="AU208" s="599" t="str">
        <f t="shared" si="22"/>
        <v>CARR TAXES PROPRIÉTÉ</v>
      </c>
      <c r="AV208" s="1030">
        <f>IFERROR(INDEX(V208:AG208,1,MATCH(Parametres!$B$3,V$1:AG$1,0)-1)*IF(OR(C208="L",C208="S",C208="I"),-1,1),"")</f>
        <v>0</v>
      </c>
      <c r="AW208" s="1030">
        <f t="shared" si="23"/>
        <v>0</v>
      </c>
      <c r="AX208" s="1030">
        <f>INDEX(V208:AG208,1,MATCH(Parametres!$B$3,V$1:AG$1,0))*IF(OR(C208="L",C208="S",C208="I"),-1,1)</f>
        <v>0</v>
      </c>
      <c r="AY208" s="598" t="s">
        <v>337</v>
      </c>
      <c r="AZ208" s="598" t="e">
        <f>+VLOOKUP($AJ208,Data_Validation!$A:$E,5,0)</f>
        <v>#N/A</v>
      </c>
    </row>
    <row r="209" spans="1:52" ht="15" customHeight="1">
      <c r="A209" s="832" t="s">
        <v>1150</v>
      </c>
      <c r="B209" s="832">
        <v>2025</v>
      </c>
      <c r="C209" s="832" t="s">
        <v>1564</v>
      </c>
      <c r="D209" s="832" t="s">
        <v>1565</v>
      </c>
      <c r="E209" s="832" t="s">
        <v>333</v>
      </c>
      <c r="F209" s="832" t="s">
        <v>1119</v>
      </c>
      <c r="G209" s="832">
        <v>0</v>
      </c>
      <c r="H209" s="832">
        <v>0</v>
      </c>
      <c r="I209" s="832">
        <v>0</v>
      </c>
      <c r="J209" s="832">
        <v>0</v>
      </c>
      <c r="K209" s="832">
        <v>0</v>
      </c>
      <c r="L209" s="832">
        <v>0</v>
      </c>
      <c r="M209" s="832">
        <v>0</v>
      </c>
      <c r="N209" s="832">
        <v>0</v>
      </c>
      <c r="O209" s="832">
        <v>0</v>
      </c>
      <c r="P209" s="832">
        <v>0</v>
      </c>
      <c r="Q209" s="832">
        <v>0</v>
      </c>
      <c r="R209" s="832">
        <v>0</v>
      </c>
      <c r="S209" s="832">
        <v>0</v>
      </c>
      <c r="T209" s="832">
        <v>0</v>
      </c>
      <c r="U209" s="832">
        <v>0</v>
      </c>
      <c r="V209" s="832">
        <v>0</v>
      </c>
      <c r="W209" s="832">
        <v>0</v>
      </c>
      <c r="X209" s="832">
        <v>0</v>
      </c>
      <c r="Y209" s="832">
        <v>0</v>
      </c>
      <c r="Z209" s="832">
        <v>0</v>
      </c>
      <c r="AA209" s="832">
        <v>0</v>
      </c>
      <c r="AB209" s="832">
        <v>0</v>
      </c>
      <c r="AC209" s="832">
        <v>0</v>
      </c>
      <c r="AD209" s="832">
        <v>0</v>
      </c>
      <c r="AE209" s="832">
        <v>0</v>
      </c>
      <c r="AF209" s="832">
        <v>0</v>
      </c>
      <c r="AG209" s="832">
        <v>0</v>
      </c>
      <c r="AH209" s="832">
        <v>0</v>
      </c>
      <c r="AI209" s="832">
        <v>0</v>
      </c>
      <c r="AJ209" s="1030" t="str">
        <f t="shared" si="18"/>
        <v>H01664</v>
      </c>
      <c r="AK209" s="1030" t="str">
        <f t="shared" si="19"/>
        <v>CARR ASSURANCE BATIMENT</v>
      </c>
      <c r="AL209" s="1030">
        <f>IFERROR(INDEX(G209:R209,1,MATCH(Parametres!$B$3,G$1:R$1,0)-1)*IF(OR(F209="L",F209="S",F209="I"),-1,1),"")</f>
        <v>0</v>
      </c>
      <c r="AM209" s="1030">
        <f t="shared" si="20"/>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t="str">
        <f t="shared" si="21"/>
        <v>H01664</v>
      </c>
      <c r="AU209" s="599" t="str">
        <f t="shared" si="22"/>
        <v>CARR ASSURANCE BATIMENT</v>
      </c>
      <c r="AV209" s="1030">
        <f>IFERROR(INDEX(V209:AG209,1,MATCH(Parametres!$B$3,V$1:AG$1,0)-1)*IF(OR(C209="L",C209="S",C209="I"),-1,1),"")</f>
        <v>0</v>
      </c>
      <c r="AW209" s="1030">
        <f t="shared" si="23"/>
        <v>0</v>
      </c>
      <c r="AX209" s="1030">
        <f>INDEX(V209:AG209,1,MATCH(Parametres!$B$3,V$1:AG$1,0))*IF(OR(C209="L",C209="S",C209="I"),-1,1)</f>
        <v>0</v>
      </c>
      <c r="AY209" s="598" t="s">
        <v>337</v>
      </c>
      <c r="AZ209" s="598" t="e">
        <f>+VLOOKUP($AJ209,Data_Validation!$A:$E,5,0)</f>
        <v>#N/A</v>
      </c>
    </row>
    <row r="210" spans="1:52" ht="15" customHeight="1">
      <c r="A210" s="832" t="s">
        <v>1150</v>
      </c>
      <c r="B210" s="832">
        <v>2025</v>
      </c>
      <c r="C210" s="832" t="s">
        <v>1566</v>
      </c>
      <c r="D210" s="832" t="s">
        <v>1567</v>
      </c>
      <c r="E210" s="832" t="s">
        <v>333</v>
      </c>
      <c r="F210" s="832" t="s">
        <v>1119</v>
      </c>
      <c r="G210" s="832">
        <v>0</v>
      </c>
      <c r="H210" s="832">
        <v>0</v>
      </c>
      <c r="I210" s="832">
        <v>0</v>
      </c>
      <c r="J210" s="832">
        <v>0</v>
      </c>
      <c r="K210" s="832">
        <v>0</v>
      </c>
      <c r="L210" s="832">
        <v>0</v>
      </c>
      <c r="M210" s="832">
        <v>0</v>
      </c>
      <c r="N210" s="832">
        <v>0</v>
      </c>
      <c r="O210" s="832">
        <v>0</v>
      </c>
      <c r="P210" s="832">
        <v>0</v>
      </c>
      <c r="Q210" s="832">
        <v>0</v>
      </c>
      <c r="R210" s="832">
        <v>0</v>
      </c>
      <c r="S210" s="832">
        <v>0</v>
      </c>
      <c r="T210" s="832">
        <v>0</v>
      </c>
      <c r="U210" s="832">
        <v>0</v>
      </c>
      <c r="V210" s="832">
        <v>0</v>
      </c>
      <c r="W210" s="832">
        <v>0</v>
      </c>
      <c r="X210" s="832">
        <v>0</v>
      </c>
      <c r="Y210" s="832">
        <v>0</v>
      </c>
      <c r="Z210" s="832">
        <v>0</v>
      </c>
      <c r="AA210" s="832">
        <v>0</v>
      </c>
      <c r="AB210" s="832">
        <v>0</v>
      </c>
      <c r="AC210" s="832">
        <v>0</v>
      </c>
      <c r="AD210" s="832">
        <v>0</v>
      </c>
      <c r="AE210" s="832">
        <v>0</v>
      </c>
      <c r="AF210" s="832">
        <v>0</v>
      </c>
      <c r="AG210" s="832">
        <v>0</v>
      </c>
      <c r="AH210" s="832">
        <v>0</v>
      </c>
      <c r="AI210" s="832">
        <v>0</v>
      </c>
      <c r="AJ210" s="1030" t="str">
        <f t="shared" si="18"/>
        <v>H01665</v>
      </c>
      <c r="AK210" s="1030" t="str">
        <f t="shared" si="19"/>
        <v>CARR AMORT BATIMENT</v>
      </c>
      <c r="AL210" s="1030">
        <f>IFERROR(INDEX(G210:R210,1,MATCH(Parametres!$B$3,G$1:R$1,0)-1)*IF(OR(F210="L",F210="S",F210="I"),-1,1),"")</f>
        <v>0</v>
      </c>
      <c r="AM210" s="1030">
        <f t="shared" si="20"/>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t="str">
        <f t="shared" si="21"/>
        <v>H01665</v>
      </c>
      <c r="AU210" s="599" t="str">
        <f t="shared" si="22"/>
        <v>CARR AMORT BATIMENT</v>
      </c>
      <c r="AV210" s="1030">
        <f>IFERROR(INDEX(V210:AG210,1,MATCH(Parametres!$B$3,V$1:AG$1,0)-1)*IF(OR(C210="L",C210="S",C210="I"),-1,1),"")</f>
        <v>0</v>
      </c>
      <c r="AW210" s="1030">
        <f t="shared" si="23"/>
        <v>0</v>
      </c>
      <c r="AX210" s="1030">
        <f>INDEX(V210:AG210,1,MATCH(Parametres!$B$3,V$1:AG$1,0))*IF(OR(C210="L",C210="S",C210="I"),-1,1)</f>
        <v>0</v>
      </c>
      <c r="AY210" s="598" t="s">
        <v>337</v>
      </c>
      <c r="AZ210" s="598" t="e">
        <f>+VLOOKUP($AJ210,Data_Validation!$A:$E,5,0)</f>
        <v>#N/A</v>
      </c>
    </row>
    <row r="211" spans="1:52" ht="15.75" customHeight="1">
      <c r="A211" s="832" t="s">
        <v>1150</v>
      </c>
      <c r="B211" s="832">
        <v>2025</v>
      </c>
      <c r="C211" s="832" t="s">
        <v>1568</v>
      </c>
      <c r="D211" s="832" t="s">
        <v>1569</v>
      </c>
      <c r="E211" s="832" t="s">
        <v>333</v>
      </c>
      <c r="F211" s="832" t="s">
        <v>1119</v>
      </c>
      <c r="G211" s="832">
        <v>0</v>
      </c>
      <c r="H211" s="832">
        <v>0</v>
      </c>
      <c r="I211" s="832">
        <v>0</v>
      </c>
      <c r="J211" s="832">
        <v>0</v>
      </c>
      <c r="K211" s="832">
        <v>0</v>
      </c>
      <c r="L211" s="832">
        <v>0</v>
      </c>
      <c r="M211" s="832">
        <v>0</v>
      </c>
      <c r="N211" s="832">
        <v>0</v>
      </c>
      <c r="O211" s="832">
        <v>0</v>
      </c>
      <c r="P211" s="832">
        <v>0</v>
      </c>
      <c r="Q211" s="832">
        <v>0</v>
      </c>
      <c r="R211" s="832">
        <v>0</v>
      </c>
      <c r="S211" s="832">
        <v>0</v>
      </c>
      <c r="T211" s="832">
        <v>0</v>
      </c>
      <c r="U211" s="832">
        <v>0</v>
      </c>
      <c r="V211" s="832">
        <v>0</v>
      </c>
      <c r="W211" s="832">
        <v>0</v>
      </c>
      <c r="X211" s="832">
        <v>0</v>
      </c>
      <c r="Y211" s="832">
        <v>0</v>
      </c>
      <c r="Z211" s="832">
        <v>0</v>
      </c>
      <c r="AA211" s="832">
        <v>0</v>
      </c>
      <c r="AB211" s="832">
        <v>0</v>
      </c>
      <c r="AC211" s="832">
        <v>0</v>
      </c>
      <c r="AD211" s="832">
        <v>0</v>
      </c>
      <c r="AE211" s="832">
        <v>0</v>
      </c>
      <c r="AF211" s="832">
        <v>0</v>
      </c>
      <c r="AG211" s="832">
        <v>0</v>
      </c>
      <c r="AH211" s="832">
        <v>0</v>
      </c>
      <c r="AI211" s="832">
        <v>0</v>
      </c>
      <c r="AJ211" s="1030" t="str">
        <f t="shared" si="18"/>
        <v>H01668</v>
      </c>
      <c r="AK211" s="1030" t="str">
        <f t="shared" si="19"/>
        <v>CARR TAXES AFFAIRES&amp;AUTRE</v>
      </c>
      <c r="AL211" s="1030">
        <f>IFERROR(INDEX(G211:R211,1,MATCH(Parametres!$B$3,G$1:R$1,0)-1)*IF(OR(F211="L",F211="S",F211="I"),-1,1),"")</f>
        <v>0</v>
      </c>
      <c r="AM211" s="1030">
        <f t="shared" si="20"/>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t="str">
        <f t="shared" si="21"/>
        <v>H01668</v>
      </c>
      <c r="AU211" s="599" t="str">
        <f t="shared" si="22"/>
        <v>CARR TAXES AFFAIRES&amp;AUTRE</v>
      </c>
      <c r="AV211" s="1030">
        <f>IFERROR(INDEX(V211:AG211,1,MATCH(Parametres!$B$3,V$1:AG$1,0)-1)*IF(OR(C211="L",C211="S",C211="I"),-1,1),"")</f>
        <v>0</v>
      </c>
      <c r="AW211" s="1030">
        <f t="shared" si="23"/>
        <v>0</v>
      </c>
      <c r="AX211" s="1030">
        <f>INDEX(V211:AG211,1,MATCH(Parametres!$B$3,V$1:AG$1,0))*IF(OR(C211="L",C211="S",C211="I"),-1,1)</f>
        <v>0</v>
      </c>
      <c r="AY211" s="598" t="s">
        <v>337</v>
      </c>
      <c r="AZ211" s="598" t="e">
        <f>+VLOOKUP($AJ211,Data_Validation!$A:$E,5,0)</f>
        <v>#N/A</v>
      </c>
    </row>
    <row r="212" spans="1:52" ht="15" customHeight="1">
      <c r="A212" s="832" t="s">
        <v>1150</v>
      </c>
      <c r="B212" s="832">
        <v>2025</v>
      </c>
      <c r="C212" s="832" t="s">
        <v>1570</v>
      </c>
      <c r="D212" s="832" t="s">
        <v>1571</v>
      </c>
      <c r="E212" s="832" t="s">
        <v>333</v>
      </c>
      <c r="F212" s="832" t="s">
        <v>1119</v>
      </c>
      <c r="G212" s="832">
        <v>0</v>
      </c>
      <c r="H212" s="832">
        <v>0</v>
      </c>
      <c r="I212" s="832">
        <v>0</v>
      </c>
      <c r="J212" s="832">
        <v>0</v>
      </c>
      <c r="K212" s="832">
        <v>0</v>
      </c>
      <c r="L212" s="832">
        <v>0</v>
      </c>
      <c r="M212" s="832">
        <v>0</v>
      </c>
      <c r="N212" s="832">
        <v>0</v>
      </c>
      <c r="O212" s="832">
        <v>0</v>
      </c>
      <c r="P212" s="832">
        <v>0</v>
      </c>
      <c r="Q212" s="832">
        <v>0</v>
      </c>
      <c r="R212" s="832">
        <v>0</v>
      </c>
      <c r="S212" s="832">
        <v>0</v>
      </c>
      <c r="T212" s="832">
        <v>0</v>
      </c>
      <c r="U212" s="832">
        <v>0</v>
      </c>
      <c r="V212" s="832">
        <v>0</v>
      </c>
      <c r="W212" s="832">
        <v>0</v>
      </c>
      <c r="X212" s="832">
        <v>0</v>
      </c>
      <c r="Y212" s="832">
        <v>0</v>
      </c>
      <c r="Z212" s="832">
        <v>0</v>
      </c>
      <c r="AA212" s="832">
        <v>0</v>
      </c>
      <c r="AB212" s="832">
        <v>0</v>
      </c>
      <c r="AC212" s="832">
        <v>0</v>
      </c>
      <c r="AD212" s="832">
        <v>0</v>
      </c>
      <c r="AE212" s="832">
        <v>0</v>
      </c>
      <c r="AF212" s="832">
        <v>0</v>
      </c>
      <c r="AG212" s="832">
        <v>0</v>
      </c>
      <c r="AH212" s="832">
        <v>0</v>
      </c>
      <c r="AI212" s="832">
        <v>0</v>
      </c>
      <c r="AJ212" s="1030" t="str">
        <f t="shared" si="18"/>
        <v>H01669</v>
      </c>
      <c r="AK212" s="1030" t="str">
        <f t="shared" si="19"/>
        <v>CARR AMORT EQUIP &amp; INSTAL</v>
      </c>
      <c r="AL212" s="1030">
        <f>IFERROR(INDEX(G212:R212,1,MATCH(Parametres!$B$3,G$1:R$1,0)-1)*IF(OR(F212="L",F212="S",F212="I"),-1,1),"")</f>
        <v>0</v>
      </c>
      <c r="AM212" s="1030">
        <f t="shared" si="20"/>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t="str">
        <f t="shared" si="21"/>
        <v>H01669</v>
      </c>
      <c r="AU212" s="599" t="str">
        <f t="shared" si="22"/>
        <v>CARR AMORT EQUIP &amp; INSTAL</v>
      </c>
      <c r="AV212" s="1030">
        <f>IFERROR(INDEX(V212:AG212,1,MATCH(Parametres!$B$3,V$1:AG$1,0)-1)*IF(OR(C212="L",C212="S",C212="I"),-1,1),"")</f>
        <v>0</v>
      </c>
      <c r="AW212" s="1030">
        <f t="shared" si="23"/>
        <v>0</v>
      </c>
      <c r="AX212" s="1030">
        <f>INDEX(V212:AG212,1,MATCH(Parametres!$B$3,V$1:AG$1,0))*IF(OR(C212="L",C212="S",C212="I"),-1,1)</f>
        <v>0</v>
      </c>
      <c r="AY212" s="598" t="s">
        <v>337</v>
      </c>
      <c r="AZ212" s="598" t="e">
        <f>+VLOOKUP($AJ212,Data_Validation!$A:$E,5,0)</f>
        <v>#N/A</v>
      </c>
    </row>
    <row r="213" spans="1:52" ht="15" customHeight="1">
      <c r="A213" s="832" t="s">
        <v>1150</v>
      </c>
      <c r="B213" s="832">
        <v>2025</v>
      </c>
      <c r="C213" s="832" t="s">
        <v>1572</v>
      </c>
      <c r="D213" s="832" t="s">
        <v>1573</v>
      </c>
      <c r="E213" s="832" t="s">
        <v>333</v>
      </c>
      <c r="F213" s="832" t="s">
        <v>1119</v>
      </c>
      <c r="G213" s="832">
        <v>0</v>
      </c>
      <c r="H213" s="832">
        <v>0</v>
      </c>
      <c r="I213" s="832">
        <v>0</v>
      </c>
      <c r="J213" s="832">
        <v>0</v>
      </c>
      <c r="K213" s="832">
        <v>0</v>
      </c>
      <c r="L213" s="832">
        <v>0</v>
      </c>
      <c r="M213" s="832">
        <v>0</v>
      </c>
      <c r="N213" s="832">
        <v>0</v>
      </c>
      <c r="O213" s="832">
        <v>0</v>
      </c>
      <c r="P213" s="832">
        <v>0</v>
      </c>
      <c r="Q213" s="832">
        <v>0</v>
      </c>
      <c r="R213" s="832">
        <v>0</v>
      </c>
      <c r="S213" s="832">
        <v>0</v>
      </c>
      <c r="T213" s="832">
        <v>0</v>
      </c>
      <c r="U213" s="832">
        <v>0</v>
      </c>
      <c r="V213" s="832">
        <v>0</v>
      </c>
      <c r="W213" s="832">
        <v>0</v>
      </c>
      <c r="X213" s="832">
        <v>0</v>
      </c>
      <c r="Y213" s="832">
        <v>0</v>
      </c>
      <c r="Z213" s="832">
        <v>0</v>
      </c>
      <c r="AA213" s="832">
        <v>0</v>
      </c>
      <c r="AB213" s="832">
        <v>0</v>
      </c>
      <c r="AC213" s="832">
        <v>0</v>
      </c>
      <c r="AD213" s="832">
        <v>0</v>
      </c>
      <c r="AE213" s="832">
        <v>0</v>
      </c>
      <c r="AF213" s="832">
        <v>0</v>
      </c>
      <c r="AG213" s="832">
        <v>0</v>
      </c>
      <c r="AH213" s="832">
        <v>0</v>
      </c>
      <c r="AI213" s="832">
        <v>0</v>
      </c>
      <c r="AJ213" s="1030" t="str">
        <f t="shared" si="18"/>
        <v>H01670</v>
      </c>
      <c r="AK213" s="1030" t="str">
        <f t="shared" si="19"/>
        <v>CARR ASSURANCE GENERALE</v>
      </c>
      <c r="AL213" s="1030">
        <f>IFERROR(INDEX(G213:R213,1,MATCH(Parametres!$B$3,G$1:R$1,0)-1)*IF(OR(F213="L",F213="S",F213="I"),-1,1),"")</f>
        <v>0</v>
      </c>
      <c r="AM213" s="1030">
        <f t="shared" si="20"/>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t="str">
        <f t="shared" si="21"/>
        <v>H01670</v>
      </c>
      <c r="AU213" s="599" t="str">
        <f t="shared" si="22"/>
        <v>CARR ASSURANCE GENERALE</v>
      </c>
      <c r="AV213" s="1030">
        <f>IFERROR(INDEX(V213:AG213,1,MATCH(Parametres!$B$3,V$1:AG$1,0)-1)*IF(OR(C213="L",C213="S",C213="I"),-1,1),"")</f>
        <v>0</v>
      </c>
      <c r="AW213" s="1030">
        <f t="shared" si="23"/>
        <v>0</v>
      </c>
      <c r="AX213" s="1030">
        <f>INDEX(V213:AG213,1,MATCH(Parametres!$B$3,V$1:AG$1,0))*IF(OR(C213="L",C213="S",C213="I"),-1,1)</f>
        <v>0</v>
      </c>
      <c r="AY213" s="598" t="s">
        <v>337</v>
      </c>
      <c r="AZ213" s="598" t="e">
        <f>+VLOOKUP($AJ213,Data_Validation!$A:$E,5,0)</f>
        <v>#N/A</v>
      </c>
    </row>
    <row r="214" spans="1:52" ht="15" customHeight="1">
      <c r="A214" s="832" t="s">
        <v>1150</v>
      </c>
      <c r="B214" s="832">
        <v>2025</v>
      </c>
      <c r="C214" s="832" t="s">
        <v>1574</v>
      </c>
      <c r="D214" s="832" t="s">
        <v>1575</v>
      </c>
      <c r="E214" s="832" t="s">
        <v>333</v>
      </c>
      <c r="F214" s="832" t="s">
        <v>1119</v>
      </c>
      <c r="G214" s="832">
        <v>0</v>
      </c>
      <c r="H214" s="832">
        <v>0</v>
      </c>
      <c r="I214" s="832">
        <v>0</v>
      </c>
      <c r="J214" s="832">
        <v>0</v>
      </c>
      <c r="K214" s="832">
        <v>0</v>
      </c>
      <c r="L214" s="832">
        <v>0</v>
      </c>
      <c r="M214" s="832">
        <v>0</v>
      </c>
      <c r="N214" s="832">
        <v>0</v>
      </c>
      <c r="O214" s="832">
        <v>0</v>
      </c>
      <c r="P214" s="832">
        <v>0</v>
      </c>
      <c r="Q214" s="832">
        <v>0</v>
      </c>
      <c r="R214" s="832">
        <v>0</v>
      </c>
      <c r="S214" s="832">
        <v>0</v>
      </c>
      <c r="T214" s="832">
        <v>0</v>
      </c>
      <c r="U214" s="832">
        <v>0</v>
      </c>
      <c r="V214" s="832">
        <v>0</v>
      </c>
      <c r="W214" s="832">
        <v>0</v>
      </c>
      <c r="X214" s="832">
        <v>0</v>
      </c>
      <c r="Y214" s="832">
        <v>0</v>
      </c>
      <c r="Z214" s="832">
        <v>0</v>
      </c>
      <c r="AA214" s="832">
        <v>0</v>
      </c>
      <c r="AB214" s="832">
        <v>0</v>
      </c>
      <c r="AC214" s="832">
        <v>0</v>
      </c>
      <c r="AD214" s="832">
        <v>0</v>
      </c>
      <c r="AE214" s="832">
        <v>0</v>
      </c>
      <c r="AF214" s="832">
        <v>0</v>
      </c>
      <c r="AG214" s="832">
        <v>0</v>
      </c>
      <c r="AH214" s="832">
        <v>0</v>
      </c>
      <c r="AI214" s="832">
        <v>0</v>
      </c>
      <c r="AJ214" s="1030" t="str">
        <f t="shared" si="18"/>
        <v>H01674</v>
      </c>
      <c r="AK214" s="1030" t="str">
        <f t="shared" si="19"/>
        <v>CARR EAU/ELECT/CHAUFFAGE</v>
      </c>
      <c r="AL214" s="1030">
        <f>IFERROR(INDEX(G214:R214,1,MATCH(Parametres!$B$3,G$1:R$1,0)-1)*IF(OR(F214="L",F214="S",F214="I"),-1,1),"")</f>
        <v>0</v>
      </c>
      <c r="AM214" s="1030">
        <f t="shared" si="20"/>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t="str">
        <f t="shared" si="21"/>
        <v>H01674</v>
      </c>
      <c r="AU214" s="599" t="str">
        <f t="shared" si="22"/>
        <v>CARR EAU/ELECT/CHAUFFAGE</v>
      </c>
      <c r="AV214" s="1030">
        <f>IFERROR(INDEX(V214:AG214,1,MATCH(Parametres!$B$3,V$1:AG$1,0)-1)*IF(OR(C214="L",C214="S",C214="I"),-1,1),"")</f>
        <v>0</v>
      </c>
      <c r="AW214" s="1030">
        <f t="shared" si="23"/>
        <v>0</v>
      </c>
      <c r="AX214" s="1030">
        <f>INDEX(V214:AG214,1,MATCH(Parametres!$B$3,V$1:AG$1,0))*IF(OR(C214="L",C214="S",C214="I"),-1,1)</f>
        <v>0</v>
      </c>
      <c r="AY214" s="598" t="s">
        <v>337</v>
      </c>
      <c r="AZ214" s="598" t="e">
        <f>+VLOOKUP($AJ214,Data_Validation!$A:$E,5,0)</f>
        <v>#N/A</v>
      </c>
    </row>
    <row r="215" spans="1:52" ht="15.75" customHeight="1">
      <c r="A215" s="832" t="s">
        <v>1150</v>
      </c>
      <c r="B215" s="832">
        <v>2025</v>
      </c>
      <c r="C215" s="832" t="s">
        <v>1576</v>
      </c>
      <c r="D215" s="832" t="s">
        <v>1577</v>
      </c>
      <c r="E215" s="832" t="s">
        <v>333</v>
      </c>
      <c r="F215" s="832" t="s">
        <v>1119</v>
      </c>
      <c r="G215" s="832">
        <v>0</v>
      </c>
      <c r="H215" s="832">
        <v>0</v>
      </c>
      <c r="I215" s="832">
        <v>0</v>
      </c>
      <c r="J215" s="832">
        <v>0</v>
      </c>
      <c r="K215" s="832">
        <v>0</v>
      </c>
      <c r="L215" s="832">
        <v>0</v>
      </c>
      <c r="M215" s="832">
        <v>0</v>
      </c>
      <c r="N215" s="832">
        <v>0</v>
      </c>
      <c r="O215" s="832">
        <v>0</v>
      </c>
      <c r="P215" s="832">
        <v>0</v>
      </c>
      <c r="Q215" s="832">
        <v>0</v>
      </c>
      <c r="R215" s="832">
        <v>0</v>
      </c>
      <c r="S215" s="832">
        <v>0</v>
      </c>
      <c r="T215" s="832">
        <v>0</v>
      </c>
      <c r="U215" s="832">
        <v>0</v>
      </c>
      <c r="V215" s="832">
        <v>0</v>
      </c>
      <c r="W215" s="832">
        <v>0</v>
      </c>
      <c r="X215" s="832">
        <v>0</v>
      </c>
      <c r="Y215" s="832">
        <v>0</v>
      </c>
      <c r="Z215" s="832">
        <v>0</v>
      </c>
      <c r="AA215" s="832">
        <v>0</v>
      </c>
      <c r="AB215" s="832">
        <v>0</v>
      </c>
      <c r="AC215" s="832">
        <v>0</v>
      </c>
      <c r="AD215" s="832">
        <v>0</v>
      </c>
      <c r="AE215" s="832">
        <v>0</v>
      </c>
      <c r="AF215" s="832">
        <v>0</v>
      </c>
      <c r="AG215" s="832">
        <v>0</v>
      </c>
      <c r="AH215" s="832">
        <v>0</v>
      </c>
      <c r="AI215" s="832">
        <v>0</v>
      </c>
      <c r="AJ215" s="1030" t="str">
        <f t="shared" si="18"/>
        <v>H01676</v>
      </c>
      <c r="AK215" s="1030" t="str">
        <f t="shared" si="19"/>
        <v>CARR VERIF. COMPTABLE</v>
      </c>
      <c r="AL215" s="1030">
        <f>IFERROR(INDEX(G215:R215,1,MATCH(Parametres!$B$3,G$1:R$1,0)-1)*IF(OR(F215="L",F215="S",F215="I"),-1,1),"")</f>
        <v>0</v>
      </c>
      <c r="AM215" s="1030">
        <f t="shared" si="20"/>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t="str">
        <f t="shared" si="21"/>
        <v>H01676</v>
      </c>
      <c r="AU215" s="599" t="str">
        <f t="shared" si="22"/>
        <v>CARR VERIF. COMPTABLE</v>
      </c>
      <c r="AV215" s="1030">
        <f>IFERROR(INDEX(V215:AG215,1,MATCH(Parametres!$B$3,V$1:AG$1,0)-1)*IF(OR(C215="L",C215="S",C215="I"),-1,1),"")</f>
        <v>0</v>
      </c>
      <c r="AW215" s="1030">
        <f t="shared" si="23"/>
        <v>0</v>
      </c>
      <c r="AX215" s="1030">
        <f>INDEX(V215:AG215,1,MATCH(Parametres!$B$3,V$1:AG$1,0))*IF(OR(C215="L",C215="S",C215="I"),-1,1)</f>
        <v>0</v>
      </c>
      <c r="AY215" s="598" t="s">
        <v>337</v>
      </c>
      <c r="AZ215" s="598" t="e">
        <f>+VLOOKUP($AJ215,Data_Validation!$A:$E,5,0)</f>
        <v>#N/A</v>
      </c>
    </row>
    <row r="216" spans="1:52" ht="15" customHeight="1">
      <c r="A216" s="832" t="s">
        <v>1150</v>
      </c>
      <c r="B216" s="832">
        <v>2025</v>
      </c>
      <c r="C216" s="832" t="s">
        <v>1578</v>
      </c>
      <c r="D216" s="832" t="s">
        <v>1579</v>
      </c>
      <c r="E216" s="832" t="s">
        <v>333</v>
      </c>
      <c r="F216" s="832" t="s">
        <v>1119</v>
      </c>
      <c r="G216" s="832">
        <v>0</v>
      </c>
      <c r="H216" s="832">
        <v>0</v>
      </c>
      <c r="I216" s="832">
        <v>0</v>
      </c>
      <c r="J216" s="832">
        <v>0</v>
      </c>
      <c r="K216" s="832">
        <v>0</v>
      </c>
      <c r="L216" s="832">
        <v>0</v>
      </c>
      <c r="M216" s="832">
        <v>0</v>
      </c>
      <c r="N216" s="832">
        <v>0</v>
      </c>
      <c r="O216" s="832">
        <v>0</v>
      </c>
      <c r="P216" s="832">
        <v>0</v>
      </c>
      <c r="Q216" s="832">
        <v>0</v>
      </c>
      <c r="R216" s="832">
        <v>0</v>
      </c>
      <c r="S216" s="832">
        <v>0</v>
      </c>
      <c r="T216" s="832">
        <v>0</v>
      </c>
      <c r="U216" s="832">
        <v>0</v>
      </c>
      <c r="V216" s="832">
        <v>0</v>
      </c>
      <c r="W216" s="832">
        <v>0</v>
      </c>
      <c r="X216" s="832">
        <v>0</v>
      </c>
      <c r="Y216" s="832">
        <v>0</v>
      </c>
      <c r="Z216" s="832">
        <v>0</v>
      </c>
      <c r="AA216" s="832">
        <v>0</v>
      </c>
      <c r="AB216" s="832">
        <v>0</v>
      </c>
      <c r="AC216" s="832">
        <v>0</v>
      </c>
      <c r="AD216" s="832">
        <v>0</v>
      </c>
      <c r="AE216" s="832">
        <v>0</v>
      </c>
      <c r="AF216" s="832">
        <v>0</v>
      </c>
      <c r="AG216" s="832">
        <v>0</v>
      </c>
      <c r="AH216" s="832">
        <v>0</v>
      </c>
      <c r="AI216" s="832">
        <v>0</v>
      </c>
      <c r="AJ216" s="1030" t="str">
        <f t="shared" si="18"/>
        <v>H01677</v>
      </c>
      <c r="AK216" s="1030" t="str">
        <f t="shared" si="19"/>
        <v>CARR COTISATION SOUSCRIP</v>
      </c>
      <c r="AL216" s="1030">
        <f>IFERROR(INDEX(G216:R216,1,MATCH(Parametres!$B$3,G$1:R$1,0)-1)*IF(OR(F216="L",F216="S",F216="I"),-1,1),"")</f>
        <v>0</v>
      </c>
      <c r="AM216" s="1030">
        <f t="shared" si="20"/>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t="str">
        <f t="shared" si="21"/>
        <v>H01677</v>
      </c>
      <c r="AU216" s="599" t="str">
        <f t="shared" si="22"/>
        <v>CARR COTISATION SOUSCRIP</v>
      </c>
      <c r="AV216" s="1030">
        <f>IFERROR(INDEX(V216:AG216,1,MATCH(Parametres!$B$3,V$1:AG$1,0)-1)*IF(OR(C216="L",C216="S",C216="I"),-1,1),"")</f>
        <v>0</v>
      </c>
      <c r="AW216" s="1030">
        <f t="shared" si="23"/>
        <v>0</v>
      </c>
      <c r="AX216" s="1030">
        <f>INDEX(V216:AG216,1,MATCH(Parametres!$B$3,V$1:AG$1,0))*IF(OR(C216="L",C216="S",C216="I"),-1,1)</f>
        <v>0</v>
      </c>
      <c r="AY216" s="598" t="s">
        <v>337</v>
      </c>
      <c r="AZ216" s="598" t="e">
        <f>+VLOOKUP($AJ216,Data_Validation!$A:$E,5,0)</f>
        <v>#N/A</v>
      </c>
    </row>
    <row r="217" spans="1:52" ht="15" customHeight="1">
      <c r="A217" s="832" t="s">
        <v>1150</v>
      </c>
      <c r="B217" s="832">
        <v>2025</v>
      </c>
      <c r="C217" s="832" t="s">
        <v>1580</v>
      </c>
      <c r="D217" s="832" t="s">
        <v>1581</v>
      </c>
      <c r="E217" s="832" t="s">
        <v>333</v>
      </c>
      <c r="F217" s="832" t="s">
        <v>1119</v>
      </c>
      <c r="G217" s="832">
        <v>0</v>
      </c>
      <c r="H217" s="832">
        <v>0</v>
      </c>
      <c r="I217" s="832">
        <v>0</v>
      </c>
      <c r="J217" s="832">
        <v>0</v>
      </c>
      <c r="K217" s="832">
        <v>0</v>
      </c>
      <c r="L217" s="832">
        <v>0</v>
      </c>
      <c r="M217" s="832">
        <v>0</v>
      </c>
      <c r="N217" s="832">
        <v>0</v>
      </c>
      <c r="O217" s="832">
        <v>0</v>
      </c>
      <c r="P217" s="832">
        <v>0</v>
      </c>
      <c r="Q217" s="832">
        <v>0</v>
      </c>
      <c r="R217" s="832">
        <v>0</v>
      </c>
      <c r="S217" s="832">
        <v>0</v>
      </c>
      <c r="T217" s="832">
        <v>0</v>
      </c>
      <c r="U217" s="832">
        <v>0</v>
      </c>
      <c r="V217" s="832">
        <v>0</v>
      </c>
      <c r="W217" s="832">
        <v>0</v>
      </c>
      <c r="X217" s="832">
        <v>0</v>
      </c>
      <c r="Y217" s="832">
        <v>0</v>
      </c>
      <c r="Z217" s="832">
        <v>0</v>
      </c>
      <c r="AA217" s="832">
        <v>0</v>
      </c>
      <c r="AB217" s="832">
        <v>0</v>
      </c>
      <c r="AC217" s="832">
        <v>0</v>
      </c>
      <c r="AD217" s="832">
        <v>0</v>
      </c>
      <c r="AE217" s="832">
        <v>0</v>
      </c>
      <c r="AF217" s="832">
        <v>0</v>
      </c>
      <c r="AG217" s="832">
        <v>0</v>
      </c>
      <c r="AH217" s="832">
        <v>0</v>
      </c>
      <c r="AI217" s="832">
        <v>0</v>
      </c>
      <c r="AJ217" s="1030" t="str">
        <f t="shared" si="18"/>
        <v>H01679</v>
      </c>
      <c r="AK217" s="1030" t="str">
        <f t="shared" si="19"/>
        <v>CARR DONATIONS</v>
      </c>
      <c r="AL217" s="1030">
        <f>IFERROR(INDEX(G217:R217,1,MATCH(Parametres!$B$3,G$1:R$1,0)-1)*IF(OR(F217="L",F217="S",F217="I"),-1,1),"")</f>
        <v>0</v>
      </c>
      <c r="AM217" s="1030">
        <f t="shared" si="20"/>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t="str">
        <f t="shared" si="21"/>
        <v>H01679</v>
      </c>
      <c r="AU217" s="599" t="str">
        <f t="shared" si="22"/>
        <v>CARR DONATIONS</v>
      </c>
      <c r="AV217" s="1030">
        <f>IFERROR(INDEX(V217:AG217,1,MATCH(Parametres!$B$3,V$1:AG$1,0)-1)*IF(OR(C217="L",C217="S",C217="I"),-1,1),"")</f>
        <v>0</v>
      </c>
      <c r="AW217" s="1030">
        <f t="shared" si="23"/>
        <v>0</v>
      </c>
      <c r="AX217" s="1030">
        <f>INDEX(V217:AG217,1,MATCH(Parametres!$B$3,V$1:AG$1,0))*IF(OR(C217="L",C217="S",C217="I"),-1,1)</f>
        <v>0</v>
      </c>
      <c r="AY217" s="598" t="s">
        <v>337</v>
      </c>
      <c r="AZ217" s="598" t="e">
        <f>+VLOOKUP($AJ217,Data_Validation!$A:$E,5,0)</f>
        <v>#N/A</v>
      </c>
    </row>
    <row r="218" spans="1:52" ht="15" customHeight="1">
      <c r="A218" s="832" t="s">
        <v>1150</v>
      </c>
      <c r="B218" s="832">
        <v>2025</v>
      </c>
      <c r="C218" s="832" t="s">
        <v>1582</v>
      </c>
      <c r="D218" s="832" t="s">
        <v>1583</v>
      </c>
      <c r="E218" s="832" t="s">
        <v>333</v>
      </c>
      <c r="F218" s="832" t="s">
        <v>1119</v>
      </c>
      <c r="G218" s="832">
        <v>0</v>
      </c>
      <c r="H218" s="832">
        <v>0</v>
      </c>
      <c r="I218" s="832">
        <v>0</v>
      </c>
      <c r="J218" s="832">
        <v>0</v>
      </c>
      <c r="K218" s="832">
        <v>0</v>
      </c>
      <c r="L218" s="832">
        <v>0</v>
      </c>
      <c r="M218" s="832">
        <v>0</v>
      </c>
      <c r="N218" s="832">
        <v>0</v>
      </c>
      <c r="O218" s="832">
        <v>0</v>
      </c>
      <c r="P218" s="832">
        <v>0</v>
      </c>
      <c r="Q218" s="832">
        <v>0</v>
      </c>
      <c r="R218" s="832">
        <v>0</v>
      </c>
      <c r="S218" s="832">
        <v>0</v>
      </c>
      <c r="T218" s="832">
        <v>0</v>
      </c>
      <c r="U218" s="832">
        <v>0</v>
      </c>
      <c r="V218" s="832">
        <v>0</v>
      </c>
      <c r="W218" s="832">
        <v>0</v>
      </c>
      <c r="X218" s="832">
        <v>0</v>
      </c>
      <c r="Y218" s="832">
        <v>0</v>
      </c>
      <c r="Z218" s="832">
        <v>0</v>
      </c>
      <c r="AA218" s="832">
        <v>0</v>
      </c>
      <c r="AB218" s="832">
        <v>0</v>
      </c>
      <c r="AC218" s="832">
        <v>0</v>
      </c>
      <c r="AD218" s="832">
        <v>0</v>
      </c>
      <c r="AE218" s="832">
        <v>0</v>
      </c>
      <c r="AF218" s="832">
        <v>0</v>
      </c>
      <c r="AG218" s="832">
        <v>0</v>
      </c>
      <c r="AH218" s="832">
        <v>0</v>
      </c>
      <c r="AI218" s="832">
        <v>0</v>
      </c>
      <c r="AJ218" s="1030" t="str">
        <f t="shared" si="18"/>
        <v>H01801</v>
      </c>
      <c r="AK218" s="1030" t="str">
        <f t="shared" si="19"/>
        <v>L/R SALAIRES-VENTES DIR</v>
      </c>
      <c r="AL218" s="1030">
        <f>IFERROR(INDEX(G218:R218,1,MATCH(Parametres!$B$3,G$1:R$1,0)-1)*IF(OR(F218="L",F218="S",F218="I"),-1,1),"")</f>
        <v>0</v>
      </c>
      <c r="AM218" s="1030">
        <f t="shared" si="20"/>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t="str">
        <f t="shared" si="21"/>
        <v>H01801</v>
      </c>
      <c r="AU218" s="599" t="str">
        <f t="shared" si="22"/>
        <v>L/R SALAIRES-VENTES DIR</v>
      </c>
      <c r="AV218" s="1030">
        <f>IFERROR(INDEX(V218:AG218,1,MATCH(Parametres!$B$3,V$1:AG$1,0)-1)*IF(OR(C218="L",C218="S",C218="I"),-1,1),"")</f>
        <v>0</v>
      </c>
      <c r="AW218" s="1030">
        <f t="shared" si="23"/>
        <v>0</v>
      </c>
      <c r="AX218" s="1030">
        <f>INDEX(V218:AG218,1,MATCH(Parametres!$B$3,V$1:AG$1,0))*IF(OR(C218="L",C218="S",C218="I"),-1,1)</f>
        <v>0</v>
      </c>
      <c r="AY218" s="598" t="s">
        <v>337</v>
      </c>
      <c r="AZ218" s="598" t="e">
        <f>+VLOOKUP($AJ218,Data_Validation!$A:$E,5,0)</f>
        <v>#N/A</v>
      </c>
    </row>
    <row r="219" spans="1:52" ht="15.75" customHeight="1">
      <c r="A219" s="832" t="s">
        <v>1150</v>
      </c>
      <c r="B219" s="832">
        <v>2025</v>
      </c>
      <c r="C219" s="832" t="s">
        <v>1584</v>
      </c>
      <c r="D219" s="832" t="s">
        <v>1585</v>
      </c>
      <c r="E219" s="832" t="s">
        <v>333</v>
      </c>
      <c r="F219" s="832" t="s">
        <v>1119</v>
      </c>
      <c r="G219" s="832">
        <v>0</v>
      </c>
      <c r="H219" s="832">
        <v>0</v>
      </c>
      <c r="I219" s="832">
        <v>0</v>
      </c>
      <c r="J219" s="832">
        <v>0</v>
      </c>
      <c r="K219" s="832">
        <v>0</v>
      </c>
      <c r="L219" s="832">
        <v>0</v>
      </c>
      <c r="M219" s="832">
        <v>0</v>
      </c>
      <c r="N219" s="832">
        <v>0</v>
      </c>
      <c r="O219" s="832">
        <v>0</v>
      </c>
      <c r="P219" s="832">
        <v>0</v>
      </c>
      <c r="Q219" s="832">
        <v>0</v>
      </c>
      <c r="R219" s="832">
        <v>0</v>
      </c>
      <c r="S219" s="832">
        <v>0</v>
      </c>
      <c r="T219" s="832">
        <v>0</v>
      </c>
      <c r="U219" s="832">
        <v>0</v>
      </c>
      <c r="V219" s="832">
        <v>0</v>
      </c>
      <c r="W219" s="832">
        <v>0</v>
      </c>
      <c r="X219" s="832">
        <v>0</v>
      </c>
      <c r="Y219" s="832">
        <v>0</v>
      </c>
      <c r="Z219" s="832">
        <v>0</v>
      </c>
      <c r="AA219" s="832">
        <v>0</v>
      </c>
      <c r="AB219" s="832">
        <v>0</v>
      </c>
      <c r="AC219" s="832">
        <v>0</v>
      </c>
      <c r="AD219" s="832">
        <v>0</v>
      </c>
      <c r="AE219" s="832">
        <v>0</v>
      </c>
      <c r="AF219" s="832">
        <v>0</v>
      </c>
      <c r="AG219" s="832">
        <v>0</v>
      </c>
      <c r="AH219" s="832">
        <v>0</v>
      </c>
      <c r="AI219" s="832">
        <v>0</v>
      </c>
      <c r="AJ219" s="1030" t="str">
        <f t="shared" si="18"/>
        <v>H01802</v>
      </c>
      <c r="AK219" s="1030" t="str">
        <f t="shared" si="19"/>
        <v>L/R SALAIRE COMM VENDEUR</v>
      </c>
      <c r="AL219" s="1030">
        <f>IFERROR(INDEX(G219:R219,1,MATCH(Parametres!$B$3,G$1:R$1,0)-1)*IF(OR(F219="L",F219="S",F219="I"),-1,1),"")</f>
        <v>0</v>
      </c>
      <c r="AM219" s="1030">
        <f t="shared" si="20"/>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t="str">
        <f t="shared" si="21"/>
        <v>H01802</v>
      </c>
      <c r="AU219" s="599" t="str">
        <f t="shared" si="22"/>
        <v>L/R SALAIRE COMM VENDEUR</v>
      </c>
      <c r="AV219" s="1030">
        <f>IFERROR(INDEX(V219:AG219,1,MATCH(Parametres!$B$3,V$1:AG$1,0)-1)*IF(OR(C219="L",C219="S",C219="I"),-1,1),"")</f>
        <v>0</v>
      </c>
      <c r="AW219" s="1030">
        <f t="shared" si="23"/>
        <v>0</v>
      </c>
      <c r="AX219" s="1030">
        <f>INDEX(V219:AG219,1,MATCH(Parametres!$B$3,V$1:AG$1,0))*IF(OR(C219="L",C219="S",C219="I"),-1,1)</f>
        <v>0</v>
      </c>
      <c r="AY219" s="598" t="s">
        <v>337</v>
      </c>
      <c r="AZ219" s="598" t="e">
        <f>+VLOOKUP($AJ219,Data_Validation!$A:$E,5,0)</f>
        <v>#N/A</v>
      </c>
    </row>
    <row r="220" spans="1:52" ht="15" customHeight="1">
      <c r="A220" s="832" t="s">
        <v>1150</v>
      </c>
      <c r="B220" s="832">
        <v>2025</v>
      </c>
      <c r="C220" s="832" t="s">
        <v>1586</v>
      </c>
      <c r="D220" s="832" t="s">
        <v>1587</v>
      </c>
      <c r="E220" s="832" t="s">
        <v>333</v>
      </c>
      <c r="F220" s="832" t="s">
        <v>1119</v>
      </c>
      <c r="G220" s="832">
        <v>0</v>
      </c>
      <c r="H220" s="832">
        <v>0</v>
      </c>
      <c r="I220" s="832">
        <v>0</v>
      </c>
      <c r="J220" s="832">
        <v>0</v>
      </c>
      <c r="K220" s="832">
        <v>0</v>
      </c>
      <c r="L220" s="832">
        <v>0</v>
      </c>
      <c r="M220" s="832">
        <v>0</v>
      </c>
      <c r="N220" s="832">
        <v>0</v>
      </c>
      <c r="O220" s="832">
        <v>0</v>
      </c>
      <c r="P220" s="832">
        <v>0</v>
      </c>
      <c r="Q220" s="832">
        <v>0</v>
      </c>
      <c r="R220" s="832">
        <v>0</v>
      </c>
      <c r="S220" s="832">
        <v>0</v>
      </c>
      <c r="T220" s="832">
        <v>0</v>
      </c>
      <c r="U220" s="832">
        <v>0</v>
      </c>
      <c r="V220" s="832">
        <v>0</v>
      </c>
      <c r="W220" s="832">
        <v>0</v>
      </c>
      <c r="X220" s="832">
        <v>0</v>
      </c>
      <c r="Y220" s="832">
        <v>0</v>
      </c>
      <c r="Z220" s="832">
        <v>0</v>
      </c>
      <c r="AA220" s="832">
        <v>0</v>
      </c>
      <c r="AB220" s="832">
        <v>0</v>
      </c>
      <c r="AC220" s="832">
        <v>0</v>
      </c>
      <c r="AD220" s="832">
        <v>0</v>
      </c>
      <c r="AE220" s="832">
        <v>0</v>
      </c>
      <c r="AF220" s="832">
        <v>0</v>
      </c>
      <c r="AG220" s="832">
        <v>0</v>
      </c>
      <c r="AH220" s="832">
        <v>0</v>
      </c>
      <c r="AI220" s="832">
        <v>0</v>
      </c>
      <c r="AJ220" s="1030" t="str">
        <f t="shared" si="18"/>
        <v>H01803</v>
      </c>
      <c r="AK220" s="1030" t="str">
        <f t="shared" si="19"/>
        <v>L/R SALAIRES &amp; COMM F&amp;I</v>
      </c>
      <c r="AL220" s="1030">
        <f>IFERROR(INDEX(G220:R220,1,MATCH(Parametres!$B$3,G$1:R$1,0)-1)*IF(OR(F220="L",F220="S",F220="I"),-1,1),"")</f>
        <v>0</v>
      </c>
      <c r="AM220" s="1030">
        <f t="shared" si="20"/>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t="str">
        <f t="shared" si="21"/>
        <v>H01803</v>
      </c>
      <c r="AU220" s="599" t="str">
        <f t="shared" si="22"/>
        <v>L/R SALAIRES &amp; COMM F&amp;I</v>
      </c>
      <c r="AV220" s="1030">
        <f>IFERROR(INDEX(V220:AG220,1,MATCH(Parametres!$B$3,V$1:AG$1,0)-1)*IF(OR(C220="L",C220="S",C220="I"),-1,1),"")</f>
        <v>0</v>
      </c>
      <c r="AW220" s="1030">
        <f t="shared" si="23"/>
        <v>0</v>
      </c>
      <c r="AX220" s="1030">
        <f>INDEX(V220:AG220,1,MATCH(Parametres!$B$3,V$1:AG$1,0))*IF(OR(C220="L",C220="S",C220="I"),-1,1)</f>
        <v>0</v>
      </c>
      <c r="AY220" s="598" t="s">
        <v>337</v>
      </c>
      <c r="AZ220" s="598" t="e">
        <f>+VLOOKUP($AJ220,Data_Validation!$A:$E,5,0)</f>
        <v>#N/A</v>
      </c>
    </row>
    <row r="221" spans="1:52" ht="15" customHeight="1">
      <c r="A221" s="832" t="s">
        <v>1150</v>
      </c>
      <c r="B221" s="832">
        <v>2025</v>
      </c>
      <c r="C221" s="832" t="s">
        <v>1588</v>
      </c>
      <c r="D221" s="832" t="s">
        <v>1589</v>
      </c>
      <c r="E221" s="832" t="s">
        <v>333</v>
      </c>
      <c r="F221" s="832" t="s">
        <v>1119</v>
      </c>
      <c r="G221" s="832">
        <v>0</v>
      </c>
      <c r="H221" s="832">
        <v>0</v>
      </c>
      <c r="I221" s="832">
        <v>0</v>
      </c>
      <c r="J221" s="832">
        <v>0</v>
      </c>
      <c r="K221" s="832">
        <v>0</v>
      </c>
      <c r="L221" s="832">
        <v>0</v>
      </c>
      <c r="M221" s="832">
        <v>0</v>
      </c>
      <c r="N221" s="832">
        <v>0</v>
      </c>
      <c r="O221" s="832">
        <v>0</v>
      </c>
      <c r="P221" s="832">
        <v>0</v>
      </c>
      <c r="Q221" s="832">
        <v>0</v>
      </c>
      <c r="R221" s="832">
        <v>0</v>
      </c>
      <c r="S221" s="832">
        <v>0</v>
      </c>
      <c r="T221" s="832">
        <v>0</v>
      </c>
      <c r="U221" s="832">
        <v>0</v>
      </c>
      <c r="V221" s="832">
        <v>0</v>
      </c>
      <c r="W221" s="832">
        <v>0</v>
      </c>
      <c r="X221" s="832">
        <v>0</v>
      </c>
      <c r="Y221" s="832">
        <v>0</v>
      </c>
      <c r="Z221" s="832">
        <v>0</v>
      </c>
      <c r="AA221" s="832">
        <v>0</v>
      </c>
      <c r="AB221" s="832">
        <v>0</v>
      </c>
      <c r="AC221" s="832">
        <v>0</v>
      </c>
      <c r="AD221" s="832">
        <v>0</v>
      </c>
      <c r="AE221" s="832">
        <v>0</v>
      </c>
      <c r="AF221" s="832">
        <v>0</v>
      </c>
      <c r="AG221" s="832">
        <v>0</v>
      </c>
      <c r="AH221" s="832">
        <v>0</v>
      </c>
      <c r="AI221" s="832">
        <v>0</v>
      </c>
      <c r="AJ221" s="1030" t="str">
        <f t="shared" si="18"/>
        <v>H01804</v>
      </c>
      <c r="AK221" s="1030" t="str">
        <f t="shared" si="19"/>
        <v>L/R PREP A LA ROUTE</v>
      </c>
      <c r="AL221" s="1030">
        <f>IFERROR(INDEX(G221:R221,1,MATCH(Parametres!$B$3,G$1:R$1,0)-1)*IF(OR(F221="L",F221="S",F221="I"),-1,1),"")</f>
        <v>0</v>
      </c>
      <c r="AM221" s="1030">
        <f t="shared" si="20"/>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t="str">
        <f t="shared" si="21"/>
        <v>H01804</v>
      </c>
      <c r="AU221" s="599" t="str">
        <f t="shared" si="22"/>
        <v>L/R PREP A LA ROUTE</v>
      </c>
      <c r="AV221" s="1030">
        <f>IFERROR(INDEX(V221:AG221,1,MATCH(Parametres!$B$3,V$1:AG$1,0)-1)*IF(OR(C221="L",C221="S",C221="I"),-1,1),"")</f>
        <v>0</v>
      </c>
      <c r="AW221" s="1030">
        <f t="shared" si="23"/>
        <v>0</v>
      </c>
      <c r="AX221" s="1030">
        <f>INDEX(V221:AG221,1,MATCH(Parametres!$B$3,V$1:AG$1,0))*IF(OR(C221="L",C221="S",C221="I"),-1,1)</f>
        <v>0</v>
      </c>
      <c r="AY221" s="598" t="s">
        <v>337</v>
      </c>
      <c r="AZ221" s="598" t="e">
        <f>+VLOOKUP($AJ221,Data_Validation!$A:$E,5,0)</f>
        <v>#N/A</v>
      </c>
    </row>
    <row r="222" spans="1:52" ht="15" customHeight="1">
      <c r="A222" s="832" t="s">
        <v>1150</v>
      </c>
      <c r="B222" s="832">
        <v>2025</v>
      </c>
      <c r="C222" s="832" t="s">
        <v>1590</v>
      </c>
      <c r="D222" s="832" t="s">
        <v>1591</v>
      </c>
      <c r="E222" s="832" t="s">
        <v>333</v>
      </c>
      <c r="F222" s="832" t="s">
        <v>1119</v>
      </c>
      <c r="G222" s="832">
        <v>0</v>
      </c>
      <c r="H222" s="832">
        <v>0</v>
      </c>
      <c r="I222" s="832">
        <v>0</v>
      </c>
      <c r="J222" s="832">
        <v>0</v>
      </c>
      <c r="K222" s="832">
        <v>0</v>
      </c>
      <c r="L222" s="832">
        <v>0</v>
      </c>
      <c r="M222" s="832">
        <v>0</v>
      </c>
      <c r="N222" s="832">
        <v>0</v>
      </c>
      <c r="O222" s="832">
        <v>0</v>
      </c>
      <c r="P222" s="832">
        <v>0</v>
      </c>
      <c r="Q222" s="832">
        <v>0</v>
      </c>
      <c r="R222" s="832">
        <v>0</v>
      </c>
      <c r="S222" s="832">
        <v>0</v>
      </c>
      <c r="T222" s="832">
        <v>0</v>
      </c>
      <c r="U222" s="832">
        <v>0</v>
      </c>
      <c r="V222" s="832">
        <v>0</v>
      </c>
      <c r="W222" s="832">
        <v>0</v>
      </c>
      <c r="X222" s="832">
        <v>0</v>
      </c>
      <c r="Y222" s="832">
        <v>0</v>
      </c>
      <c r="Z222" s="832">
        <v>0</v>
      </c>
      <c r="AA222" s="832">
        <v>0</v>
      </c>
      <c r="AB222" s="832">
        <v>0</v>
      </c>
      <c r="AC222" s="832">
        <v>0</v>
      </c>
      <c r="AD222" s="832">
        <v>0</v>
      </c>
      <c r="AE222" s="832">
        <v>0</v>
      </c>
      <c r="AF222" s="832">
        <v>0</v>
      </c>
      <c r="AG222" s="832">
        <v>0</v>
      </c>
      <c r="AH222" s="832">
        <v>0</v>
      </c>
      <c r="AI222" s="832">
        <v>0</v>
      </c>
      <c r="AJ222" s="1030" t="str">
        <f t="shared" si="18"/>
        <v>H01805</v>
      </c>
      <c r="AK222" s="1030" t="str">
        <f t="shared" si="19"/>
        <v>L/R PRATIQUES DE GARANTIE</v>
      </c>
      <c r="AL222" s="1030">
        <f>IFERROR(INDEX(G222:R222,1,MATCH(Parametres!$B$3,G$1:R$1,0)-1)*IF(OR(F222="L",F222="S",F222="I"),-1,1),"")</f>
        <v>0</v>
      </c>
      <c r="AM222" s="1030">
        <f t="shared" si="20"/>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t="str">
        <f t="shared" si="21"/>
        <v>H01805</v>
      </c>
      <c r="AU222" s="599" t="str">
        <f t="shared" si="22"/>
        <v>L/R PRATIQUES DE GARANTIE</v>
      </c>
      <c r="AV222" s="1030">
        <f>IFERROR(INDEX(V222:AG222,1,MATCH(Parametres!$B$3,V$1:AG$1,0)-1)*IF(OR(C222="L",C222="S",C222="I"),-1,1),"")</f>
        <v>0</v>
      </c>
      <c r="AW222" s="1030">
        <f t="shared" si="23"/>
        <v>0</v>
      </c>
      <c r="AX222" s="1030">
        <f>INDEX(V222:AG222,1,MATCH(Parametres!$B$3,V$1:AG$1,0))*IF(OR(C222="L",C222="S",C222="I"),-1,1)</f>
        <v>0</v>
      </c>
      <c r="AY222" s="598" t="s">
        <v>337</v>
      </c>
      <c r="AZ222" s="598" t="e">
        <f>+VLOOKUP($AJ222,Data_Validation!$A:$E,5,0)</f>
        <v>#N/A</v>
      </c>
    </row>
    <row r="223" spans="1:52" ht="15" customHeight="1">
      <c r="A223" s="832" t="s">
        <v>1150</v>
      </c>
      <c r="B223" s="832">
        <v>2025</v>
      </c>
      <c r="C223" s="832" t="s">
        <v>1592</v>
      </c>
      <c r="D223" s="832" t="s">
        <v>1593</v>
      </c>
      <c r="E223" s="832" t="s">
        <v>333</v>
      </c>
      <c r="F223" s="832" t="s">
        <v>1119</v>
      </c>
      <c r="G223" s="832">
        <v>0</v>
      </c>
      <c r="H223" s="832">
        <v>0</v>
      </c>
      <c r="I223" s="832">
        <v>0</v>
      </c>
      <c r="J223" s="832">
        <v>0</v>
      </c>
      <c r="K223" s="832">
        <v>0</v>
      </c>
      <c r="L223" s="832">
        <v>0</v>
      </c>
      <c r="M223" s="832">
        <v>0</v>
      </c>
      <c r="N223" s="832">
        <v>0</v>
      </c>
      <c r="O223" s="832">
        <v>0</v>
      </c>
      <c r="P223" s="832">
        <v>0</v>
      </c>
      <c r="Q223" s="832">
        <v>0</v>
      </c>
      <c r="R223" s="832">
        <v>0</v>
      </c>
      <c r="S223" s="832">
        <v>0</v>
      </c>
      <c r="T223" s="832">
        <v>0</v>
      </c>
      <c r="U223" s="832">
        <v>0</v>
      </c>
      <c r="V223" s="832">
        <v>0</v>
      </c>
      <c r="W223" s="832">
        <v>0</v>
      </c>
      <c r="X223" s="832">
        <v>0</v>
      </c>
      <c r="Y223" s="832">
        <v>0</v>
      </c>
      <c r="Z223" s="832">
        <v>0</v>
      </c>
      <c r="AA223" s="832">
        <v>0</v>
      </c>
      <c r="AB223" s="832">
        <v>0</v>
      </c>
      <c r="AC223" s="832">
        <v>0</v>
      </c>
      <c r="AD223" s="832">
        <v>0</v>
      </c>
      <c r="AE223" s="832">
        <v>0</v>
      </c>
      <c r="AF223" s="832">
        <v>0</v>
      </c>
      <c r="AG223" s="832">
        <v>0</v>
      </c>
      <c r="AH223" s="832">
        <v>0</v>
      </c>
      <c r="AI223" s="832">
        <v>0</v>
      </c>
      <c r="AJ223" s="1030" t="str">
        <f t="shared" si="18"/>
        <v>H01806</v>
      </c>
      <c r="AK223" s="1030" t="str">
        <f t="shared" si="19"/>
        <v>L/R TOT PUB &amp; PROMO VENTE</v>
      </c>
      <c r="AL223" s="1030">
        <f>IFERROR(INDEX(G223:R223,1,MATCH(Parametres!$B$3,G$1:R$1,0)-1)*IF(OR(F223="L",F223="S",F223="I"),-1,1),"")</f>
        <v>0</v>
      </c>
      <c r="AM223" s="1030">
        <f t="shared" si="20"/>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t="str">
        <f t="shared" si="21"/>
        <v>H01806</v>
      </c>
      <c r="AU223" s="599" t="str">
        <f t="shared" si="22"/>
        <v>L/R TOT PUB &amp; PROMO VENTE</v>
      </c>
      <c r="AV223" s="1030">
        <f>IFERROR(INDEX(V223:AG223,1,MATCH(Parametres!$B$3,V$1:AG$1,0)-1)*IF(OR(C223="L",C223="S",C223="I"),-1,1),"")</f>
        <v>0</v>
      </c>
      <c r="AW223" s="1030">
        <f t="shared" si="23"/>
        <v>0</v>
      </c>
      <c r="AX223" s="1030">
        <f>INDEX(V223:AG223,1,MATCH(Parametres!$B$3,V$1:AG$1,0))*IF(OR(C223="L",C223="S",C223="I"),-1,1)</f>
        <v>0</v>
      </c>
      <c r="AY223" s="598" t="s">
        <v>337</v>
      </c>
      <c r="AZ223" s="598" t="e">
        <f>+VLOOKUP($AJ223,Data_Validation!$A:$E,5,0)</f>
        <v>#N/A</v>
      </c>
    </row>
    <row r="224" spans="1:52" ht="15" customHeight="1">
      <c r="A224" s="832" t="s">
        <v>1150</v>
      </c>
      <c r="B224" s="832">
        <v>2025</v>
      </c>
      <c r="C224" s="832" t="s">
        <v>1594</v>
      </c>
      <c r="D224" s="832" t="s">
        <v>1595</v>
      </c>
      <c r="E224" s="832" t="s">
        <v>333</v>
      </c>
      <c r="F224" s="832" t="s">
        <v>1119</v>
      </c>
      <c r="G224" s="832">
        <v>0</v>
      </c>
      <c r="H224" s="832">
        <v>0</v>
      </c>
      <c r="I224" s="832">
        <v>0</v>
      </c>
      <c r="J224" s="832">
        <v>0</v>
      </c>
      <c r="K224" s="832">
        <v>0</v>
      </c>
      <c r="L224" s="832">
        <v>0</v>
      </c>
      <c r="M224" s="832">
        <v>0</v>
      </c>
      <c r="N224" s="832">
        <v>0</v>
      </c>
      <c r="O224" s="832">
        <v>0</v>
      </c>
      <c r="P224" s="832">
        <v>0</v>
      </c>
      <c r="Q224" s="832">
        <v>0</v>
      </c>
      <c r="R224" s="832">
        <v>0</v>
      </c>
      <c r="S224" s="832">
        <v>0</v>
      </c>
      <c r="T224" s="832">
        <v>0</v>
      </c>
      <c r="U224" s="832">
        <v>0</v>
      </c>
      <c r="V224" s="832">
        <v>0</v>
      </c>
      <c r="W224" s="832">
        <v>0</v>
      </c>
      <c r="X224" s="832">
        <v>0</v>
      </c>
      <c r="Y224" s="832">
        <v>0</v>
      </c>
      <c r="Z224" s="832">
        <v>0</v>
      </c>
      <c r="AA224" s="832">
        <v>0</v>
      </c>
      <c r="AB224" s="832">
        <v>0</v>
      </c>
      <c r="AC224" s="832">
        <v>0</v>
      </c>
      <c r="AD224" s="832">
        <v>0</v>
      </c>
      <c r="AE224" s="832">
        <v>0</v>
      </c>
      <c r="AF224" s="832">
        <v>0</v>
      </c>
      <c r="AG224" s="832">
        <v>0</v>
      </c>
      <c r="AH224" s="832">
        <v>0</v>
      </c>
      <c r="AI224" s="832">
        <v>0</v>
      </c>
      <c r="AJ224" s="1030" t="str">
        <f t="shared" si="18"/>
        <v>H01807</v>
      </c>
      <c r="AK224" s="1030" t="str">
        <f t="shared" si="19"/>
        <v>L/R COOP RABAIS PUBLICITE</v>
      </c>
      <c r="AL224" s="1030">
        <f>IFERROR(INDEX(G224:R224,1,MATCH(Parametres!$B$3,G$1:R$1,0)-1)*IF(OR(F224="L",F224="S",F224="I"),-1,1),"")</f>
        <v>0</v>
      </c>
      <c r="AM224" s="1030">
        <f t="shared" si="20"/>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t="str">
        <f t="shared" si="21"/>
        <v>H01807</v>
      </c>
      <c r="AU224" s="599" t="str">
        <f t="shared" si="22"/>
        <v>L/R COOP RABAIS PUBLICITE</v>
      </c>
      <c r="AV224" s="1030">
        <f>IFERROR(INDEX(V224:AG224,1,MATCH(Parametres!$B$3,V$1:AG$1,0)-1)*IF(OR(C224="L",C224="S",C224="I"),-1,1),"")</f>
        <v>0</v>
      </c>
      <c r="AW224" s="1030">
        <f t="shared" si="23"/>
        <v>0</v>
      </c>
      <c r="AX224" s="1030">
        <f>INDEX(V224:AG224,1,MATCH(Parametres!$B$3,V$1:AG$1,0))*IF(OR(C224="L",C224="S",C224="I"),-1,1)</f>
        <v>0</v>
      </c>
      <c r="AY224" s="598" t="s">
        <v>337</v>
      </c>
      <c r="AZ224" s="598" t="e">
        <f>+VLOOKUP($AJ224,Data_Validation!$A:$E,5,0)</f>
        <v>#N/A</v>
      </c>
    </row>
    <row r="225" spans="1:52" ht="15.75" customHeight="1">
      <c r="A225" s="832" t="s">
        <v>1150</v>
      </c>
      <c r="B225" s="832">
        <v>2025</v>
      </c>
      <c r="C225" s="832" t="s">
        <v>1596</v>
      </c>
      <c r="D225" s="832" t="s">
        <v>1597</v>
      </c>
      <c r="E225" s="832" t="s">
        <v>333</v>
      </c>
      <c r="F225" s="832" t="s">
        <v>1119</v>
      </c>
      <c r="G225" s="832">
        <v>0</v>
      </c>
      <c r="H225" s="832">
        <v>0</v>
      </c>
      <c r="I225" s="832">
        <v>0</v>
      </c>
      <c r="J225" s="832">
        <v>0</v>
      </c>
      <c r="K225" s="832">
        <v>0</v>
      </c>
      <c r="L225" s="832">
        <v>0</v>
      </c>
      <c r="M225" s="832">
        <v>0</v>
      </c>
      <c r="N225" s="832">
        <v>0</v>
      </c>
      <c r="O225" s="832">
        <v>0</v>
      </c>
      <c r="P225" s="832">
        <v>0</v>
      </c>
      <c r="Q225" s="832">
        <v>0</v>
      </c>
      <c r="R225" s="832">
        <v>0</v>
      </c>
      <c r="S225" s="832">
        <v>0</v>
      </c>
      <c r="T225" s="832">
        <v>0</v>
      </c>
      <c r="U225" s="832">
        <v>0</v>
      </c>
      <c r="V225" s="832">
        <v>0</v>
      </c>
      <c r="W225" s="832">
        <v>0</v>
      </c>
      <c r="X225" s="832">
        <v>0</v>
      </c>
      <c r="Y225" s="832">
        <v>0</v>
      </c>
      <c r="Z225" s="832">
        <v>0</v>
      </c>
      <c r="AA225" s="832">
        <v>0</v>
      </c>
      <c r="AB225" s="832">
        <v>0</v>
      </c>
      <c r="AC225" s="832">
        <v>0</v>
      </c>
      <c r="AD225" s="832">
        <v>0</v>
      </c>
      <c r="AE225" s="832">
        <v>0</v>
      </c>
      <c r="AF225" s="832">
        <v>0</v>
      </c>
      <c r="AG225" s="832">
        <v>0</v>
      </c>
      <c r="AH225" s="832">
        <v>0</v>
      </c>
      <c r="AI225" s="832">
        <v>0</v>
      </c>
      <c r="AJ225" s="1030" t="str">
        <f t="shared" si="18"/>
        <v>H01808</v>
      </c>
      <c r="AK225" s="1030" t="str">
        <f t="shared" si="19"/>
        <v>L/R DEMONSTRATEURS</v>
      </c>
      <c r="AL225" s="1030">
        <f>IFERROR(INDEX(G225:R225,1,MATCH(Parametres!$B$3,G$1:R$1,0)-1)*IF(OR(F225="L",F225="S",F225="I"),-1,1),"")</f>
        <v>0</v>
      </c>
      <c r="AM225" s="1030">
        <f t="shared" si="20"/>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t="str">
        <f t="shared" si="21"/>
        <v>H01808</v>
      </c>
      <c r="AU225" s="599" t="str">
        <f t="shared" si="22"/>
        <v>L/R DEMONSTRATEURS</v>
      </c>
      <c r="AV225" s="1030">
        <f>IFERROR(INDEX(V225:AG225,1,MATCH(Parametres!$B$3,V$1:AG$1,0)-1)*IF(OR(C225="L",C225="S",C225="I"),-1,1),"")</f>
        <v>0</v>
      </c>
      <c r="AW225" s="1030">
        <f t="shared" si="23"/>
        <v>0</v>
      </c>
      <c r="AX225" s="1030">
        <f>INDEX(V225:AG225,1,MATCH(Parametres!$B$3,V$1:AG$1,0))*IF(OR(C225="L",C225="S",C225="I"),-1,1)</f>
        <v>0</v>
      </c>
      <c r="AY225" s="598" t="s">
        <v>337</v>
      </c>
      <c r="AZ225" s="598" t="e">
        <f>+VLOOKUP($AJ225,Data_Validation!$A:$E,5,0)</f>
        <v>#N/A</v>
      </c>
    </row>
    <row r="226" spans="1:52" ht="15" customHeight="1">
      <c r="A226" s="832" t="s">
        <v>1150</v>
      </c>
      <c r="B226" s="832">
        <v>2025</v>
      </c>
      <c r="C226" s="832" t="s">
        <v>1598</v>
      </c>
      <c r="D226" s="832" t="s">
        <v>1599</v>
      </c>
      <c r="E226" s="832" t="s">
        <v>333</v>
      </c>
      <c r="F226" s="832" t="s">
        <v>1119</v>
      </c>
      <c r="G226" s="832">
        <v>0</v>
      </c>
      <c r="H226" s="832">
        <v>0</v>
      </c>
      <c r="I226" s="832">
        <v>0</v>
      </c>
      <c r="J226" s="832">
        <v>0</v>
      </c>
      <c r="K226" s="832">
        <v>0</v>
      </c>
      <c r="L226" s="832">
        <v>0</v>
      </c>
      <c r="M226" s="832">
        <v>0</v>
      </c>
      <c r="N226" s="832">
        <v>0</v>
      </c>
      <c r="O226" s="832">
        <v>0</v>
      </c>
      <c r="P226" s="832">
        <v>0</v>
      </c>
      <c r="Q226" s="832">
        <v>0</v>
      </c>
      <c r="R226" s="832">
        <v>0</v>
      </c>
      <c r="S226" s="832">
        <v>0</v>
      </c>
      <c r="T226" s="832">
        <v>0</v>
      </c>
      <c r="U226" s="832">
        <v>0</v>
      </c>
      <c r="V226" s="832">
        <v>0</v>
      </c>
      <c r="W226" s="832">
        <v>0</v>
      </c>
      <c r="X226" s="832">
        <v>0</v>
      </c>
      <c r="Y226" s="832">
        <v>0</v>
      </c>
      <c r="Z226" s="832">
        <v>0</v>
      </c>
      <c r="AA226" s="832">
        <v>0</v>
      </c>
      <c r="AB226" s="832">
        <v>0</v>
      </c>
      <c r="AC226" s="832">
        <v>0</v>
      </c>
      <c r="AD226" s="832">
        <v>0</v>
      </c>
      <c r="AE226" s="832">
        <v>0</v>
      </c>
      <c r="AF226" s="832">
        <v>0</v>
      </c>
      <c r="AG226" s="832">
        <v>0</v>
      </c>
      <c r="AH226" s="832">
        <v>0</v>
      </c>
      <c r="AI226" s="832">
        <v>0</v>
      </c>
      <c r="AJ226" s="1030" t="str">
        <f t="shared" si="18"/>
        <v>H01809</v>
      </c>
      <c r="AK226" s="1030" t="str">
        <f t="shared" si="19"/>
        <v>L/R ENT VEH EN STOCK</v>
      </c>
      <c r="AL226" s="1030">
        <f>IFERROR(INDEX(G226:R226,1,MATCH(Parametres!$B$3,G$1:R$1,0)-1)*IF(OR(F226="L",F226="S",F226="I"),-1,1),"")</f>
        <v>0</v>
      </c>
      <c r="AM226" s="1030">
        <f t="shared" si="20"/>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t="str">
        <f t="shared" si="21"/>
        <v>H01809</v>
      </c>
      <c r="AU226" s="599" t="str">
        <f t="shared" si="22"/>
        <v>L/R ENT VEH EN STOCK</v>
      </c>
      <c r="AV226" s="1030">
        <f>IFERROR(INDEX(V226:AG226,1,MATCH(Parametres!$B$3,V$1:AG$1,0)-1)*IF(OR(C226="L",C226="S",C226="I"),-1,1),"")</f>
        <v>0</v>
      </c>
      <c r="AW226" s="1030">
        <f t="shared" si="23"/>
        <v>0</v>
      </c>
      <c r="AX226" s="1030">
        <f>INDEX(V226:AG226,1,MATCH(Parametres!$B$3,V$1:AG$1,0))*IF(OR(C226="L",C226="S",C226="I"),-1,1)</f>
        <v>0</v>
      </c>
      <c r="AY226" s="598" t="s">
        <v>337</v>
      </c>
      <c r="AZ226" s="598" t="e">
        <f>+VLOOKUP($AJ226,Data_Validation!$A:$E,5,0)</f>
        <v>#N/A</v>
      </c>
    </row>
    <row r="227" spans="1:52" ht="15" customHeight="1">
      <c r="A227" s="832" t="s">
        <v>1150</v>
      </c>
      <c r="B227" s="832">
        <v>2025</v>
      </c>
      <c r="C227" s="832" t="s">
        <v>1600</v>
      </c>
      <c r="D227" s="832" t="s">
        <v>1601</v>
      </c>
      <c r="E227" s="832" t="s">
        <v>333</v>
      </c>
      <c r="F227" s="832" t="s">
        <v>1119</v>
      </c>
      <c r="G227" s="832">
        <v>0</v>
      </c>
      <c r="H227" s="832">
        <v>0</v>
      </c>
      <c r="I227" s="832">
        <v>0</v>
      </c>
      <c r="J227" s="832">
        <v>0</v>
      </c>
      <c r="K227" s="832">
        <v>0</v>
      </c>
      <c r="L227" s="832">
        <v>0</v>
      </c>
      <c r="M227" s="832">
        <v>0</v>
      </c>
      <c r="N227" s="832">
        <v>0</v>
      </c>
      <c r="O227" s="832">
        <v>0</v>
      </c>
      <c r="P227" s="832">
        <v>0</v>
      </c>
      <c r="Q227" s="832">
        <v>0</v>
      </c>
      <c r="R227" s="832">
        <v>0</v>
      </c>
      <c r="S227" s="832">
        <v>0</v>
      </c>
      <c r="T227" s="832">
        <v>0</v>
      </c>
      <c r="U227" s="832">
        <v>0</v>
      </c>
      <c r="V227" s="832">
        <v>0</v>
      </c>
      <c r="W227" s="832">
        <v>0</v>
      </c>
      <c r="X227" s="832">
        <v>0</v>
      </c>
      <c r="Y227" s="832">
        <v>0</v>
      </c>
      <c r="Z227" s="832">
        <v>0</v>
      </c>
      <c r="AA227" s="832">
        <v>0</v>
      </c>
      <c r="AB227" s="832">
        <v>0</v>
      </c>
      <c r="AC227" s="832">
        <v>0</v>
      </c>
      <c r="AD227" s="832">
        <v>0</v>
      </c>
      <c r="AE227" s="832">
        <v>0</v>
      </c>
      <c r="AF227" s="832">
        <v>0</v>
      </c>
      <c r="AG227" s="832">
        <v>0</v>
      </c>
      <c r="AH227" s="832">
        <v>0</v>
      </c>
      <c r="AI227" s="832">
        <v>0</v>
      </c>
      <c r="AJ227" s="1030" t="str">
        <f t="shared" si="18"/>
        <v>H01810</v>
      </c>
      <c r="AK227" s="1030" t="str">
        <f t="shared" si="19"/>
        <v>L/R FRAIS FINANCEMENT</v>
      </c>
      <c r="AL227" s="1030">
        <f>IFERROR(INDEX(G227:R227,1,MATCH(Parametres!$B$3,G$1:R$1,0)-1)*IF(OR(F227="L",F227="S",F227="I"),-1,1),"")</f>
        <v>0</v>
      </c>
      <c r="AM227" s="1030">
        <f t="shared" si="20"/>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t="str">
        <f t="shared" si="21"/>
        <v>H01810</v>
      </c>
      <c r="AU227" s="599" t="str">
        <f t="shared" si="22"/>
        <v>L/R FRAIS FINANCEMENT</v>
      </c>
      <c r="AV227" s="1030">
        <f>IFERROR(INDEX(V227:AG227,1,MATCH(Parametres!$B$3,V$1:AG$1,0)-1)*IF(OR(C227="L",C227="S",C227="I"),-1,1),"")</f>
        <v>0</v>
      </c>
      <c r="AW227" s="1030">
        <f t="shared" si="23"/>
        <v>0</v>
      </c>
      <c r="AX227" s="1030">
        <f>INDEX(V227:AG227,1,MATCH(Parametres!$B$3,V$1:AG$1,0))*IF(OR(C227="L",C227="S",C227="I"),-1,1)</f>
        <v>0</v>
      </c>
      <c r="AY227" s="598" t="s">
        <v>337</v>
      </c>
      <c r="AZ227" s="598" t="e">
        <f>+VLOOKUP($AJ227,Data_Validation!$A:$E,5,0)</f>
        <v>#N/A</v>
      </c>
    </row>
    <row r="228" spans="1:52" ht="15" customHeight="1">
      <c r="A228" s="832" t="s">
        <v>1150</v>
      </c>
      <c r="B228" s="832">
        <v>2025</v>
      </c>
      <c r="C228" s="832" t="s">
        <v>1602</v>
      </c>
      <c r="D228" s="832" t="s">
        <v>1603</v>
      </c>
      <c r="E228" s="832" t="s">
        <v>333</v>
      </c>
      <c r="F228" s="832" t="s">
        <v>1119</v>
      </c>
      <c r="G228" s="832">
        <v>0</v>
      </c>
      <c r="H228" s="832">
        <v>0</v>
      </c>
      <c r="I228" s="832">
        <v>0</v>
      </c>
      <c r="J228" s="832">
        <v>0</v>
      </c>
      <c r="K228" s="832">
        <v>0</v>
      </c>
      <c r="L228" s="832">
        <v>0</v>
      </c>
      <c r="M228" s="832">
        <v>0</v>
      </c>
      <c r="N228" s="832">
        <v>0</v>
      </c>
      <c r="O228" s="832">
        <v>0</v>
      </c>
      <c r="P228" s="832">
        <v>0</v>
      </c>
      <c r="Q228" s="832">
        <v>0</v>
      </c>
      <c r="R228" s="832">
        <v>0</v>
      </c>
      <c r="S228" s="832">
        <v>0</v>
      </c>
      <c r="T228" s="832">
        <v>0</v>
      </c>
      <c r="U228" s="832">
        <v>0</v>
      </c>
      <c r="V228" s="832">
        <v>0</v>
      </c>
      <c r="W228" s="832">
        <v>0</v>
      </c>
      <c r="X228" s="832">
        <v>0</v>
      </c>
      <c r="Y228" s="832">
        <v>0</v>
      </c>
      <c r="Z228" s="832">
        <v>0</v>
      </c>
      <c r="AA228" s="832">
        <v>0</v>
      </c>
      <c r="AB228" s="832">
        <v>0</v>
      </c>
      <c r="AC228" s="832">
        <v>0</v>
      </c>
      <c r="AD228" s="832">
        <v>0</v>
      </c>
      <c r="AE228" s="832">
        <v>0</v>
      </c>
      <c r="AF228" s="832">
        <v>0</v>
      </c>
      <c r="AG228" s="832">
        <v>0</v>
      </c>
      <c r="AH228" s="832">
        <v>0</v>
      </c>
      <c r="AI228" s="832">
        <v>0</v>
      </c>
      <c r="AJ228" s="1030" t="str">
        <f t="shared" si="18"/>
        <v>H01820</v>
      </c>
      <c r="AK228" s="1030" t="str">
        <f t="shared" si="19"/>
        <v>L/R MGR COMPENSATON</v>
      </c>
      <c r="AL228" s="1030">
        <f>IFERROR(INDEX(G228:R228,1,MATCH(Parametres!$B$3,G$1:R$1,0)-1)*IF(OR(F228="L",F228="S",F228="I"),-1,1),"")</f>
        <v>0</v>
      </c>
      <c r="AM228" s="1030">
        <f t="shared" si="20"/>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t="str">
        <f t="shared" si="21"/>
        <v>H01820</v>
      </c>
      <c r="AU228" s="599" t="str">
        <f t="shared" si="22"/>
        <v>L/R MGR COMPENSATON</v>
      </c>
      <c r="AV228" s="1030">
        <f>IFERROR(INDEX(V228:AG228,1,MATCH(Parametres!$B$3,V$1:AG$1,0)-1)*IF(OR(C228="L",C228="S",C228="I"),-1,1),"")</f>
        <v>0</v>
      </c>
      <c r="AW228" s="1030">
        <f t="shared" si="23"/>
        <v>0</v>
      </c>
      <c r="AX228" s="1030">
        <f>INDEX(V228:AG228,1,MATCH(Parametres!$B$3,V$1:AG$1,0))*IF(OR(C228="L",C228="S",C228="I"),-1,1)</f>
        <v>0</v>
      </c>
      <c r="AY228" s="598" t="s">
        <v>337</v>
      </c>
      <c r="AZ228" s="598" t="e">
        <f>+VLOOKUP($AJ228,Data_Validation!$A:$E,5,0)</f>
        <v>#N/A</v>
      </c>
    </row>
    <row r="229" spans="1:52" ht="15.75" customHeight="1">
      <c r="A229" s="832" t="s">
        <v>1150</v>
      </c>
      <c r="B229" s="832">
        <v>2025</v>
      </c>
      <c r="C229" s="832" t="s">
        <v>1604</v>
      </c>
      <c r="D229" s="832" t="s">
        <v>1605</v>
      </c>
      <c r="E229" s="832" t="s">
        <v>333</v>
      </c>
      <c r="F229" s="832" t="s">
        <v>1119</v>
      </c>
      <c r="G229" s="832">
        <v>0</v>
      </c>
      <c r="H229" s="832">
        <v>0</v>
      </c>
      <c r="I229" s="832">
        <v>0</v>
      </c>
      <c r="J229" s="832">
        <v>0</v>
      </c>
      <c r="K229" s="832">
        <v>0</v>
      </c>
      <c r="L229" s="832">
        <v>0</v>
      </c>
      <c r="M229" s="832">
        <v>0</v>
      </c>
      <c r="N229" s="832">
        <v>0</v>
      </c>
      <c r="O229" s="832">
        <v>0</v>
      </c>
      <c r="P229" s="832">
        <v>0</v>
      </c>
      <c r="Q229" s="832">
        <v>0</v>
      </c>
      <c r="R229" s="832">
        <v>0</v>
      </c>
      <c r="S229" s="832">
        <v>0</v>
      </c>
      <c r="T229" s="832">
        <v>0</v>
      </c>
      <c r="U229" s="832">
        <v>0</v>
      </c>
      <c r="V229" s="832">
        <v>0</v>
      </c>
      <c r="W229" s="832">
        <v>0</v>
      </c>
      <c r="X229" s="832">
        <v>0</v>
      </c>
      <c r="Y229" s="832">
        <v>0</v>
      </c>
      <c r="Z229" s="832">
        <v>0</v>
      </c>
      <c r="AA229" s="832">
        <v>0</v>
      </c>
      <c r="AB229" s="832">
        <v>0</v>
      </c>
      <c r="AC229" s="832">
        <v>0</v>
      </c>
      <c r="AD229" s="832">
        <v>0</v>
      </c>
      <c r="AE229" s="832">
        <v>0</v>
      </c>
      <c r="AF229" s="832">
        <v>0</v>
      </c>
      <c r="AG229" s="832">
        <v>0</v>
      </c>
      <c r="AH229" s="832">
        <v>0</v>
      </c>
      <c r="AI229" s="832">
        <v>0</v>
      </c>
      <c r="AJ229" s="1030" t="str">
        <f t="shared" si="18"/>
        <v>H01821</v>
      </c>
      <c r="AK229" s="1030" t="str">
        <f t="shared" si="19"/>
        <v>L/R SALAIRES -AUTRES</v>
      </c>
      <c r="AL229" s="1030">
        <f>IFERROR(INDEX(G229:R229,1,MATCH(Parametres!$B$3,G$1:R$1,0)-1)*IF(OR(F229="L",F229="S",F229="I"),-1,1),"")</f>
        <v>0</v>
      </c>
      <c r="AM229" s="1030">
        <f t="shared" si="20"/>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t="str">
        <f t="shared" si="21"/>
        <v>H01821</v>
      </c>
      <c r="AU229" s="599" t="str">
        <f t="shared" si="22"/>
        <v>L/R SALAIRES -AUTRES</v>
      </c>
      <c r="AV229" s="1030">
        <f>IFERROR(INDEX(V229:AG229,1,MATCH(Parametres!$B$3,V$1:AG$1,0)-1)*IF(OR(C229="L",C229="S",C229="I"),-1,1),"")</f>
        <v>0</v>
      </c>
      <c r="AW229" s="1030">
        <f t="shared" si="23"/>
        <v>0</v>
      </c>
      <c r="AX229" s="1030">
        <f>INDEX(V229:AG229,1,MATCH(Parametres!$B$3,V$1:AG$1,0))*IF(OR(C229="L",C229="S",C229="I"),-1,1)</f>
        <v>0</v>
      </c>
      <c r="AY229" s="598" t="s">
        <v>337</v>
      </c>
      <c r="AZ229" s="598" t="e">
        <f>+VLOOKUP($AJ229,Data_Validation!$A:$E,5,0)</f>
        <v>#N/A</v>
      </c>
    </row>
    <row r="230" spans="1:52" ht="15" customHeight="1">
      <c r="A230" s="832" t="s">
        <v>1150</v>
      </c>
      <c r="B230" s="832">
        <v>2025</v>
      </c>
      <c r="C230" s="832" t="s">
        <v>1606</v>
      </c>
      <c r="D230" s="832" t="s">
        <v>1607</v>
      </c>
      <c r="E230" s="832" t="s">
        <v>333</v>
      </c>
      <c r="F230" s="832" t="s">
        <v>1119</v>
      </c>
      <c r="G230" s="832">
        <v>0</v>
      </c>
      <c r="H230" s="832">
        <v>0</v>
      </c>
      <c r="I230" s="832">
        <v>0</v>
      </c>
      <c r="J230" s="832">
        <v>0</v>
      </c>
      <c r="K230" s="832">
        <v>0</v>
      </c>
      <c r="L230" s="832">
        <v>0</v>
      </c>
      <c r="M230" s="832">
        <v>0</v>
      </c>
      <c r="N230" s="832">
        <v>0</v>
      </c>
      <c r="O230" s="832">
        <v>0</v>
      </c>
      <c r="P230" s="832">
        <v>0</v>
      </c>
      <c r="Q230" s="832">
        <v>0</v>
      </c>
      <c r="R230" s="832">
        <v>0</v>
      </c>
      <c r="S230" s="832">
        <v>0</v>
      </c>
      <c r="T230" s="832">
        <v>0</v>
      </c>
      <c r="U230" s="832">
        <v>0</v>
      </c>
      <c r="V230" s="832">
        <v>0</v>
      </c>
      <c r="W230" s="832">
        <v>0</v>
      </c>
      <c r="X230" s="832">
        <v>0</v>
      </c>
      <c r="Y230" s="832">
        <v>0</v>
      </c>
      <c r="Z230" s="832">
        <v>0</v>
      </c>
      <c r="AA230" s="832">
        <v>0</v>
      </c>
      <c r="AB230" s="832">
        <v>0</v>
      </c>
      <c r="AC230" s="832">
        <v>0</v>
      </c>
      <c r="AD230" s="832">
        <v>0</v>
      </c>
      <c r="AE230" s="832">
        <v>0</v>
      </c>
      <c r="AF230" s="832">
        <v>0</v>
      </c>
      <c r="AG230" s="832">
        <v>0</v>
      </c>
      <c r="AH230" s="832">
        <v>0</v>
      </c>
      <c r="AI230" s="832">
        <v>0</v>
      </c>
      <c r="AJ230" s="1030" t="str">
        <f t="shared" si="18"/>
        <v>H01823</v>
      </c>
      <c r="AK230" s="1030" t="str">
        <f t="shared" si="19"/>
        <v>L/R ABS. &amp; CONGES PAYES</v>
      </c>
      <c r="AL230" s="1030">
        <f>IFERROR(INDEX(G230:R230,1,MATCH(Parametres!$B$3,G$1:R$1,0)-1)*IF(OR(F230="L",F230="S",F230="I"),-1,1),"")</f>
        <v>0</v>
      </c>
      <c r="AM230" s="1030">
        <f t="shared" si="20"/>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t="str">
        <f t="shared" si="21"/>
        <v>H01823</v>
      </c>
      <c r="AU230" s="599" t="str">
        <f t="shared" si="22"/>
        <v>L/R ABS. &amp; CONGES PAYES</v>
      </c>
      <c r="AV230" s="1030">
        <f>IFERROR(INDEX(V230:AG230,1,MATCH(Parametres!$B$3,V$1:AG$1,0)-1)*IF(OR(C230="L",C230="S",C230="I"),-1,1),"")</f>
        <v>0</v>
      </c>
      <c r="AW230" s="1030">
        <f t="shared" si="23"/>
        <v>0</v>
      </c>
      <c r="AX230" s="1030">
        <f>INDEX(V230:AG230,1,MATCH(Parametres!$B$3,V$1:AG$1,0))*IF(OR(C230="L",C230="S",C230="I"),-1,1)</f>
        <v>0</v>
      </c>
      <c r="AY230" s="598" t="s">
        <v>337</v>
      </c>
      <c r="AZ230" s="598" t="e">
        <f>+VLOOKUP($AJ230,Data_Validation!$A:$E,5,0)</f>
        <v>#N/A</v>
      </c>
    </row>
    <row r="231" spans="1:52" ht="15" customHeight="1">
      <c r="A231" s="832" t="s">
        <v>1150</v>
      </c>
      <c r="B231" s="832">
        <v>2025</v>
      </c>
      <c r="C231" s="832" t="s">
        <v>1608</v>
      </c>
      <c r="D231" s="832" t="s">
        <v>1609</v>
      </c>
      <c r="E231" s="832" t="s">
        <v>333</v>
      </c>
      <c r="F231" s="832" t="s">
        <v>1119</v>
      </c>
      <c r="G231" s="832">
        <v>0</v>
      </c>
      <c r="H231" s="832">
        <v>0</v>
      </c>
      <c r="I231" s="832">
        <v>0</v>
      </c>
      <c r="J231" s="832">
        <v>0</v>
      </c>
      <c r="K231" s="832">
        <v>0</v>
      </c>
      <c r="L231" s="832">
        <v>0</v>
      </c>
      <c r="M231" s="832">
        <v>0</v>
      </c>
      <c r="N231" s="832">
        <v>0</v>
      </c>
      <c r="O231" s="832">
        <v>0</v>
      </c>
      <c r="P231" s="832">
        <v>0</v>
      </c>
      <c r="Q231" s="832">
        <v>0</v>
      </c>
      <c r="R231" s="832">
        <v>0</v>
      </c>
      <c r="S231" s="832">
        <v>0</v>
      </c>
      <c r="T231" s="832">
        <v>0</v>
      </c>
      <c r="U231" s="832">
        <v>0</v>
      </c>
      <c r="V231" s="832">
        <v>0</v>
      </c>
      <c r="W231" s="832">
        <v>0</v>
      </c>
      <c r="X231" s="832">
        <v>0</v>
      </c>
      <c r="Y231" s="832">
        <v>0</v>
      </c>
      <c r="Z231" s="832">
        <v>0</v>
      </c>
      <c r="AA231" s="832">
        <v>0</v>
      </c>
      <c r="AB231" s="832">
        <v>0</v>
      </c>
      <c r="AC231" s="832">
        <v>0</v>
      </c>
      <c r="AD231" s="832">
        <v>0</v>
      </c>
      <c r="AE231" s="832">
        <v>0</v>
      </c>
      <c r="AF231" s="832">
        <v>0</v>
      </c>
      <c r="AG231" s="832">
        <v>0</v>
      </c>
      <c r="AH231" s="832">
        <v>0</v>
      </c>
      <c r="AI231" s="832">
        <v>0</v>
      </c>
      <c r="AJ231" s="1030" t="str">
        <f t="shared" si="18"/>
        <v>H01824</v>
      </c>
      <c r="AK231" s="1030" t="str">
        <f t="shared" si="19"/>
        <v>L/R CSST</v>
      </c>
      <c r="AL231" s="1030">
        <f>IFERROR(INDEX(G231:R231,1,MATCH(Parametres!$B$3,G$1:R$1,0)-1)*IF(OR(F231="L",F231="S",F231="I"),-1,1),"")</f>
        <v>0</v>
      </c>
      <c r="AM231" s="1030">
        <f t="shared" si="20"/>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t="str">
        <f t="shared" si="21"/>
        <v>H01824</v>
      </c>
      <c r="AU231" s="599" t="str">
        <f t="shared" si="22"/>
        <v>L/R CSST</v>
      </c>
      <c r="AV231" s="1030">
        <f>IFERROR(INDEX(V231:AG231,1,MATCH(Parametres!$B$3,V$1:AG$1,0)-1)*IF(OR(C231="L",C231="S",C231="I"),-1,1),"")</f>
        <v>0</v>
      </c>
      <c r="AW231" s="1030">
        <f t="shared" si="23"/>
        <v>0</v>
      </c>
      <c r="AX231" s="1030">
        <f>INDEX(V231:AG231,1,MATCH(Parametres!$B$3,V$1:AG$1,0))*IF(OR(C231="L",C231="S",C231="I"),-1,1)</f>
        <v>0</v>
      </c>
      <c r="AY231" s="598" t="s">
        <v>337</v>
      </c>
      <c r="AZ231" s="598" t="e">
        <f>+VLOOKUP($AJ231,Data_Validation!$A:$E,5,0)</f>
        <v>#N/A</v>
      </c>
    </row>
    <row r="232" spans="1:52" ht="15" customHeight="1">
      <c r="A232" s="832" t="s">
        <v>1150</v>
      </c>
      <c r="B232" s="832">
        <v>2025</v>
      </c>
      <c r="C232" s="832" t="s">
        <v>1610</v>
      </c>
      <c r="D232" s="832" t="s">
        <v>1611</v>
      </c>
      <c r="E232" s="832" t="s">
        <v>333</v>
      </c>
      <c r="F232" s="832" t="s">
        <v>1119</v>
      </c>
      <c r="G232" s="832">
        <v>0</v>
      </c>
      <c r="H232" s="832">
        <v>0</v>
      </c>
      <c r="I232" s="832">
        <v>0</v>
      </c>
      <c r="J232" s="832">
        <v>0</v>
      </c>
      <c r="K232" s="832">
        <v>0</v>
      </c>
      <c r="L232" s="832">
        <v>0</v>
      </c>
      <c r="M232" s="832">
        <v>0</v>
      </c>
      <c r="N232" s="832">
        <v>0</v>
      </c>
      <c r="O232" s="832">
        <v>0</v>
      </c>
      <c r="P232" s="832">
        <v>0</v>
      </c>
      <c r="Q232" s="832">
        <v>0</v>
      </c>
      <c r="R232" s="832">
        <v>0</v>
      </c>
      <c r="S232" s="832">
        <v>0</v>
      </c>
      <c r="T232" s="832">
        <v>0</v>
      </c>
      <c r="U232" s="832">
        <v>0</v>
      </c>
      <c r="V232" s="832">
        <v>0</v>
      </c>
      <c r="W232" s="832">
        <v>0</v>
      </c>
      <c r="X232" s="832">
        <v>0</v>
      </c>
      <c r="Y232" s="832">
        <v>0</v>
      </c>
      <c r="Z232" s="832">
        <v>0</v>
      </c>
      <c r="AA232" s="832">
        <v>0</v>
      </c>
      <c r="AB232" s="832">
        <v>0</v>
      </c>
      <c r="AC232" s="832">
        <v>0</v>
      </c>
      <c r="AD232" s="832">
        <v>0</v>
      </c>
      <c r="AE232" s="832">
        <v>0</v>
      </c>
      <c r="AF232" s="832">
        <v>0</v>
      </c>
      <c r="AG232" s="832">
        <v>0</v>
      </c>
      <c r="AH232" s="832">
        <v>0</v>
      </c>
      <c r="AI232" s="832">
        <v>0</v>
      </c>
      <c r="AJ232" s="1030" t="str">
        <f t="shared" si="18"/>
        <v>H01825</v>
      </c>
      <c r="AK232" s="1030" t="str">
        <f t="shared" si="19"/>
        <v>L/R ASSURANCE CHOMAGE</v>
      </c>
      <c r="AL232" s="1030">
        <f>IFERROR(INDEX(G232:R232,1,MATCH(Parametres!$B$3,G$1:R$1,0)-1)*IF(OR(F232="L",F232="S",F232="I"),-1,1),"")</f>
        <v>0</v>
      </c>
      <c r="AM232" s="1030">
        <f t="shared" si="20"/>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t="str">
        <f t="shared" si="21"/>
        <v>H01825</v>
      </c>
      <c r="AU232" s="599" t="str">
        <f t="shared" si="22"/>
        <v>L/R ASSURANCE CHOMAGE</v>
      </c>
      <c r="AV232" s="1030">
        <f>IFERROR(INDEX(V232:AG232,1,MATCH(Parametres!$B$3,V$1:AG$1,0)-1)*IF(OR(C232="L",C232="S",C232="I"),-1,1),"")</f>
        <v>0</v>
      </c>
      <c r="AW232" s="1030">
        <f t="shared" si="23"/>
        <v>0</v>
      </c>
      <c r="AX232" s="1030">
        <f>INDEX(V232:AG232,1,MATCH(Parametres!$B$3,V$1:AG$1,0))*IF(OR(C232="L",C232="S",C232="I"),-1,1)</f>
        <v>0</v>
      </c>
      <c r="AY232" s="598" t="s">
        <v>337</v>
      </c>
      <c r="AZ232" s="598" t="e">
        <f>+VLOOKUP($AJ232,Data_Validation!$A:$E,5,0)</f>
        <v>#N/A</v>
      </c>
    </row>
    <row r="233" spans="1:52" ht="15" customHeight="1">
      <c r="A233" s="832" t="s">
        <v>1150</v>
      </c>
      <c r="B233" s="832">
        <v>2025</v>
      </c>
      <c r="C233" s="832" t="s">
        <v>1612</v>
      </c>
      <c r="D233" s="832" t="s">
        <v>1613</v>
      </c>
      <c r="E233" s="832" t="s">
        <v>333</v>
      </c>
      <c r="F233" s="832" t="s">
        <v>1119</v>
      </c>
      <c r="G233" s="832">
        <v>0</v>
      </c>
      <c r="H233" s="832">
        <v>0</v>
      </c>
      <c r="I233" s="832">
        <v>0</v>
      </c>
      <c r="J233" s="832">
        <v>0</v>
      </c>
      <c r="K233" s="832">
        <v>0</v>
      </c>
      <c r="L233" s="832">
        <v>0</v>
      </c>
      <c r="M233" s="832">
        <v>0</v>
      </c>
      <c r="N233" s="832">
        <v>0</v>
      </c>
      <c r="O233" s="832">
        <v>0</v>
      </c>
      <c r="P233" s="832">
        <v>0</v>
      </c>
      <c r="Q233" s="832">
        <v>0</v>
      </c>
      <c r="R233" s="832">
        <v>0</v>
      </c>
      <c r="S233" s="832">
        <v>0</v>
      </c>
      <c r="T233" s="832">
        <v>0</v>
      </c>
      <c r="U233" s="832">
        <v>0</v>
      </c>
      <c r="V233" s="832">
        <v>0</v>
      </c>
      <c r="W233" s="832">
        <v>0</v>
      </c>
      <c r="X233" s="832">
        <v>0</v>
      </c>
      <c r="Y233" s="832">
        <v>0</v>
      </c>
      <c r="Z233" s="832">
        <v>0</v>
      </c>
      <c r="AA233" s="832">
        <v>0</v>
      </c>
      <c r="AB233" s="832">
        <v>0</v>
      </c>
      <c r="AC233" s="832">
        <v>0</v>
      </c>
      <c r="AD233" s="832">
        <v>0</v>
      </c>
      <c r="AE233" s="832">
        <v>0</v>
      </c>
      <c r="AF233" s="832">
        <v>0</v>
      </c>
      <c r="AG233" s="832">
        <v>0</v>
      </c>
      <c r="AH233" s="832">
        <v>0</v>
      </c>
      <c r="AI233" s="832">
        <v>0</v>
      </c>
      <c r="AJ233" s="1030" t="str">
        <f t="shared" si="18"/>
        <v>H01826</v>
      </c>
      <c r="AK233" s="1030" t="str">
        <f t="shared" si="19"/>
        <v>L/R ASSURANCE GROUPE</v>
      </c>
      <c r="AL233" s="1030">
        <f>IFERROR(INDEX(G233:R233,1,MATCH(Parametres!$B$3,G$1:R$1,0)-1)*IF(OR(F233="L",F233="S",F233="I"),-1,1),"")</f>
        <v>0</v>
      </c>
      <c r="AM233" s="1030">
        <f t="shared" si="20"/>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t="str">
        <f t="shared" si="21"/>
        <v>H01826</v>
      </c>
      <c r="AU233" s="599" t="str">
        <f t="shared" si="22"/>
        <v>L/R ASSURANCE GROUPE</v>
      </c>
      <c r="AV233" s="1030">
        <f>IFERROR(INDEX(V233:AG233,1,MATCH(Parametres!$B$3,V$1:AG$1,0)-1)*IF(OR(C233="L",C233="S",C233="I"),-1,1),"")</f>
        <v>0</v>
      </c>
      <c r="AW233" s="1030">
        <f t="shared" si="23"/>
        <v>0</v>
      </c>
      <c r="AX233" s="1030">
        <f>INDEX(V233:AG233,1,MATCH(Parametres!$B$3,V$1:AG$1,0))*IF(OR(C233="L",C233="S",C233="I"),-1,1)</f>
        <v>0</v>
      </c>
      <c r="AY233" s="598" t="s">
        <v>337</v>
      </c>
      <c r="AZ233" s="598" t="e">
        <f>+VLOOKUP($AJ233,Data_Validation!$A:$E,5,0)</f>
        <v>#N/A</v>
      </c>
    </row>
    <row r="234" spans="1:52" ht="15.75" customHeight="1">
      <c r="A234" s="832" t="s">
        <v>1150</v>
      </c>
      <c r="B234" s="832">
        <v>2025</v>
      </c>
      <c r="C234" s="832" t="s">
        <v>1614</v>
      </c>
      <c r="D234" s="832" t="s">
        <v>1615</v>
      </c>
      <c r="E234" s="832" t="s">
        <v>333</v>
      </c>
      <c r="F234" s="832" t="s">
        <v>1119</v>
      </c>
      <c r="G234" s="832">
        <v>0</v>
      </c>
      <c r="H234" s="832">
        <v>0</v>
      </c>
      <c r="I234" s="832">
        <v>0</v>
      </c>
      <c r="J234" s="832">
        <v>0</v>
      </c>
      <c r="K234" s="832">
        <v>0</v>
      </c>
      <c r="L234" s="832">
        <v>0</v>
      </c>
      <c r="M234" s="832">
        <v>0</v>
      </c>
      <c r="N234" s="832">
        <v>0</v>
      </c>
      <c r="O234" s="832">
        <v>0</v>
      </c>
      <c r="P234" s="832">
        <v>0</v>
      </c>
      <c r="Q234" s="832">
        <v>0</v>
      </c>
      <c r="R234" s="832">
        <v>0</v>
      </c>
      <c r="S234" s="832">
        <v>0</v>
      </c>
      <c r="T234" s="832">
        <v>0</v>
      </c>
      <c r="U234" s="832">
        <v>0</v>
      </c>
      <c r="V234" s="832">
        <v>0</v>
      </c>
      <c r="W234" s="832">
        <v>0</v>
      </c>
      <c r="X234" s="832">
        <v>0</v>
      </c>
      <c r="Y234" s="832">
        <v>0</v>
      </c>
      <c r="Z234" s="832">
        <v>0</v>
      </c>
      <c r="AA234" s="832">
        <v>0</v>
      </c>
      <c r="AB234" s="832">
        <v>0</v>
      </c>
      <c r="AC234" s="832">
        <v>0</v>
      </c>
      <c r="AD234" s="832">
        <v>0</v>
      </c>
      <c r="AE234" s="832">
        <v>0</v>
      </c>
      <c r="AF234" s="832">
        <v>0</v>
      </c>
      <c r="AG234" s="832">
        <v>0</v>
      </c>
      <c r="AH234" s="832">
        <v>0</v>
      </c>
      <c r="AI234" s="832">
        <v>0</v>
      </c>
      <c r="AJ234" s="1030" t="str">
        <f t="shared" si="18"/>
        <v>H01827</v>
      </c>
      <c r="AK234" s="1030" t="str">
        <f t="shared" si="19"/>
        <v>L/R AUTRES AV. SOCIAUX</v>
      </c>
      <c r="AL234" s="1030">
        <f>IFERROR(INDEX(G234:R234,1,MATCH(Parametres!$B$3,G$1:R$1,0)-1)*IF(OR(F234="L",F234="S",F234="I"),-1,1),"")</f>
        <v>0</v>
      </c>
      <c r="AM234" s="1030">
        <f t="shared" si="20"/>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t="str">
        <f t="shared" si="21"/>
        <v>H01827</v>
      </c>
      <c r="AU234" s="599" t="str">
        <f t="shared" si="22"/>
        <v>L/R AUTRES AV. SOCIAUX</v>
      </c>
      <c r="AV234" s="1030">
        <f>IFERROR(INDEX(V234:AG234,1,MATCH(Parametres!$B$3,V$1:AG$1,0)-1)*IF(OR(C234="L",C234="S",C234="I"),-1,1),"")</f>
        <v>0</v>
      </c>
      <c r="AW234" s="1030">
        <f t="shared" si="23"/>
        <v>0</v>
      </c>
      <c r="AX234" s="1030">
        <f>INDEX(V234:AG234,1,MATCH(Parametres!$B$3,V$1:AG$1,0))*IF(OR(C234="L",C234="S",C234="I"),-1,1)</f>
        <v>0</v>
      </c>
      <c r="AY234" s="598" t="s">
        <v>337</v>
      </c>
      <c r="AZ234" s="598" t="e">
        <f>+VLOOKUP($AJ234,Data_Validation!$A:$E,5,0)</f>
        <v>#N/A</v>
      </c>
    </row>
    <row r="235" spans="1:52" ht="15" customHeight="1">
      <c r="A235" s="832" t="s">
        <v>1150</v>
      </c>
      <c r="B235" s="832">
        <v>2025</v>
      </c>
      <c r="C235" s="832" t="s">
        <v>1616</v>
      </c>
      <c r="D235" s="832" t="s">
        <v>1617</v>
      </c>
      <c r="E235" s="832" t="s">
        <v>333</v>
      </c>
      <c r="F235" s="832" t="s">
        <v>1119</v>
      </c>
      <c r="G235" s="832">
        <v>0</v>
      </c>
      <c r="H235" s="832">
        <v>0</v>
      </c>
      <c r="I235" s="832">
        <v>0</v>
      </c>
      <c r="J235" s="832">
        <v>0</v>
      </c>
      <c r="K235" s="832">
        <v>0</v>
      </c>
      <c r="L235" s="832">
        <v>0</v>
      </c>
      <c r="M235" s="832">
        <v>0</v>
      </c>
      <c r="N235" s="832">
        <v>0</v>
      </c>
      <c r="O235" s="832">
        <v>0</v>
      </c>
      <c r="P235" s="832">
        <v>0</v>
      </c>
      <c r="Q235" s="832">
        <v>0</v>
      </c>
      <c r="R235" s="832">
        <v>0</v>
      </c>
      <c r="S235" s="832">
        <v>0</v>
      </c>
      <c r="T235" s="832">
        <v>0</v>
      </c>
      <c r="U235" s="832">
        <v>0</v>
      </c>
      <c r="V235" s="832">
        <v>0</v>
      </c>
      <c r="W235" s="832">
        <v>0</v>
      </c>
      <c r="X235" s="832">
        <v>0</v>
      </c>
      <c r="Y235" s="832">
        <v>0</v>
      </c>
      <c r="Z235" s="832">
        <v>0</v>
      </c>
      <c r="AA235" s="832">
        <v>0</v>
      </c>
      <c r="AB235" s="832">
        <v>0</v>
      </c>
      <c r="AC235" s="832">
        <v>0</v>
      </c>
      <c r="AD235" s="832">
        <v>0</v>
      </c>
      <c r="AE235" s="832">
        <v>0</v>
      </c>
      <c r="AF235" s="832">
        <v>0</v>
      </c>
      <c r="AG235" s="832">
        <v>0</v>
      </c>
      <c r="AH235" s="832">
        <v>0</v>
      </c>
      <c r="AI235" s="832">
        <v>0</v>
      </c>
      <c r="AJ235" s="1030" t="str">
        <f t="shared" si="18"/>
        <v>H01828</v>
      </c>
      <c r="AK235" s="1030" t="str">
        <f t="shared" si="19"/>
        <v>L/R FORMATION</v>
      </c>
      <c r="AL235" s="1030">
        <f>IFERROR(INDEX(G235:R235,1,MATCH(Parametres!$B$3,G$1:R$1,0)-1)*IF(OR(F235="L",F235="S",F235="I"),-1,1),"")</f>
        <v>0</v>
      </c>
      <c r="AM235" s="1030">
        <f t="shared" si="20"/>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t="str">
        <f t="shared" si="21"/>
        <v>H01828</v>
      </c>
      <c r="AU235" s="599" t="str">
        <f t="shared" si="22"/>
        <v>L/R FORMATION</v>
      </c>
      <c r="AV235" s="1030">
        <f>IFERROR(INDEX(V235:AG235,1,MATCH(Parametres!$B$3,V$1:AG$1,0)-1)*IF(OR(C235="L",C235="S",C235="I"),-1,1),"")</f>
        <v>0</v>
      </c>
      <c r="AW235" s="1030">
        <f t="shared" si="23"/>
        <v>0</v>
      </c>
      <c r="AX235" s="1030">
        <f>INDEX(V235:AG235,1,MATCH(Parametres!$B$3,V$1:AG$1,0))*IF(OR(C235="L",C235="S",C235="I"),-1,1)</f>
        <v>0</v>
      </c>
      <c r="AY235" s="598" t="s">
        <v>337</v>
      </c>
      <c r="AZ235" s="598" t="e">
        <f>+VLOOKUP($AJ235,Data_Validation!$A:$E,5,0)</f>
        <v>#N/A</v>
      </c>
    </row>
    <row r="236" spans="1:52" ht="15" customHeight="1">
      <c r="A236" s="832" t="s">
        <v>1150</v>
      </c>
      <c r="B236" s="832">
        <v>2025</v>
      </c>
      <c r="C236" s="832" t="s">
        <v>1618</v>
      </c>
      <c r="D236" s="832" t="s">
        <v>1619</v>
      </c>
      <c r="E236" s="832" t="s">
        <v>333</v>
      </c>
      <c r="F236" s="832" t="s">
        <v>1119</v>
      </c>
      <c r="G236" s="832">
        <v>0</v>
      </c>
      <c r="H236" s="832">
        <v>0</v>
      </c>
      <c r="I236" s="832">
        <v>0</v>
      </c>
      <c r="J236" s="832">
        <v>0</v>
      </c>
      <c r="K236" s="832">
        <v>0</v>
      </c>
      <c r="L236" s="832">
        <v>0</v>
      </c>
      <c r="M236" s="832">
        <v>0</v>
      </c>
      <c r="N236" s="832">
        <v>0</v>
      </c>
      <c r="O236" s="832">
        <v>0</v>
      </c>
      <c r="P236" s="832">
        <v>0</v>
      </c>
      <c r="Q236" s="832">
        <v>0</v>
      </c>
      <c r="R236" s="832">
        <v>0</v>
      </c>
      <c r="S236" s="832">
        <v>0</v>
      </c>
      <c r="T236" s="832">
        <v>0</v>
      </c>
      <c r="U236" s="832">
        <v>0</v>
      </c>
      <c r="V236" s="832">
        <v>0</v>
      </c>
      <c r="W236" s="832">
        <v>0</v>
      </c>
      <c r="X236" s="832">
        <v>0</v>
      </c>
      <c r="Y236" s="832">
        <v>0</v>
      </c>
      <c r="Z236" s="832">
        <v>0</v>
      </c>
      <c r="AA236" s="832">
        <v>0</v>
      </c>
      <c r="AB236" s="832">
        <v>0</v>
      </c>
      <c r="AC236" s="832">
        <v>0</v>
      </c>
      <c r="AD236" s="832">
        <v>0</v>
      </c>
      <c r="AE236" s="832">
        <v>0</v>
      </c>
      <c r="AF236" s="832">
        <v>0</v>
      </c>
      <c r="AG236" s="832">
        <v>0</v>
      </c>
      <c r="AH236" s="832">
        <v>0</v>
      </c>
      <c r="AI236" s="832">
        <v>0</v>
      </c>
      <c r="AJ236" s="1030" t="str">
        <f t="shared" si="18"/>
        <v>H01830</v>
      </c>
      <c r="AK236" s="1030" t="str">
        <f t="shared" si="19"/>
        <v>L/R PAPETRIE-FOUR. BUREAU</v>
      </c>
      <c r="AL236" s="1030">
        <f>IFERROR(INDEX(G236:R236,1,MATCH(Parametres!$B$3,G$1:R$1,0)-1)*IF(OR(F236="L",F236="S",F236="I"),-1,1),"")</f>
        <v>0</v>
      </c>
      <c r="AM236" s="1030">
        <f t="shared" si="20"/>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t="str">
        <f t="shared" si="21"/>
        <v>H01830</v>
      </c>
      <c r="AU236" s="599" t="str">
        <f t="shared" si="22"/>
        <v>L/R PAPETRIE-FOUR. BUREAU</v>
      </c>
      <c r="AV236" s="1030">
        <f>IFERROR(INDEX(V236:AG236,1,MATCH(Parametres!$B$3,V$1:AG$1,0)-1)*IF(OR(C236="L",C236="S",C236="I"),-1,1),"")</f>
        <v>0</v>
      </c>
      <c r="AW236" s="1030">
        <f t="shared" si="23"/>
        <v>0</v>
      </c>
      <c r="AX236" s="1030">
        <f>INDEX(V236:AG236,1,MATCH(Parametres!$B$3,V$1:AG$1,0))*IF(OR(C236="L",C236="S",C236="I"),-1,1)</f>
        <v>0</v>
      </c>
      <c r="AY236" s="598" t="s">
        <v>337</v>
      </c>
      <c r="AZ236" s="598" t="e">
        <f>+VLOOKUP($AJ236,Data_Validation!$A:$E,5,0)</f>
        <v>#N/A</v>
      </c>
    </row>
    <row r="237" spans="1:52" ht="15" customHeight="1">
      <c r="A237" s="832" t="s">
        <v>1150</v>
      </c>
      <c r="B237" s="832">
        <v>2025</v>
      </c>
      <c r="C237" s="832" t="s">
        <v>1620</v>
      </c>
      <c r="D237" s="832" t="s">
        <v>1621</v>
      </c>
      <c r="E237" s="832" t="s">
        <v>333</v>
      </c>
      <c r="F237" s="832" t="s">
        <v>1119</v>
      </c>
      <c r="G237" s="832">
        <v>0</v>
      </c>
      <c r="H237" s="832">
        <v>0</v>
      </c>
      <c r="I237" s="832">
        <v>0</v>
      </c>
      <c r="J237" s="832">
        <v>0</v>
      </c>
      <c r="K237" s="832">
        <v>0</v>
      </c>
      <c r="L237" s="832">
        <v>0</v>
      </c>
      <c r="M237" s="832">
        <v>0</v>
      </c>
      <c r="N237" s="832">
        <v>0</v>
      </c>
      <c r="O237" s="832">
        <v>0</v>
      </c>
      <c r="P237" s="832">
        <v>0</v>
      </c>
      <c r="Q237" s="832">
        <v>0</v>
      </c>
      <c r="R237" s="832">
        <v>0</v>
      </c>
      <c r="S237" s="832">
        <v>0</v>
      </c>
      <c r="T237" s="832">
        <v>0</v>
      </c>
      <c r="U237" s="832">
        <v>0</v>
      </c>
      <c r="V237" s="832">
        <v>0</v>
      </c>
      <c r="W237" s="832">
        <v>0</v>
      </c>
      <c r="X237" s="832">
        <v>0</v>
      </c>
      <c r="Y237" s="832">
        <v>0</v>
      </c>
      <c r="Z237" s="832">
        <v>0</v>
      </c>
      <c r="AA237" s="832">
        <v>0</v>
      </c>
      <c r="AB237" s="832">
        <v>0</v>
      </c>
      <c r="AC237" s="832">
        <v>0</v>
      </c>
      <c r="AD237" s="832">
        <v>0</v>
      </c>
      <c r="AE237" s="832">
        <v>0</v>
      </c>
      <c r="AF237" s="832">
        <v>0</v>
      </c>
      <c r="AG237" s="832">
        <v>0</v>
      </c>
      <c r="AH237" s="832">
        <v>0</v>
      </c>
      <c r="AI237" s="832">
        <v>0</v>
      </c>
      <c r="AJ237" s="1030" t="str">
        <f t="shared" si="18"/>
        <v>H01831</v>
      </c>
      <c r="AK237" s="1030" t="str">
        <f t="shared" si="19"/>
        <v>L/R OUTILLAGE-FOUR DIVERS</v>
      </c>
      <c r="AL237" s="1030">
        <f>IFERROR(INDEX(G237:R237,1,MATCH(Parametres!$B$3,G$1:R$1,0)-1)*IF(OR(F237="L",F237="S",F237="I"),-1,1),"")</f>
        <v>0</v>
      </c>
      <c r="AM237" s="1030">
        <f t="shared" si="20"/>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t="str">
        <f t="shared" si="21"/>
        <v>H01831</v>
      </c>
      <c r="AU237" s="599" t="str">
        <f t="shared" si="22"/>
        <v>L/R OUTILLAGE-FOUR DIVERS</v>
      </c>
      <c r="AV237" s="1030">
        <f>IFERROR(INDEX(V237:AG237,1,MATCH(Parametres!$B$3,V$1:AG$1,0)-1)*IF(OR(C237="L",C237="S",C237="I"),-1,1),"")</f>
        <v>0</v>
      </c>
      <c r="AW237" s="1030">
        <f t="shared" si="23"/>
        <v>0</v>
      </c>
      <c r="AX237" s="1030">
        <f>INDEX(V237:AG237,1,MATCH(Parametres!$B$3,V$1:AG$1,0))*IF(OR(C237="L",C237="S",C237="I"),-1,1)</f>
        <v>0</v>
      </c>
      <c r="AY237" s="598" t="s">
        <v>337</v>
      </c>
      <c r="AZ237" s="598" t="e">
        <f>+VLOOKUP($AJ237,Data_Validation!$A:$E,5,0)</f>
        <v>#N/A</v>
      </c>
    </row>
    <row r="238" spans="1:52" ht="15.75" customHeight="1">
      <c r="A238" s="832" t="s">
        <v>1150</v>
      </c>
      <c r="B238" s="832">
        <v>2025</v>
      </c>
      <c r="C238" s="832" t="s">
        <v>1622</v>
      </c>
      <c r="D238" s="832" t="s">
        <v>1623</v>
      </c>
      <c r="E238" s="832" t="s">
        <v>333</v>
      </c>
      <c r="F238" s="832" t="s">
        <v>1119</v>
      </c>
      <c r="G238" s="832">
        <v>0</v>
      </c>
      <c r="H238" s="832">
        <v>0</v>
      </c>
      <c r="I238" s="832">
        <v>0</v>
      </c>
      <c r="J238" s="832">
        <v>0</v>
      </c>
      <c r="K238" s="832">
        <v>0</v>
      </c>
      <c r="L238" s="832">
        <v>0</v>
      </c>
      <c r="M238" s="832">
        <v>0</v>
      </c>
      <c r="N238" s="832">
        <v>0</v>
      </c>
      <c r="O238" s="832">
        <v>0</v>
      </c>
      <c r="P238" s="832">
        <v>0</v>
      </c>
      <c r="Q238" s="832">
        <v>0</v>
      </c>
      <c r="R238" s="832">
        <v>0</v>
      </c>
      <c r="S238" s="832">
        <v>0</v>
      </c>
      <c r="T238" s="832">
        <v>0</v>
      </c>
      <c r="U238" s="832">
        <v>0</v>
      </c>
      <c r="V238" s="832">
        <v>0</v>
      </c>
      <c r="W238" s="832">
        <v>0</v>
      </c>
      <c r="X238" s="832">
        <v>0</v>
      </c>
      <c r="Y238" s="832">
        <v>0</v>
      </c>
      <c r="Z238" s="832">
        <v>0</v>
      </c>
      <c r="AA238" s="832">
        <v>0</v>
      </c>
      <c r="AB238" s="832">
        <v>0</v>
      </c>
      <c r="AC238" s="832">
        <v>0</v>
      </c>
      <c r="AD238" s="832">
        <v>0</v>
      </c>
      <c r="AE238" s="832">
        <v>0</v>
      </c>
      <c r="AF238" s="832">
        <v>0</v>
      </c>
      <c r="AG238" s="832">
        <v>0</v>
      </c>
      <c r="AH238" s="832">
        <v>0</v>
      </c>
      <c r="AI238" s="832">
        <v>0</v>
      </c>
      <c r="AJ238" s="1030" t="str">
        <f t="shared" si="18"/>
        <v>H01834</v>
      </c>
      <c r="AK238" s="1030" t="str">
        <f t="shared" si="19"/>
        <v>L/R UNIFORMES-SALOPETTES</v>
      </c>
      <c r="AL238" s="1030">
        <f>IFERROR(INDEX(G238:R238,1,MATCH(Parametres!$B$3,G$1:R$1,0)-1)*IF(OR(F238="L",F238="S",F238="I"),-1,1),"")</f>
        <v>0</v>
      </c>
      <c r="AM238" s="1030">
        <f t="shared" si="20"/>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t="str">
        <f t="shared" si="21"/>
        <v>H01834</v>
      </c>
      <c r="AU238" s="599" t="str">
        <f t="shared" si="22"/>
        <v>L/R UNIFORMES-SALOPETTES</v>
      </c>
      <c r="AV238" s="1030">
        <f>IFERROR(INDEX(V238:AG238,1,MATCH(Parametres!$B$3,V$1:AG$1,0)-1)*IF(OR(C238="L",C238="S",C238="I"),-1,1),"")</f>
        <v>0</v>
      </c>
      <c r="AW238" s="1030">
        <f t="shared" si="23"/>
        <v>0</v>
      </c>
      <c r="AX238" s="1030">
        <f>INDEX(V238:AG238,1,MATCH(Parametres!$B$3,V$1:AG$1,0))*IF(OR(C238="L",C238="S",C238="I"),-1,1)</f>
        <v>0</v>
      </c>
      <c r="AY238" s="598" t="s">
        <v>337</v>
      </c>
      <c r="AZ238" s="598" t="e">
        <f>+VLOOKUP($AJ238,Data_Validation!$A:$E,5,0)</f>
        <v>#N/A</v>
      </c>
    </row>
    <row r="239" spans="1:52" ht="15" customHeight="1">
      <c r="A239" s="832" t="s">
        <v>1150</v>
      </c>
      <c r="B239" s="832">
        <v>2025</v>
      </c>
      <c r="C239" s="832" t="s">
        <v>1624</v>
      </c>
      <c r="D239" s="832" t="s">
        <v>1625</v>
      </c>
      <c r="E239" s="832" t="s">
        <v>333</v>
      </c>
      <c r="F239" s="832" t="s">
        <v>1119</v>
      </c>
      <c r="G239" s="832">
        <v>0</v>
      </c>
      <c r="H239" s="832">
        <v>0</v>
      </c>
      <c r="I239" s="832">
        <v>0</v>
      </c>
      <c r="J239" s="832">
        <v>0</v>
      </c>
      <c r="K239" s="832">
        <v>0</v>
      </c>
      <c r="L239" s="832">
        <v>0</v>
      </c>
      <c r="M239" s="832">
        <v>0</v>
      </c>
      <c r="N239" s="832">
        <v>0</v>
      </c>
      <c r="O239" s="832">
        <v>0</v>
      </c>
      <c r="P239" s="832">
        <v>0</v>
      </c>
      <c r="Q239" s="832">
        <v>0</v>
      </c>
      <c r="R239" s="832">
        <v>0</v>
      </c>
      <c r="S239" s="832">
        <v>0</v>
      </c>
      <c r="T239" s="832">
        <v>0</v>
      </c>
      <c r="U239" s="832">
        <v>0</v>
      </c>
      <c r="V239" s="832">
        <v>0</v>
      </c>
      <c r="W239" s="832">
        <v>0</v>
      </c>
      <c r="X239" s="832">
        <v>0</v>
      </c>
      <c r="Y239" s="832">
        <v>0</v>
      </c>
      <c r="Z239" s="832">
        <v>0</v>
      </c>
      <c r="AA239" s="832">
        <v>0</v>
      </c>
      <c r="AB239" s="832">
        <v>0</v>
      </c>
      <c r="AC239" s="832">
        <v>0</v>
      </c>
      <c r="AD239" s="832">
        <v>0</v>
      </c>
      <c r="AE239" s="832">
        <v>0</v>
      </c>
      <c r="AF239" s="832">
        <v>0</v>
      </c>
      <c r="AG239" s="832">
        <v>0</v>
      </c>
      <c r="AH239" s="832">
        <v>0</v>
      </c>
      <c r="AI239" s="832">
        <v>0</v>
      </c>
      <c r="AJ239" s="1030" t="str">
        <f t="shared" si="18"/>
        <v>H01835</v>
      </c>
      <c r="AK239" s="1030" t="str">
        <f t="shared" si="19"/>
        <v>L/R CONCIERGE - NETTOYAGE</v>
      </c>
      <c r="AL239" s="1030">
        <f>IFERROR(INDEX(G239:R239,1,MATCH(Parametres!$B$3,G$1:R$1,0)-1)*IF(OR(F239="L",F239="S",F239="I"),-1,1),"")</f>
        <v>0</v>
      </c>
      <c r="AM239" s="1030">
        <f t="shared" si="20"/>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t="str">
        <f t="shared" si="21"/>
        <v>H01835</v>
      </c>
      <c r="AU239" s="599" t="str">
        <f t="shared" si="22"/>
        <v>L/R CONCIERGE - NETTOYAGE</v>
      </c>
      <c r="AV239" s="1030">
        <f>IFERROR(INDEX(V239:AG239,1,MATCH(Parametres!$B$3,V$1:AG$1,0)-1)*IF(OR(C239="L",C239="S",C239="I"),-1,1),"")</f>
        <v>0</v>
      </c>
      <c r="AW239" s="1030">
        <f t="shared" si="23"/>
        <v>0</v>
      </c>
      <c r="AX239" s="1030">
        <f>INDEX(V239:AG239,1,MATCH(Parametres!$B$3,V$1:AG$1,0))*IF(OR(C239="L",C239="S",C239="I"),-1,1)</f>
        <v>0</v>
      </c>
      <c r="AY239" s="598" t="s">
        <v>337</v>
      </c>
      <c r="AZ239" s="598" t="e">
        <f>+VLOOKUP($AJ239,Data_Validation!$A:$E,5,0)</f>
        <v>#N/A</v>
      </c>
    </row>
    <row r="240" spans="1:52" ht="15" customHeight="1">
      <c r="A240" s="832" t="s">
        <v>1150</v>
      </c>
      <c r="B240" s="832">
        <v>2025</v>
      </c>
      <c r="C240" s="832" t="s">
        <v>1626</v>
      </c>
      <c r="D240" s="832" t="s">
        <v>1627</v>
      </c>
      <c r="E240" s="832" t="s">
        <v>333</v>
      </c>
      <c r="F240" s="832" t="s">
        <v>1119</v>
      </c>
      <c r="G240" s="832">
        <v>0</v>
      </c>
      <c r="H240" s="832">
        <v>0</v>
      </c>
      <c r="I240" s="832">
        <v>0</v>
      </c>
      <c r="J240" s="832">
        <v>0</v>
      </c>
      <c r="K240" s="832">
        <v>0</v>
      </c>
      <c r="L240" s="832">
        <v>0</v>
      </c>
      <c r="M240" s="832">
        <v>0</v>
      </c>
      <c r="N240" s="832">
        <v>0</v>
      </c>
      <c r="O240" s="832">
        <v>0</v>
      </c>
      <c r="P240" s="832">
        <v>0</v>
      </c>
      <c r="Q240" s="832">
        <v>0</v>
      </c>
      <c r="R240" s="832">
        <v>0</v>
      </c>
      <c r="S240" s="832">
        <v>0</v>
      </c>
      <c r="T240" s="832">
        <v>0</v>
      </c>
      <c r="U240" s="832">
        <v>0</v>
      </c>
      <c r="V240" s="832">
        <v>0</v>
      </c>
      <c r="W240" s="832">
        <v>0</v>
      </c>
      <c r="X240" s="832">
        <v>0</v>
      </c>
      <c r="Y240" s="832">
        <v>0</v>
      </c>
      <c r="Z240" s="832">
        <v>0</v>
      </c>
      <c r="AA240" s="832">
        <v>0</v>
      </c>
      <c r="AB240" s="832">
        <v>0</v>
      </c>
      <c r="AC240" s="832">
        <v>0</v>
      </c>
      <c r="AD240" s="832">
        <v>0</v>
      </c>
      <c r="AE240" s="832">
        <v>0</v>
      </c>
      <c r="AF240" s="832">
        <v>0</v>
      </c>
      <c r="AG240" s="832">
        <v>0</v>
      </c>
      <c r="AH240" s="832">
        <v>0</v>
      </c>
      <c r="AI240" s="832">
        <v>0</v>
      </c>
      <c r="AJ240" s="1030" t="str">
        <f t="shared" si="18"/>
        <v>H01840</v>
      </c>
      <c r="AK240" s="1030" t="str">
        <f t="shared" si="19"/>
        <v>L/R ENT EQUIPMENT</v>
      </c>
      <c r="AL240" s="1030">
        <f>IFERROR(INDEX(G240:R240,1,MATCH(Parametres!$B$3,G$1:R$1,0)-1)*IF(OR(F240="L",F240="S",F240="I"),-1,1),"")</f>
        <v>0</v>
      </c>
      <c r="AM240" s="1030">
        <f t="shared" si="20"/>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t="str">
        <f t="shared" si="21"/>
        <v>H01840</v>
      </c>
      <c r="AU240" s="599" t="str">
        <f t="shared" si="22"/>
        <v>L/R ENT EQUIPMENT</v>
      </c>
      <c r="AV240" s="1030">
        <f>IFERROR(INDEX(V240:AG240,1,MATCH(Parametres!$B$3,V$1:AG$1,0)-1)*IF(OR(C240="L",C240="S",C240="I"),-1,1),"")</f>
        <v>0</v>
      </c>
      <c r="AW240" s="1030">
        <f t="shared" si="23"/>
        <v>0</v>
      </c>
      <c r="AX240" s="1030">
        <f>INDEX(V240:AG240,1,MATCH(Parametres!$B$3,V$1:AG$1,0))*IF(OR(C240="L",C240="S",C240="I"),-1,1)</f>
        <v>0</v>
      </c>
      <c r="AY240" s="598" t="s">
        <v>337</v>
      </c>
      <c r="AZ240" s="598" t="e">
        <f>+VLOOKUP($AJ240,Data_Validation!$A:$E,5,0)</f>
        <v>#N/A</v>
      </c>
    </row>
    <row r="241" spans="1:52" ht="15" customHeight="1">
      <c r="A241" s="832" t="s">
        <v>1150</v>
      </c>
      <c r="B241" s="832">
        <v>2025</v>
      </c>
      <c r="C241" s="832" t="s">
        <v>1628</v>
      </c>
      <c r="D241" s="832" t="s">
        <v>1629</v>
      </c>
      <c r="E241" s="832" t="s">
        <v>333</v>
      </c>
      <c r="F241" s="832" t="s">
        <v>1119</v>
      </c>
      <c r="G241" s="832">
        <v>0</v>
      </c>
      <c r="H241" s="832">
        <v>0</v>
      </c>
      <c r="I241" s="832">
        <v>0</v>
      </c>
      <c r="J241" s="832">
        <v>0</v>
      </c>
      <c r="K241" s="832">
        <v>0</v>
      </c>
      <c r="L241" s="832">
        <v>0</v>
      </c>
      <c r="M241" s="832">
        <v>0</v>
      </c>
      <c r="N241" s="832">
        <v>0</v>
      </c>
      <c r="O241" s="832">
        <v>0</v>
      </c>
      <c r="P241" s="832">
        <v>0</v>
      </c>
      <c r="Q241" s="832">
        <v>0</v>
      </c>
      <c r="R241" s="832">
        <v>0</v>
      </c>
      <c r="S241" s="832">
        <v>0</v>
      </c>
      <c r="T241" s="832">
        <v>0</v>
      </c>
      <c r="U241" s="832">
        <v>0</v>
      </c>
      <c r="V241" s="832">
        <v>0</v>
      </c>
      <c r="W241" s="832">
        <v>0</v>
      </c>
      <c r="X241" s="832">
        <v>0</v>
      </c>
      <c r="Y241" s="832">
        <v>0</v>
      </c>
      <c r="Z241" s="832">
        <v>0</v>
      </c>
      <c r="AA241" s="832">
        <v>0</v>
      </c>
      <c r="AB241" s="832">
        <v>0</v>
      </c>
      <c r="AC241" s="832">
        <v>0</v>
      </c>
      <c r="AD241" s="832">
        <v>0</v>
      </c>
      <c r="AE241" s="832">
        <v>0</v>
      </c>
      <c r="AF241" s="832">
        <v>0</v>
      </c>
      <c r="AG241" s="832">
        <v>0</v>
      </c>
      <c r="AH241" s="832">
        <v>0</v>
      </c>
      <c r="AI241" s="832">
        <v>0</v>
      </c>
      <c r="AJ241" s="1030" t="str">
        <f t="shared" si="18"/>
        <v>H01841</v>
      </c>
      <c r="AK241" s="1030" t="str">
        <f t="shared" si="19"/>
        <v>L/R VEH DE SERVITUDES</v>
      </c>
      <c r="AL241" s="1030">
        <f>IFERROR(INDEX(G241:R241,1,MATCH(Parametres!$B$3,G$1:R$1,0)-1)*IF(OR(F241="L",F241="S",F241="I"),-1,1),"")</f>
        <v>0</v>
      </c>
      <c r="AM241" s="1030">
        <f t="shared" si="20"/>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t="str">
        <f t="shared" si="21"/>
        <v>H01841</v>
      </c>
      <c r="AU241" s="599" t="str">
        <f t="shared" si="22"/>
        <v>L/R VEH DE SERVITUDES</v>
      </c>
      <c r="AV241" s="1030">
        <f>IFERROR(INDEX(V241:AG241,1,MATCH(Parametres!$B$3,V$1:AG$1,0)-1)*IF(OR(C241="L",C241="S",C241="I"),-1,1),"")</f>
        <v>0</v>
      </c>
      <c r="AW241" s="1030">
        <f t="shared" si="23"/>
        <v>0</v>
      </c>
      <c r="AX241" s="1030">
        <f>INDEX(V241:AG241,1,MATCH(Parametres!$B$3,V$1:AG$1,0))*IF(OR(C241="L",C241="S",C241="I"),-1,1)</f>
        <v>0</v>
      </c>
      <c r="AY241" s="598" t="s">
        <v>337</v>
      </c>
      <c r="AZ241" s="598" t="e">
        <f>+VLOOKUP($AJ241,Data_Validation!$A:$E,5,0)</f>
        <v>#N/A</v>
      </c>
    </row>
    <row r="242" spans="1:52" ht="15" customHeight="1">
      <c r="A242" s="832" t="s">
        <v>1150</v>
      </c>
      <c r="B242" s="832">
        <v>2025</v>
      </c>
      <c r="C242" s="832" t="s">
        <v>1630</v>
      </c>
      <c r="D242" s="832" t="s">
        <v>1631</v>
      </c>
      <c r="E242" s="832" t="s">
        <v>333</v>
      </c>
      <c r="F242" s="832" t="s">
        <v>1119</v>
      </c>
      <c r="G242" s="832">
        <v>0</v>
      </c>
      <c r="H242" s="832">
        <v>0</v>
      </c>
      <c r="I242" s="832">
        <v>0</v>
      </c>
      <c r="J242" s="832">
        <v>0</v>
      </c>
      <c r="K242" s="832">
        <v>0</v>
      </c>
      <c r="L242" s="832">
        <v>0</v>
      </c>
      <c r="M242" s="832">
        <v>0</v>
      </c>
      <c r="N242" s="832">
        <v>0</v>
      </c>
      <c r="O242" s="832">
        <v>0</v>
      </c>
      <c r="P242" s="832">
        <v>0</v>
      </c>
      <c r="Q242" s="832">
        <v>0</v>
      </c>
      <c r="R242" s="832">
        <v>0</v>
      </c>
      <c r="S242" s="832">
        <v>0</v>
      </c>
      <c r="T242" s="832">
        <v>0</v>
      </c>
      <c r="U242" s="832">
        <v>0</v>
      </c>
      <c r="V242" s="832">
        <v>0</v>
      </c>
      <c r="W242" s="832">
        <v>0</v>
      </c>
      <c r="X242" s="832">
        <v>0</v>
      </c>
      <c r="Y242" s="832">
        <v>0</v>
      </c>
      <c r="Z242" s="832">
        <v>0</v>
      </c>
      <c r="AA242" s="832">
        <v>0</v>
      </c>
      <c r="AB242" s="832">
        <v>0</v>
      </c>
      <c r="AC242" s="832">
        <v>0</v>
      </c>
      <c r="AD242" s="832">
        <v>0</v>
      </c>
      <c r="AE242" s="832">
        <v>0</v>
      </c>
      <c r="AF242" s="832">
        <v>0</v>
      </c>
      <c r="AG242" s="832">
        <v>0</v>
      </c>
      <c r="AH242" s="832">
        <v>0</v>
      </c>
      <c r="AI242" s="832">
        <v>0</v>
      </c>
      <c r="AJ242" s="1030" t="str">
        <f t="shared" si="18"/>
        <v>H01843</v>
      </c>
      <c r="AK242" s="1030" t="str">
        <f t="shared" si="19"/>
        <v>L/R LOCATION EQUIPEMENT</v>
      </c>
      <c r="AL242" s="1030">
        <f>IFERROR(INDEX(G242:R242,1,MATCH(Parametres!$B$3,G$1:R$1,0)-1)*IF(OR(F242="L",F242="S",F242="I"),-1,1),"")</f>
        <v>0</v>
      </c>
      <c r="AM242" s="1030">
        <f t="shared" si="20"/>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t="str">
        <f t="shared" si="21"/>
        <v>H01843</v>
      </c>
      <c r="AU242" s="599" t="str">
        <f t="shared" si="22"/>
        <v>L/R LOCATION EQUIPEMENT</v>
      </c>
      <c r="AV242" s="1030">
        <f>IFERROR(INDEX(V242:AG242,1,MATCH(Parametres!$B$3,V$1:AG$1,0)-1)*IF(OR(C242="L",C242="S",C242="I"),-1,1),"")</f>
        <v>0</v>
      </c>
      <c r="AW242" s="1030">
        <f t="shared" si="23"/>
        <v>0</v>
      </c>
      <c r="AX242" s="1030">
        <f>INDEX(V242:AG242,1,MATCH(Parametres!$B$3,V$1:AG$1,0))*IF(OR(C242="L",C242="S",C242="I"),-1,1)</f>
        <v>0</v>
      </c>
      <c r="AY242" s="598" t="s">
        <v>337</v>
      </c>
      <c r="AZ242" s="598" t="e">
        <f>+VLOOKUP($AJ242,Data_Validation!$A:$E,5,0)</f>
        <v>#N/A</v>
      </c>
    </row>
    <row r="243" spans="1:52" ht="15.75" customHeight="1">
      <c r="A243" s="832" t="s">
        <v>1150</v>
      </c>
      <c r="B243" s="832">
        <v>2025</v>
      </c>
      <c r="C243" s="832" t="s">
        <v>1632</v>
      </c>
      <c r="D243" s="832" t="s">
        <v>1633</v>
      </c>
      <c r="E243" s="832" t="s">
        <v>333</v>
      </c>
      <c r="F243" s="832" t="s">
        <v>1119</v>
      </c>
      <c r="G243" s="832">
        <v>0</v>
      </c>
      <c r="H243" s="832">
        <v>0</v>
      </c>
      <c r="I243" s="832">
        <v>0</v>
      </c>
      <c r="J243" s="832">
        <v>0</v>
      </c>
      <c r="K243" s="832">
        <v>0</v>
      </c>
      <c r="L243" s="832">
        <v>0</v>
      </c>
      <c r="M243" s="832">
        <v>0</v>
      </c>
      <c r="N243" s="832">
        <v>0</v>
      </c>
      <c r="O243" s="832">
        <v>0</v>
      </c>
      <c r="P243" s="832">
        <v>0</v>
      </c>
      <c r="Q243" s="832">
        <v>0</v>
      </c>
      <c r="R243" s="832">
        <v>0</v>
      </c>
      <c r="S243" s="832">
        <v>0</v>
      </c>
      <c r="T243" s="832">
        <v>0</v>
      </c>
      <c r="U243" s="832">
        <v>0</v>
      </c>
      <c r="V243" s="832">
        <v>0</v>
      </c>
      <c r="W243" s="832">
        <v>0</v>
      </c>
      <c r="X243" s="832">
        <v>0</v>
      </c>
      <c r="Y243" s="832">
        <v>0</v>
      </c>
      <c r="Z243" s="832">
        <v>0</v>
      </c>
      <c r="AA243" s="832">
        <v>0</v>
      </c>
      <c r="AB243" s="832">
        <v>0</v>
      </c>
      <c r="AC243" s="832">
        <v>0</v>
      </c>
      <c r="AD243" s="832">
        <v>0</v>
      </c>
      <c r="AE243" s="832">
        <v>0</v>
      </c>
      <c r="AF243" s="832">
        <v>0</v>
      </c>
      <c r="AG243" s="832">
        <v>0</v>
      </c>
      <c r="AH243" s="832">
        <v>0</v>
      </c>
      <c r="AI243" s="832">
        <v>0</v>
      </c>
      <c r="AJ243" s="1030" t="str">
        <f t="shared" si="18"/>
        <v>H01844</v>
      </c>
      <c r="AK243" s="1030" t="str">
        <f t="shared" si="19"/>
        <v>L/R TRAITEMENT DONNEES</v>
      </c>
      <c r="AL243" s="1030">
        <f>IFERROR(INDEX(G243:R243,1,MATCH(Parametres!$B$3,G$1:R$1,0)-1)*IF(OR(F243="L",F243="S",F243="I"),-1,1),"")</f>
        <v>0</v>
      </c>
      <c r="AM243" s="1030">
        <f t="shared" si="20"/>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t="str">
        <f t="shared" si="21"/>
        <v>H01844</v>
      </c>
      <c r="AU243" s="599" t="str">
        <f t="shared" si="22"/>
        <v>L/R TRAITEMENT DONNEES</v>
      </c>
      <c r="AV243" s="1030">
        <f>IFERROR(INDEX(V243:AG243,1,MATCH(Parametres!$B$3,V$1:AG$1,0)-1)*IF(OR(C243="L",C243="S",C243="I"),-1,1),"")</f>
        <v>0</v>
      </c>
      <c r="AW243" s="1030">
        <f t="shared" si="23"/>
        <v>0</v>
      </c>
      <c r="AX243" s="1030">
        <f>INDEX(V243:AG243,1,MATCH(Parametres!$B$3,V$1:AG$1,0))*IF(OR(C243="L",C243="S",C243="I"),-1,1)</f>
        <v>0</v>
      </c>
      <c r="AY243" s="598" t="s">
        <v>337</v>
      </c>
      <c r="AZ243" s="598" t="e">
        <f>+VLOOKUP($AJ243,Data_Validation!$A:$E,5,0)</f>
        <v>#N/A</v>
      </c>
    </row>
    <row r="244" spans="1:52" ht="15" customHeight="1">
      <c r="A244" s="832" t="s">
        <v>1150</v>
      </c>
      <c r="B244" s="832">
        <v>2025</v>
      </c>
      <c r="C244" s="832" t="s">
        <v>1634</v>
      </c>
      <c r="D244" s="832" t="s">
        <v>1635</v>
      </c>
      <c r="E244" s="832" t="s">
        <v>333</v>
      </c>
      <c r="F244" s="832" t="s">
        <v>1119</v>
      </c>
      <c r="G244" s="832">
        <v>0</v>
      </c>
      <c r="H244" s="832">
        <v>0</v>
      </c>
      <c r="I244" s="832">
        <v>0</v>
      </c>
      <c r="J244" s="832">
        <v>0</v>
      </c>
      <c r="K244" s="832">
        <v>0</v>
      </c>
      <c r="L244" s="832">
        <v>0</v>
      </c>
      <c r="M244" s="832">
        <v>0</v>
      </c>
      <c r="N244" s="832">
        <v>0</v>
      </c>
      <c r="O244" s="832">
        <v>0</v>
      </c>
      <c r="P244" s="832">
        <v>0</v>
      </c>
      <c r="Q244" s="832">
        <v>0</v>
      </c>
      <c r="R244" s="832">
        <v>0</v>
      </c>
      <c r="S244" s="832">
        <v>0</v>
      </c>
      <c r="T244" s="832">
        <v>0</v>
      </c>
      <c r="U244" s="832">
        <v>0</v>
      </c>
      <c r="V244" s="832">
        <v>0</v>
      </c>
      <c r="W244" s="832">
        <v>0</v>
      </c>
      <c r="X244" s="832">
        <v>0</v>
      </c>
      <c r="Y244" s="832">
        <v>0</v>
      </c>
      <c r="Z244" s="832">
        <v>0</v>
      </c>
      <c r="AA244" s="832">
        <v>0</v>
      </c>
      <c r="AB244" s="832">
        <v>0</v>
      </c>
      <c r="AC244" s="832">
        <v>0</v>
      </c>
      <c r="AD244" s="832">
        <v>0</v>
      </c>
      <c r="AE244" s="832">
        <v>0</v>
      </c>
      <c r="AF244" s="832">
        <v>0</v>
      </c>
      <c r="AG244" s="832">
        <v>0</v>
      </c>
      <c r="AH244" s="832">
        <v>0</v>
      </c>
      <c r="AI244" s="832">
        <v>0</v>
      </c>
      <c r="AJ244" s="1030" t="str">
        <f t="shared" si="18"/>
        <v>H01846</v>
      </c>
      <c r="AK244" s="1030" t="str">
        <f t="shared" si="19"/>
        <v>L/R DEPLACEMENT-REPRESENT</v>
      </c>
      <c r="AL244" s="1030">
        <f>IFERROR(INDEX(G244:R244,1,MATCH(Parametres!$B$3,G$1:R$1,0)-1)*IF(OR(F244="L",F244="S",F244="I"),-1,1),"")</f>
        <v>0</v>
      </c>
      <c r="AM244" s="1030">
        <f t="shared" si="20"/>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t="str">
        <f t="shared" si="21"/>
        <v>H01846</v>
      </c>
      <c r="AU244" s="599" t="str">
        <f t="shared" si="22"/>
        <v>L/R DEPLACEMENT-REPRESENT</v>
      </c>
      <c r="AV244" s="1030">
        <f>IFERROR(INDEX(V244:AG244,1,MATCH(Parametres!$B$3,V$1:AG$1,0)-1)*IF(OR(C244="L",C244="S",C244="I"),-1,1),"")</f>
        <v>0</v>
      </c>
      <c r="AW244" s="1030">
        <f t="shared" si="23"/>
        <v>0</v>
      </c>
      <c r="AX244" s="1030">
        <f>INDEX(V244:AG244,1,MATCH(Parametres!$B$3,V$1:AG$1,0))*IF(OR(C244="L",C244="S",C244="I"),-1,1)</f>
        <v>0</v>
      </c>
      <c r="AY244" s="598" t="s">
        <v>337</v>
      </c>
      <c r="AZ244" s="598" t="e">
        <f>+VLOOKUP($AJ244,Data_Validation!$A:$E,5,0)</f>
        <v>#N/A</v>
      </c>
    </row>
    <row r="245" spans="1:52" ht="15" customHeight="1">
      <c r="A245" s="832" t="s">
        <v>1150</v>
      </c>
      <c r="B245" s="832">
        <v>2025</v>
      </c>
      <c r="C245" s="832" t="s">
        <v>1636</v>
      </c>
      <c r="D245" s="832" t="s">
        <v>1637</v>
      </c>
      <c r="E245" s="832" t="s">
        <v>333</v>
      </c>
      <c r="F245" s="832" t="s">
        <v>1119</v>
      </c>
      <c r="G245" s="832">
        <v>0</v>
      </c>
      <c r="H245" s="832">
        <v>0</v>
      </c>
      <c r="I245" s="832">
        <v>0</v>
      </c>
      <c r="J245" s="832">
        <v>0</v>
      </c>
      <c r="K245" s="832">
        <v>0</v>
      </c>
      <c r="L245" s="832">
        <v>0</v>
      </c>
      <c r="M245" s="832">
        <v>0</v>
      </c>
      <c r="N245" s="832">
        <v>0</v>
      </c>
      <c r="O245" s="832">
        <v>0</v>
      </c>
      <c r="P245" s="832">
        <v>0</v>
      </c>
      <c r="Q245" s="832">
        <v>0</v>
      </c>
      <c r="R245" s="832">
        <v>0</v>
      </c>
      <c r="S245" s="832">
        <v>0</v>
      </c>
      <c r="T245" s="832">
        <v>0</v>
      </c>
      <c r="U245" s="832">
        <v>0</v>
      </c>
      <c r="V245" s="832">
        <v>0</v>
      </c>
      <c r="W245" s="832">
        <v>0</v>
      </c>
      <c r="X245" s="832">
        <v>0</v>
      </c>
      <c r="Y245" s="832">
        <v>0</v>
      </c>
      <c r="Z245" s="832">
        <v>0</v>
      </c>
      <c r="AA245" s="832">
        <v>0</v>
      </c>
      <c r="AB245" s="832">
        <v>0</v>
      </c>
      <c r="AC245" s="832">
        <v>0</v>
      </c>
      <c r="AD245" s="832">
        <v>0</v>
      </c>
      <c r="AE245" s="832">
        <v>0</v>
      </c>
      <c r="AF245" s="832">
        <v>0</v>
      </c>
      <c r="AG245" s="832">
        <v>0</v>
      </c>
      <c r="AH245" s="832">
        <v>0</v>
      </c>
      <c r="AI245" s="832">
        <v>0</v>
      </c>
      <c r="AJ245" s="1030" t="str">
        <f t="shared" si="18"/>
        <v>H01847</v>
      </c>
      <c r="AK245" s="1030" t="str">
        <f t="shared" si="19"/>
        <v>L/R TELEPHONE-TELEGRAMMES</v>
      </c>
      <c r="AL245" s="1030">
        <f>IFERROR(INDEX(G245:R245,1,MATCH(Parametres!$B$3,G$1:R$1,0)-1)*IF(OR(F245="L",F245="S",F245="I"),-1,1),"")</f>
        <v>0</v>
      </c>
      <c r="AM245" s="1030">
        <f t="shared" si="20"/>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t="str">
        <f t="shared" si="21"/>
        <v>H01847</v>
      </c>
      <c r="AU245" s="599" t="str">
        <f t="shared" si="22"/>
        <v>L/R TELEPHONE-TELEGRAMMES</v>
      </c>
      <c r="AV245" s="1030">
        <f>IFERROR(INDEX(V245:AG245,1,MATCH(Parametres!$B$3,V$1:AG$1,0)-1)*IF(OR(C245="L",C245="S",C245="I"),-1,1),"")</f>
        <v>0</v>
      </c>
      <c r="AW245" s="1030">
        <f t="shared" si="23"/>
        <v>0</v>
      </c>
      <c r="AX245" s="1030">
        <f>INDEX(V245:AG245,1,MATCH(Parametres!$B$3,V$1:AG$1,0))*IF(OR(C245="L",C245="S",C245="I"),-1,1)</f>
        <v>0</v>
      </c>
      <c r="AY245" s="598" t="s">
        <v>337</v>
      </c>
      <c r="AZ245" s="598" t="e">
        <f>+VLOOKUP($AJ245,Data_Validation!$A:$E,5,0)</f>
        <v>#N/A</v>
      </c>
    </row>
    <row r="246" spans="1:52" ht="15" customHeight="1">
      <c r="A246" s="832" t="s">
        <v>1150</v>
      </c>
      <c r="B246" s="832">
        <v>2025</v>
      </c>
      <c r="C246" s="832" t="s">
        <v>1638</v>
      </c>
      <c r="D246" s="832" t="s">
        <v>1639</v>
      </c>
      <c r="E246" s="832" t="s">
        <v>333</v>
      </c>
      <c r="F246" s="832" t="s">
        <v>1119</v>
      </c>
      <c r="G246" s="832">
        <v>0</v>
      </c>
      <c r="H246" s="832">
        <v>0</v>
      </c>
      <c r="I246" s="832">
        <v>0</v>
      </c>
      <c r="J246" s="832">
        <v>0</v>
      </c>
      <c r="K246" s="832">
        <v>0</v>
      </c>
      <c r="L246" s="832">
        <v>0</v>
      </c>
      <c r="M246" s="832">
        <v>0</v>
      </c>
      <c r="N246" s="832">
        <v>0</v>
      </c>
      <c r="O246" s="832">
        <v>0</v>
      </c>
      <c r="P246" s="832">
        <v>0</v>
      </c>
      <c r="Q246" s="832">
        <v>0</v>
      </c>
      <c r="R246" s="832">
        <v>0</v>
      </c>
      <c r="S246" s="832">
        <v>0</v>
      </c>
      <c r="T246" s="832">
        <v>0</v>
      </c>
      <c r="U246" s="832">
        <v>0</v>
      </c>
      <c r="V246" s="832">
        <v>0</v>
      </c>
      <c r="W246" s="832">
        <v>0</v>
      </c>
      <c r="X246" s="832">
        <v>0</v>
      </c>
      <c r="Y246" s="832">
        <v>0</v>
      </c>
      <c r="Z246" s="832">
        <v>0</v>
      </c>
      <c r="AA246" s="832">
        <v>0</v>
      </c>
      <c r="AB246" s="832">
        <v>0</v>
      </c>
      <c r="AC246" s="832">
        <v>0</v>
      </c>
      <c r="AD246" s="832">
        <v>0</v>
      </c>
      <c r="AE246" s="832">
        <v>0</v>
      </c>
      <c r="AF246" s="832">
        <v>0</v>
      </c>
      <c r="AG246" s="832">
        <v>0</v>
      </c>
      <c r="AH246" s="832">
        <v>0</v>
      </c>
      <c r="AI246" s="832">
        <v>0</v>
      </c>
      <c r="AJ246" s="1030" t="str">
        <f t="shared" si="18"/>
        <v>H01848</v>
      </c>
      <c r="AK246" s="1030" t="str">
        <f t="shared" si="19"/>
        <v>L/R FRAIS POSTAUX</v>
      </c>
      <c r="AL246" s="1030">
        <f>IFERROR(INDEX(G246:R246,1,MATCH(Parametres!$B$3,G$1:R$1,0)-1)*IF(OR(F246="L",F246="S",F246="I"),-1,1),"")</f>
        <v>0</v>
      </c>
      <c r="AM246" s="1030">
        <f t="shared" si="20"/>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t="str">
        <f t="shared" si="21"/>
        <v>H01848</v>
      </c>
      <c r="AU246" s="599" t="str">
        <f t="shared" si="22"/>
        <v>L/R FRAIS POSTAUX</v>
      </c>
      <c r="AV246" s="1030">
        <f>IFERROR(INDEX(V246:AG246,1,MATCH(Parametres!$B$3,V$1:AG$1,0)-1)*IF(OR(C246="L",C246="S",C246="I"),-1,1),"")</f>
        <v>0</v>
      </c>
      <c r="AW246" s="1030">
        <f t="shared" si="23"/>
        <v>0</v>
      </c>
      <c r="AX246" s="1030">
        <f>INDEX(V246:AG246,1,MATCH(Parametres!$B$3,V$1:AG$1,0))*IF(OR(C246="L",C246="S",C246="I"),-1,1)</f>
        <v>0</v>
      </c>
      <c r="AY246" s="598" t="s">
        <v>337</v>
      </c>
      <c r="AZ246" s="598" t="e">
        <f>+VLOOKUP($AJ246,Data_Validation!$A:$E,5,0)</f>
        <v>#N/A</v>
      </c>
    </row>
    <row r="247" spans="1:52" ht="15.75" customHeight="1">
      <c r="A247" s="832" t="s">
        <v>1150</v>
      </c>
      <c r="B247" s="832">
        <v>2025</v>
      </c>
      <c r="C247" s="832" t="s">
        <v>1640</v>
      </c>
      <c r="D247" s="832" t="s">
        <v>1641</v>
      </c>
      <c r="E247" s="832" t="s">
        <v>333</v>
      </c>
      <c r="F247" s="832" t="s">
        <v>1119</v>
      </c>
      <c r="G247" s="832">
        <v>0</v>
      </c>
      <c r="H247" s="832">
        <v>0</v>
      </c>
      <c r="I247" s="832">
        <v>0</v>
      </c>
      <c r="J247" s="832">
        <v>0</v>
      </c>
      <c r="K247" s="832">
        <v>0</v>
      </c>
      <c r="L247" s="832">
        <v>0</v>
      </c>
      <c r="M247" s="832">
        <v>0</v>
      </c>
      <c r="N247" s="832">
        <v>0</v>
      </c>
      <c r="O247" s="832">
        <v>0</v>
      </c>
      <c r="P247" s="832">
        <v>0</v>
      </c>
      <c r="Q247" s="832">
        <v>0</v>
      </c>
      <c r="R247" s="832">
        <v>0</v>
      </c>
      <c r="S247" s="832">
        <v>0</v>
      </c>
      <c r="T247" s="832">
        <v>0</v>
      </c>
      <c r="U247" s="832">
        <v>0</v>
      </c>
      <c r="V247" s="832">
        <v>0</v>
      </c>
      <c r="W247" s="832">
        <v>0</v>
      </c>
      <c r="X247" s="832">
        <v>0</v>
      </c>
      <c r="Y247" s="832">
        <v>0</v>
      </c>
      <c r="Z247" s="832">
        <v>0</v>
      </c>
      <c r="AA247" s="832">
        <v>0</v>
      </c>
      <c r="AB247" s="832">
        <v>0</v>
      </c>
      <c r="AC247" s="832">
        <v>0</v>
      </c>
      <c r="AD247" s="832">
        <v>0</v>
      </c>
      <c r="AE247" s="832">
        <v>0</v>
      </c>
      <c r="AF247" s="832">
        <v>0</v>
      </c>
      <c r="AG247" s="832">
        <v>0</v>
      </c>
      <c r="AH247" s="832">
        <v>0</v>
      </c>
      <c r="AI247" s="832">
        <v>0</v>
      </c>
      <c r="AJ247" s="1030" t="str">
        <f t="shared" si="18"/>
        <v>H01852</v>
      </c>
      <c r="AK247" s="1030" t="str">
        <f t="shared" si="19"/>
        <v>L/R DIVERS</v>
      </c>
      <c r="AL247" s="1030">
        <f>IFERROR(INDEX(G247:R247,1,MATCH(Parametres!$B$3,G$1:R$1,0)-1)*IF(OR(F247="L",F247="S",F247="I"),-1,1),"")</f>
        <v>0</v>
      </c>
      <c r="AM247" s="1030">
        <f t="shared" si="20"/>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t="str">
        <f t="shared" si="21"/>
        <v>H01852</v>
      </c>
      <c r="AU247" s="599" t="str">
        <f t="shared" si="22"/>
        <v>L/R DIVERS</v>
      </c>
      <c r="AV247" s="1030">
        <f>IFERROR(INDEX(V247:AG247,1,MATCH(Parametres!$B$3,V$1:AG$1,0)-1)*IF(OR(C247="L",C247="S",C247="I"),-1,1),"")</f>
        <v>0</v>
      </c>
      <c r="AW247" s="1030">
        <f t="shared" si="23"/>
        <v>0</v>
      </c>
      <c r="AX247" s="1030">
        <f>INDEX(V247:AG247,1,MATCH(Parametres!$B$3,V$1:AG$1,0))*IF(OR(C247="L",C247="S",C247="I"),-1,1)</f>
        <v>0</v>
      </c>
      <c r="AY247" s="598" t="s">
        <v>337</v>
      </c>
      <c r="AZ247" s="598" t="e">
        <f>+VLOOKUP($AJ247,Data_Validation!$A:$E,5,0)</f>
        <v>#N/A</v>
      </c>
    </row>
    <row r="248" spans="1:52" ht="15" customHeight="1">
      <c r="A248" s="832" t="s">
        <v>1150</v>
      </c>
      <c r="B248" s="832">
        <v>2025</v>
      </c>
      <c r="C248" s="832" t="s">
        <v>1642</v>
      </c>
      <c r="D248" s="832" t="s">
        <v>1643</v>
      </c>
      <c r="E248" s="832" t="s">
        <v>333</v>
      </c>
      <c r="F248" s="832" t="s">
        <v>1119</v>
      </c>
      <c r="G248" s="832">
        <v>0</v>
      </c>
      <c r="H248" s="832">
        <v>0</v>
      </c>
      <c r="I248" s="832">
        <v>0</v>
      </c>
      <c r="J248" s="832">
        <v>0</v>
      </c>
      <c r="K248" s="832">
        <v>0</v>
      </c>
      <c r="L248" s="832">
        <v>0</v>
      </c>
      <c r="M248" s="832">
        <v>0</v>
      </c>
      <c r="N248" s="832">
        <v>0</v>
      </c>
      <c r="O248" s="832">
        <v>0</v>
      </c>
      <c r="P248" s="832">
        <v>0</v>
      </c>
      <c r="Q248" s="832">
        <v>0</v>
      </c>
      <c r="R248" s="832">
        <v>0</v>
      </c>
      <c r="S248" s="832">
        <v>0</v>
      </c>
      <c r="T248" s="832">
        <v>0</v>
      </c>
      <c r="U248" s="832">
        <v>0</v>
      </c>
      <c r="V248" s="832">
        <v>0</v>
      </c>
      <c r="W248" s="832">
        <v>0</v>
      </c>
      <c r="X248" s="832">
        <v>0</v>
      </c>
      <c r="Y248" s="832">
        <v>0</v>
      </c>
      <c r="Z248" s="832">
        <v>0</v>
      </c>
      <c r="AA248" s="832">
        <v>0</v>
      </c>
      <c r="AB248" s="832">
        <v>0</v>
      </c>
      <c r="AC248" s="832">
        <v>0</v>
      </c>
      <c r="AD248" s="832">
        <v>0</v>
      </c>
      <c r="AE248" s="832">
        <v>0</v>
      </c>
      <c r="AF248" s="832">
        <v>0</v>
      </c>
      <c r="AG248" s="832">
        <v>0</v>
      </c>
      <c r="AH248" s="832">
        <v>0</v>
      </c>
      <c r="AI248" s="832">
        <v>0</v>
      </c>
      <c r="AJ248" s="1030" t="str">
        <f t="shared" si="18"/>
        <v>H01860</v>
      </c>
      <c r="AK248" s="1030" t="str">
        <f t="shared" si="19"/>
        <v>L/R LOYER INT HYPOTH.</v>
      </c>
      <c r="AL248" s="1030">
        <f>IFERROR(INDEX(G248:R248,1,MATCH(Parametres!$B$3,G$1:R$1,0)-1)*IF(OR(F248="L",F248="S",F248="I"),-1,1),"")</f>
        <v>0</v>
      </c>
      <c r="AM248" s="1030">
        <f t="shared" si="20"/>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t="str">
        <f t="shared" si="21"/>
        <v>H01860</v>
      </c>
      <c r="AU248" s="599" t="str">
        <f t="shared" si="22"/>
        <v>L/R LOYER INT HYPOTH.</v>
      </c>
      <c r="AV248" s="1030">
        <f>IFERROR(INDEX(V248:AG248,1,MATCH(Parametres!$B$3,V$1:AG$1,0)-1)*IF(OR(C248="L",C248="S",C248="I"),-1,1),"")</f>
        <v>0</v>
      </c>
      <c r="AW248" s="1030">
        <f t="shared" si="23"/>
        <v>0</v>
      </c>
      <c r="AX248" s="1030">
        <f>INDEX(V248:AG248,1,MATCH(Parametres!$B$3,V$1:AG$1,0))*IF(OR(C248="L",C248="S",C248="I"),-1,1)</f>
        <v>0</v>
      </c>
      <c r="AY248" s="598" t="s">
        <v>337</v>
      </c>
      <c r="AZ248" s="598" t="e">
        <f>+VLOOKUP($AJ248,Data_Validation!$A:$E,5,0)</f>
        <v>#N/A</v>
      </c>
    </row>
    <row r="249" spans="1:52" ht="15" customHeight="1">
      <c r="A249" s="832" t="s">
        <v>1150</v>
      </c>
      <c r="B249" s="832">
        <v>2025</v>
      </c>
      <c r="C249" s="832" t="s">
        <v>1644</v>
      </c>
      <c r="D249" s="832" t="s">
        <v>1645</v>
      </c>
      <c r="E249" s="832" t="s">
        <v>333</v>
      </c>
      <c r="F249" s="832" t="s">
        <v>1119</v>
      </c>
      <c r="G249" s="832">
        <v>0</v>
      </c>
      <c r="H249" s="832">
        <v>0</v>
      </c>
      <c r="I249" s="832">
        <v>0</v>
      </c>
      <c r="J249" s="832">
        <v>0</v>
      </c>
      <c r="K249" s="832">
        <v>0</v>
      </c>
      <c r="L249" s="832">
        <v>0</v>
      </c>
      <c r="M249" s="832">
        <v>0</v>
      </c>
      <c r="N249" s="832">
        <v>0</v>
      </c>
      <c r="O249" s="832">
        <v>0</v>
      </c>
      <c r="P249" s="832">
        <v>0</v>
      </c>
      <c r="Q249" s="832">
        <v>0</v>
      </c>
      <c r="R249" s="832">
        <v>0</v>
      </c>
      <c r="S249" s="832">
        <v>0</v>
      </c>
      <c r="T249" s="832">
        <v>0</v>
      </c>
      <c r="U249" s="832">
        <v>0</v>
      </c>
      <c r="V249" s="832">
        <v>0</v>
      </c>
      <c r="W249" s="832">
        <v>0</v>
      </c>
      <c r="X249" s="832">
        <v>0</v>
      </c>
      <c r="Y249" s="832">
        <v>0</v>
      </c>
      <c r="Z249" s="832">
        <v>0</v>
      </c>
      <c r="AA249" s="832">
        <v>0</v>
      </c>
      <c r="AB249" s="832">
        <v>0</v>
      </c>
      <c r="AC249" s="832">
        <v>0</v>
      </c>
      <c r="AD249" s="832">
        <v>0</v>
      </c>
      <c r="AE249" s="832">
        <v>0</v>
      </c>
      <c r="AF249" s="832">
        <v>0</v>
      </c>
      <c r="AG249" s="832">
        <v>0</v>
      </c>
      <c r="AH249" s="832">
        <v>0</v>
      </c>
      <c r="AI249" s="832">
        <v>0</v>
      </c>
      <c r="AJ249" s="1030" t="str">
        <f t="shared" si="18"/>
        <v>H01861</v>
      </c>
      <c r="AK249" s="1030" t="str">
        <f t="shared" si="19"/>
        <v>L/R AMORT AMELIOR  LOC</v>
      </c>
      <c r="AL249" s="1030">
        <f>IFERROR(INDEX(G249:R249,1,MATCH(Parametres!$B$3,G$1:R$1,0)-1)*IF(OR(F249="L",F249="S",F249="I"),-1,1),"")</f>
        <v>0</v>
      </c>
      <c r="AM249" s="1030">
        <f t="shared" si="20"/>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t="str">
        <f t="shared" si="21"/>
        <v>H01861</v>
      </c>
      <c r="AU249" s="599" t="str">
        <f t="shared" si="22"/>
        <v>L/R AMORT AMELIOR  LOC</v>
      </c>
      <c r="AV249" s="1030">
        <f>IFERROR(INDEX(V249:AG249,1,MATCH(Parametres!$B$3,V$1:AG$1,0)-1)*IF(OR(C249="L",C249="S",C249="I"),-1,1),"")</f>
        <v>0</v>
      </c>
      <c r="AW249" s="1030">
        <f t="shared" si="23"/>
        <v>0</v>
      </c>
      <c r="AX249" s="1030">
        <f>INDEX(V249:AG249,1,MATCH(Parametres!$B$3,V$1:AG$1,0))*IF(OR(C249="L",C249="S",C249="I"),-1,1)</f>
        <v>0</v>
      </c>
      <c r="AY249" s="598" t="s">
        <v>337</v>
      </c>
      <c r="AZ249" s="598" t="e">
        <f>+VLOOKUP($AJ249,Data_Validation!$A:$E,5,0)</f>
        <v>#N/A</v>
      </c>
    </row>
    <row r="250" spans="1:52" ht="15" customHeight="1">
      <c r="A250" s="832" t="s">
        <v>1150</v>
      </c>
      <c r="B250" s="832">
        <v>2025</v>
      </c>
      <c r="C250" s="832" t="s">
        <v>1646</v>
      </c>
      <c r="D250" s="832" t="s">
        <v>1647</v>
      </c>
      <c r="E250" s="832" t="s">
        <v>333</v>
      </c>
      <c r="F250" s="832" t="s">
        <v>1119</v>
      </c>
      <c r="G250" s="832">
        <v>0</v>
      </c>
      <c r="H250" s="832">
        <v>0</v>
      </c>
      <c r="I250" s="832">
        <v>0</v>
      </c>
      <c r="J250" s="832">
        <v>0</v>
      </c>
      <c r="K250" s="832">
        <v>0</v>
      </c>
      <c r="L250" s="832">
        <v>0</v>
      </c>
      <c r="M250" s="832">
        <v>0</v>
      </c>
      <c r="N250" s="832">
        <v>0</v>
      </c>
      <c r="O250" s="832">
        <v>0</v>
      </c>
      <c r="P250" s="832">
        <v>0</v>
      </c>
      <c r="Q250" s="832">
        <v>0</v>
      </c>
      <c r="R250" s="832">
        <v>0</v>
      </c>
      <c r="S250" s="832">
        <v>0</v>
      </c>
      <c r="T250" s="832">
        <v>0</v>
      </c>
      <c r="U250" s="832">
        <v>0</v>
      </c>
      <c r="V250" s="832">
        <v>0</v>
      </c>
      <c r="W250" s="832">
        <v>0</v>
      </c>
      <c r="X250" s="832">
        <v>0</v>
      </c>
      <c r="Y250" s="832">
        <v>0</v>
      </c>
      <c r="Z250" s="832">
        <v>0</v>
      </c>
      <c r="AA250" s="832">
        <v>0</v>
      </c>
      <c r="AB250" s="832">
        <v>0</v>
      </c>
      <c r="AC250" s="832">
        <v>0</v>
      </c>
      <c r="AD250" s="832">
        <v>0</v>
      </c>
      <c r="AE250" s="832">
        <v>0</v>
      </c>
      <c r="AF250" s="832">
        <v>0</v>
      </c>
      <c r="AG250" s="832">
        <v>0</v>
      </c>
      <c r="AH250" s="832">
        <v>0</v>
      </c>
      <c r="AI250" s="832">
        <v>0</v>
      </c>
      <c r="AJ250" s="1030" t="str">
        <f t="shared" si="18"/>
        <v>H01862</v>
      </c>
      <c r="AK250" s="1030" t="str">
        <f t="shared" si="19"/>
        <v>L/R ENTRERIEN PROPRIÉTÉ</v>
      </c>
      <c r="AL250" s="1030">
        <f>IFERROR(INDEX(G250:R250,1,MATCH(Parametres!$B$3,G$1:R$1,0)-1)*IF(OR(F250="L",F250="S",F250="I"),-1,1),"")</f>
        <v>0</v>
      </c>
      <c r="AM250" s="1030">
        <f t="shared" si="20"/>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t="str">
        <f t="shared" si="21"/>
        <v>H01862</v>
      </c>
      <c r="AU250" s="599" t="str">
        <f t="shared" si="22"/>
        <v>L/R ENTRERIEN PROPRIÉTÉ</v>
      </c>
      <c r="AV250" s="1030">
        <f>IFERROR(INDEX(V250:AG250,1,MATCH(Parametres!$B$3,V$1:AG$1,0)-1)*IF(OR(C250="L",C250="S",C250="I"),-1,1),"")</f>
        <v>0</v>
      </c>
      <c r="AW250" s="1030">
        <f t="shared" si="23"/>
        <v>0</v>
      </c>
      <c r="AX250" s="1030">
        <f>INDEX(V250:AG250,1,MATCH(Parametres!$B$3,V$1:AG$1,0))*IF(OR(C250="L",C250="S",C250="I"),-1,1)</f>
        <v>0</v>
      </c>
      <c r="AY250" s="598" t="s">
        <v>337</v>
      </c>
      <c r="AZ250" s="598" t="e">
        <f>+VLOOKUP($AJ250,Data_Validation!$A:$E,5,0)</f>
        <v>#N/A</v>
      </c>
    </row>
    <row r="251" spans="1:52" ht="15" customHeight="1">
      <c r="A251" s="832" t="s">
        <v>1150</v>
      </c>
      <c r="B251" s="832">
        <v>2025</v>
      </c>
      <c r="C251" s="832" t="s">
        <v>1648</v>
      </c>
      <c r="D251" s="832" t="s">
        <v>1649</v>
      </c>
      <c r="E251" s="832" t="s">
        <v>333</v>
      </c>
      <c r="F251" s="832" t="s">
        <v>1119</v>
      </c>
      <c r="G251" s="832">
        <v>0</v>
      </c>
      <c r="H251" s="832">
        <v>0</v>
      </c>
      <c r="I251" s="832">
        <v>0</v>
      </c>
      <c r="J251" s="832">
        <v>0</v>
      </c>
      <c r="K251" s="832">
        <v>0</v>
      </c>
      <c r="L251" s="832">
        <v>0</v>
      </c>
      <c r="M251" s="832">
        <v>0</v>
      </c>
      <c r="N251" s="832">
        <v>0</v>
      </c>
      <c r="O251" s="832">
        <v>0</v>
      </c>
      <c r="P251" s="832">
        <v>0</v>
      </c>
      <c r="Q251" s="832">
        <v>0</v>
      </c>
      <c r="R251" s="832">
        <v>0</v>
      </c>
      <c r="S251" s="832">
        <v>0</v>
      </c>
      <c r="T251" s="832">
        <v>0</v>
      </c>
      <c r="U251" s="832">
        <v>0</v>
      </c>
      <c r="V251" s="832">
        <v>0</v>
      </c>
      <c r="W251" s="832">
        <v>0</v>
      </c>
      <c r="X251" s="832">
        <v>0</v>
      </c>
      <c r="Y251" s="832">
        <v>0</v>
      </c>
      <c r="Z251" s="832">
        <v>0</v>
      </c>
      <c r="AA251" s="832">
        <v>0</v>
      </c>
      <c r="AB251" s="832">
        <v>0</v>
      </c>
      <c r="AC251" s="832">
        <v>0</v>
      </c>
      <c r="AD251" s="832">
        <v>0</v>
      </c>
      <c r="AE251" s="832">
        <v>0</v>
      </c>
      <c r="AF251" s="832">
        <v>0</v>
      </c>
      <c r="AG251" s="832">
        <v>0</v>
      </c>
      <c r="AH251" s="832">
        <v>0</v>
      </c>
      <c r="AI251" s="832">
        <v>0</v>
      </c>
      <c r="AJ251" s="1030" t="str">
        <f t="shared" si="18"/>
        <v>H01863</v>
      </c>
      <c r="AK251" s="1030" t="str">
        <f t="shared" si="19"/>
        <v>L/R TAXES PROPRIÉTÉ</v>
      </c>
      <c r="AL251" s="1030">
        <f>IFERROR(INDEX(G251:R251,1,MATCH(Parametres!$B$3,G$1:R$1,0)-1)*IF(OR(F251="L",F251="S",F251="I"),-1,1),"")</f>
        <v>0</v>
      </c>
      <c r="AM251" s="1030">
        <f t="shared" si="20"/>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t="str">
        <f t="shared" si="21"/>
        <v>H01863</v>
      </c>
      <c r="AU251" s="599" t="str">
        <f t="shared" si="22"/>
        <v>L/R TAXES PROPRIÉTÉ</v>
      </c>
      <c r="AV251" s="1030">
        <f>IFERROR(INDEX(V251:AG251,1,MATCH(Parametres!$B$3,V$1:AG$1,0)-1)*IF(OR(C251="L",C251="S",C251="I"),-1,1),"")</f>
        <v>0</v>
      </c>
      <c r="AW251" s="1030">
        <f t="shared" si="23"/>
        <v>0</v>
      </c>
      <c r="AX251" s="1030">
        <f>INDEX(V251:AG251,1,MATCH(Parametres!$B$3,V$1:AG$1,0))*IF(OR(C251="L",C251="S",C251="I"),-1,1)</f>
        <v>0</v>
      </c>
      <c r="AY251" s="598" t="s">
        <v>337</v>
      </c>
      <c r="AZ251" s="598" t="e">
        <f>+VLOOKUP($AJ251,Data_Validation!$A:$E,5,0)</f>
        <v>#N/A</v>
      </c>
    </row>
    <row r="252" spans="1:52" ht="15.75" customHeight="1">
      <c r="A252" s="832" t="s">
        <v>1150</v>
      </c>
      <c r="B252" s="832">
        <v>2025</v>
      </c>
      <c r="C252" s="832" t="s">
        <v>1650</v>
      </c>
      <c r="D252" s="832" t="s">
        <v>1651</v>
      </c>
      <c r="E252" s="832" t="s">
        <v>333</v>
      </c>
      <c r="F252" s="832" t="s">
        <v>1119</v>
      </c>
      <c r="G252" s="832">
        <v>0</v>
      </c>
      <c r="H252" s="832">
        <v>0</v>
      </c>
      <c r="I252" s="832">
        <v>0</v>
      </c>
      <c r="J252" s="832">
        <v>0</v>
      </c>
      <c r="K252" s="832">
        <v>0</v>
      </c>
      <c r="L252" s="832">
        <v>0</v>
      </c>
      <c r="M252" s="832">
        <v>0</v>
      </c>
      <c r="N252" s="832">
        <v>0</v>
      </c>
      <c r="O252" s="832">
        <v>0</v>
      </c>
      <c r="P252" s="832">
        <v>0</v>
      </c>
      <c r="Q252" s="832">
        <v>0</v>
      </c>
      <c r="R252" s="832">
        <v>0</v>
      </c>
      <c r="S252" s="832">
        <v>0</v>
      </c>
      <c r="T252" s="832">
        <v>0</v>
      </c>
      <c r="U252" s="832">
        <v>0</v>
      </c>
      <c r="V252" s="832">
        <v>0</v>
      </c>
      <c r="W252" s="832">
        <v>0</v>
      </c>
      <c r="X252" s="832">
        <v>0</v>
      </c>
      <c r="Y252" s="832">
        <v>0</v>
      </c>
      <c r="Z252" s="832">
        <v>0</v>
      </c>
      <c r="AA252" s="832">
        <v>0</v>
      </c>
      <c r="AB252" s="832">
        <v>0</v>
      </c>
      <c r="AC252" s="832">
        <v>0</v>
      </c>
      <c r="AD252" s="832">
        <v>0</v>
      </c>
      <c r="AE252" s="832">
        <v>0</v>
      </c>
      <c r="AF252" s="832">
        <v>0</v>
      </c>
      <c r="AG252" s="832">
        <v>0</v>
      </c>
      <c r="AH252" s="832">
        <v>0</v>
      </c>
      <c r="AI252" s="832">
        <v>0</v>
      </c>
      <c r="AJ252" s="1030" t="str">
        <f t="shared" si="18"/>
        <v>H01864</v>
      </c>
      <c r="AK252" s="1030" t="str">
        <f t="shared" si="19"/>
        <v>L/R ASSURANCE BATIMENT</v>
      </c>
      <c r="AL252" s="1030">
        <f>IFERROR(INDEX(G252:R252,1,MATCH(Parametres!$B$3,G$1:R$1,0)-1)*IF(OR(F252="L",F252="S",F252="I"),-1,1),"")</f>
        <v>0</v>
      </c>
      <c r="AM252" s="1030">
        <f t="shared" si="20"/>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t="str">
        <f t="shared" si="21"/>
        <v>H01864</v>
      </c>
      <c r="AU252" s="599" t="str">
        <f t="shared" si="22"/>
        <v>L/R ASSURANCE BATIMENT</v>
      </c>
      <c r="AV252" s="1030">
        <f>IFERROR(INDEX(V252:AG252,1,MATCH(Parametres!$B$3,V$1:AG$1,0)-1)*IF(OR(C252="L",C252="S",C252="I"),-1,1),"")</f>
        <v>0</v>
      </c>
      <c r="AW252" s="1030">
        <f t="shared" si="23"/>
        <v>0</v>
      </c>
      <c r="AX252" s="1030">
        <f>INDEX(V252:AG252,1,MATCH(Parametres!$B$3,V$1:AG$1,0))*IF(OR(C252="L",C252="S",C252="I"),-1,1)</f>
        <v>0</v>
      </c>
      <c r="AY252" s="598" t="s">
        <v>337</v>
      </c>
      <c r="AZ252" s="598" t="e">
        <f>+VLOOKUP($AJ252,Data_Validation!$A:$E,5,0)</f>
        <v>#N/A</v>
      </c>
    </row>
    <row r="253" spans="1:52" ht="15" customHeight="1">
      <c r="A253" s="832" t="s">
        <v>1150</v>
      </c>
      <c r="B253" s="832">
        <v>2025</v>
      </c>
      <c r="C253" s="832" t="s">
        <v>1652</v>
      </c>
      <c r="D253" s="832" t="s">
        <v>1653</v>
      </c>
      <c r="E253" s="832" t="s">
        <v>333</v>
      </c>
      <c r="F253" s="832" t="s">
        <v>1119</v>
      </c>
      <c r="G253" s="832">
        <v>0</v>
      </c>
      <c r="H253" s="832">
        <v>0</v>
      </c>
      <c r="I253" s="832">
        <v>0</v>
      </c>
      <c r="J253" s="832">
        <v>0</v>
      </c>
      <c r="K253" s="832">
        <v>0</v>
      </c>
      <c r="L253" s="832">
        <v>0</v>
      </c>
      <c r="M253" s="832">
        <v>0</v>
      </c>
      <c r="N253" s="832">
        <v>0</v>
      </c>
      <c r="O253" s="832">
        <v>0</v>
      </c>
      <c r="P253" s="832">
        <v>0</v>
      </c>
      <c r="Q253" s="832">
        <v>0</v>
      </c>
      <c r="R253" s="832">
        <v>0</v>
      </c>
      <c r="S253" s="832">
        <v>0</v>
      </c>
      <c r="T253" s="832">
        <v>0</v>
      </c>
      <c r="U253" s="832">
        <v>0</v>
      </c>
      <c r="V253" s="832">
        <v>0</v>
      </c>
      <c r="W253" s="832">
        <v>0</v>
      </c>
      <c r="X253" s="832">
        <v>0</v>
      </c>
      <c r="Y253" s="832">
        <v>0</v>
      </c>
      <c r="Z253" s="832">
        <v>0</v>
      </c>
      <c r="AA253" s="832">
        <v>0</v>
      </c>
      <c r="AB253" s="832">
        <v>0</v>
      </c>
      <c r="AC253" s="832">
        <v>0</v>
      </c>
      <c r="AD253" s="832">
        <v>0</v>
      </c>
      <c r="AE253" s="832">
        <v>0</v>
      </c>
      <c r="AF253" s="832">
        <v>0</v>
      </c>
      <c r="AG253" s="832">
        <v>0</v>
      </c>
      <c r="AH253" s="832">
        <v>0</v>
      </c>
      <c r="AI253" s="832">
        <v>0</v>
      </c>
      <c r="AJ253" s="1030" t="str">
        <f t="shared" si="18"/>
        <v>H01865</v>
      </c>
      <c r="AK253" s="1030" t="str">
        <f t="shared" si="19"/>
        <v>L/R AMORT BATIMENT</v>
      </c>
      <c r="AL253" s="1030">
        <f>IFERROR(INDEX(G253:R253,1,MATCH(Parametres!$B$3,G$1:R$1,0)-1)*IF(OR(F253="L",F253="S",F253="I"),-1,1),"")</f>
        <v>0</v>
      </c>
      <c r="AM253" s="1030">
        <f t="shared" si="20"/>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t="str">
        <f t="shared" si="21"/>
        <v>H01865</v>
      </c>
      <c r="AU253" s="599" t="str">
        <f t="shared" si="22"/>
        <v>L/R AMORT BATIMENT</v>
      </c>
      <c r="AV253" s="1030">
        <f>IFERROR(INDEX(V253:AG253,1,MATCH(Parametres!$B$3,V$1:AG$1,0)-1)*IF(OR(C253="L",C253="S",C253="I"),-1,1),"")</f>
        <v>0</v>
      </c>
      <c r="AW253" s="1030">
        <f t="shared" si="23"/>
        <v>0</v>
      </c>
      <c r="AX253" s="1030">
        <f>INDEX(V253:AG253,1,MATCH(Parametres!$B$3,V$1:AG$1,0))*IF(OR(C253="L",C253="S",C253="I"),-1,1)</f>
        <v>0</v>
      </c>
      <c r="AY253" s="598" t="s">
        <v>337</v>
      </c>
      <c r="AZ253" s="598" t="e">
        <f>+VLOOKUP($AJ253,Data_Validation!$A:$E,5,0)</f>
        <v>#N/A</v>
      </c>
    </row>
    <row r="254" spans="1:52" ht="15" customHeight="1">
      <c r="A254" s="832" t="s">
        <v>1150</v>
      </c>
      <c r="B254" s="832">
        <v>2025</v>
      </c>
      <c r="C254" s="832" t="s">
        <v>1654</v>
      </c>
      <c r="D254" s="832" t="s">
        <v>1655</v>
      </c>
      <c r="E254" s="832" t="s">
        <v>333</v>
      </c>
      <c r="F254" s="832" t="s">
        <v>1119</v>
      </c>
      <c r="G254" s="832">
        <v>0</v>
      </c>
      <c r="H254" s="832">
        <v>0</v>
      </c>
      <c r="I254" s="832">
        <v>0</v>
      </c>
      <c r="J254" s="832">
        <v>0</v>
      </c>
      <c r="K254" s="832">
        <v>0</v>
      </c>
      <c r="L254" s="832">
        <v>0</v>
      </c>
      <c r="M254" s="832">
        <v>0</v>
      </c>
      <c r="N254" s="832">
        <v>0</v>
      </c>
      <c r="O254" s="832">
        <v>0</v>
      </c>
      <c r="P254" s="832">
        <v>0</v>
      </c>
      <c r="Q254" s="832">
        <v>0</v>
      </c>
      <c r="R254" s="832">
        <v>0</v>
      </c>
      <c r="S254" s="832">
        <v>0</v>
      </c>
      <c r="T254" s="832">
        <v>0</v>
      </c>
      <c r="U254" s="832">
        <v>0</v>
      </c>
      <c r="V254" s="832">
        <v>0</v>
      </c>
      <c r="W254" s="832">
        <v>0</v>
      </c>
      <c r="X254" s="832">
        <v>0</v>
      </c>
      <c r="Y254" s="832">
        <v>0</v>
      </c>
      <c r="Z254" s="832">
        <v>0</v>
      </c>
      <c r="AA254" s="832">
        <v>0</v>
      </c>
      <c r="AB254" s="832">
        <v>0</v>
      </c>
      <c r="AC254" s="832">
        <v>0</v>
      </c>
      <c r="AD254" s="832">
        <v>0</v>
      </c>
      <c r="AE254" s="832">
        <v>0</v>
      </c>
      <c r="AF254" s="832">
        <v>0</v>
      </c>
      <c r="AG254" s="832">
        <v>0</v>
      </c>
      <c r="AH254" s="832">
        <v>0</v>
      </c>
      <c r="AI254" s="832">
        <v>0</v>
      </c>
      <c r="AJ254" s="1030" t="str">
        <f t="shared" si="18"/>
        <v>H01868</v>
      </c>
      <c r="AK254" s="1030" t="str">
        <f t="shared" si="19"/>
        <v>L/R TAXES AFFAIRES-AUTRE</v>
      </c>
      <c r="AL254" s="1030">
        <f>IFERROR(INDEX(G254:R254,1,MATCH(Parametres!$B$3,G$1:R$1,0)-1)*IF(OR(F254="L",F254="S",F254="I"),-1,1),"")</f>
        <v>0</v>
      </c>
      <c r="AM254" s="1030">
        <f t="shared" si="20"/>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t="str">
        <f t="shared" si="21"/>
        <v>H01868</v>
      </c>
      <c r="AU254" s="599" t="str">
        <f t="shared" si="22"/>
        <v>L/R TAXES AFFAIRES-AUTRE</v>
      </c>
      <c r="AV254" s="1030">
        <f>IFERROR(INDEX(V254:AG254,1,MATCH(Parametres!$B$3,V$1:AG$1,0)-1)*IF(OR(C254="L",C254="S",C254="I"),-1,1),"")</f>
        <v>0</v>
      </c>
      <c r="AW254" s="1030">
        <f t="shared" si="23"/>
        <v>0</v>
      </c>
      <c r="AX254" s="1030">
        <f>INDEX(V254:AG254,1,MATCH(Parametres!$B$3,V$1:AG$1,0))*IF(OR(C254="L",C254="S",C254="I"),-1,1)</f>
        <v>0</v>
      </c>
      <c r="AY254" s="598" t="s">
        <v>337</v>
      </c>
      <c r="AZ254" s="598" t="e">
        <f>+VLOOKUP($AJ254,Data_Validation!$A:$E,5,0)</f>
        <v>#N/A</v>
      </c>
    </row>
    <row r="255" spans="1:52" ht="15" customHeight="1">
      <c r="A255" s="832" t="s">
        <v>1150</v>
      </c>
      <c r="B255" s="832">
        <v>2025</v>
      </c>
      <c r="C255" s="832" t="s">
        <v>1656</v>
      </c>
      <c r="D255" s="832" t="s">
        <v>1657</v>
      </c>
      <c r="E255" s="832" t="s">
        <v>333</v>
      </c>
      <c r="F255" s="832" t="s">
        <v>1119</v>
      </c>
      <c r="G255" s="832">
        <v>0</v>
      </c>
      <c r="H255" s="832">
        <v>0</v>
      </c>
      <c r="I255" s="832">
        <v>0</v>
      </c>
      <c r="J255" s="832">
        <v>0</v>
      </c>
      <c r="K255" s="832">
        <v>0</v>
      </c>
      <c r="L255" s="832">
        <v>0</v>
      </c>
      <c r="M255" s="832">
        <v>0</v>
      </c>
      <c r="N255" s="832">
        <v>0</v>
      </c>
      <c r="O255" s="832">
        <v>0</v>
      </c>
      <c r="P255" s="832">
        <v>0</v>
      </c>
      <c r="Q255" s="832">
        <v>0</v>
      </c>
      <c r="R255" s="832">
        <v>0</v>
      </c>
      <c r="S255" s="832">
        <v>0</v>
      </c>
      <c r="T255" s="832">
        <v>0</v>
      </c>
      <c r="U255" s="832">
        <v>0</v>
      </c>
      <c r="V255" s="832">
        <v>0</v>
      </c>
      <c r="W255" s="832">
        <v>0</v>
      </c>
      <c r="X255" s="832">
        <v>0</v>
      </c>
      <c r="Y255" s="832">
        <v>0</v>
      </c>
      <c r="Z255" s="832">
        <v>0</v>
      </c>
      <c r="AA255" s="832">
        <v>0</v>
      </c>
      <c r="AB255" s="832">
        <v>0</v>
      </c>
      <c r="AC255" s="832">
        <v>0</v>
      </c>
      <c r="AD255" s="832">
        <v>0</v>
      </c>
      <c r="AE255" s="832">
        <v>0</v>
      </c>
      <c r="AF255" s="832">
        <v>0</v>
      </c>
      <c r="AG255" s="832">
        <v>0</v>
      </c>
      <c r="AH255" s="832">
        <v>0</v>
      </c>
      <c r="AI255" s="832">
        <v>0</v>
      </c>
      <c r="AJ255" s="1030" t="str">
        <f t="shared" si="18"/>
        <v>H01869</v>
      </c>
      <c r="AK255" s="1030" t="str">
        <f t="shared" si="19"/>
        <v>L/R AMORT EQUIP &amp; INSTALL</v>
      </c>
      <c r="AL255" s="1030">
        <f>IFERROR(INDEX(G255:R255,1,MATCH(Parametres!$B$3,G$1:R$1,0)-1)*IF(OR(F255="L",F255="S",F255="I"),-1,1),"")</f>
        <v>0</v>
      </c>
      <c r="AM255" s="1030">
        <f t="shared" si="20"/>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t="str">
        <f t="shared" si="21"/>
        <v>H01869</v>
      </c>
      <c r="AU255" s="599" t="str">
        <f t="shared" si="22"/>
        <v>L/R AMORT EQUIP &amp; INSTALL</v>
      </c>
      <c r="AV255" s="1030">
        <f>IFERROR(INDEX(V255:AG255,1,MATCH(Parametres!$B$3,V$1:AG$1,0)-1)*IF(OR(C255="L",C255="S",C255="I"),-1,1),"")</f>
        <v>0</v>
      </c>
      <c r="AW255" s="1030">
        <f t="shared" si="23"/>
        <v>0</v>
      </c>
      <c r="AX255" s="1030">
        <f>INDEX(V255:AG255,1,MATCH(Parametres!$B$3,V$1:AG$1,0))*IF(OR(C255="L",C255="S",C255="I"),-1,1)</f>
        <v>0</v>
      </c>
      <c r="AY255" s="598" t="s">
        <v>337</v>
      </c>
      <c r="AZ255" s="598" t="e">
        <f>+VLOOKUP($AJ255,Data_Validation!$A:$E,5,0)</f>
        <v>#N/A</v>
      </c>
    </row>
    <row r="256" spans="1:52" ht="15.75" customHeight="1">
      <c r="A256" s="832" t="s">
        <v>1150</v>
      </c>
      <c r="B256" s="832">
        <v>2025</v>
      </c>
      <c r="C256" s="832" t="s">
        <v>1658</v>
      </c>
      <c r="D256" s="832" t="s">
        <v>1659</v>
      </c>
      <c r="E256" s="832" t="s">
        <v>333</v>
      </c>
      <c r="F256" s="832" t="s">
        <v>1119</v>
      </c>
      <c r="G256" s="832">
        <v>0</v>
      </c>
      <c r="H256" s="832">
        <v>0</v>
      </c>
      <c r="I256" s="832">
        <v>0</v>
      </c>
      <c r="J256" s="832">
        <v>0</v>
      </c>
      <c r="K256" s="832">
        <v>0</v>
      </c>
      <c r="L256" s="832">
        <v>0</v>
      </c>
      <c r="M256" s="832">
        <v>0</v>
      </c>
      <c r="N256" s="832">
        <v>0</v>
      </c>
      <c r="O256" s="832">
        <v>0</v>
      </c>
      <c r="P256" s="832">
        <v>0</v>
      </c>
      <c r="Q256" s="832">
        <v>0</v>
      </c>
      <c r="R256" s="832">
        <v>0</v>
      </c>
      <c r="S256" s="832">
        <v>0</v>
      </c>
      <c r="T256" s="832">
        <v>0</v>
      </c>
      <c r="U256" s="832">
        <v>0</v>
      </c>
      <c r="V256" s="832">
        <v>0</v>
      </c>
      <c r="W256" s="832">
        <v>0</v>
      </c>
      <c r="X256" s="832">
        <v>0</v>
      </c>
      <c r="Y256" s="832">
        <v>0</v>
      </c>
      <c r="Z256" s="832">
        <v>0</v>
      </c>
      <c r="AA256" s="832">
        <v>0</v>
      </c>
      <c r="AB256" s="832">
        <v>0</v>
      </c>
      <c r="AC256" s="832">
        <v>0</v>
      </c>
      <c r="AD256" s="832">
        <v>0</v>
      </c>
      <c r="AE256" s="832">
        <v>0</v>
      </c>
      <c r="AF256" s="832">
        <v>0</v>
      </c>
      <c r="AG256" s="832">
        <v>0</v>
      </c>
      <c r="AH256" s="832">
        <v>0</v>
      </c>
      <c r="AI256" s="832">
        <v>0</v>
      </c>
      <c r="AJ256" s="1030" t="str">
        <f t="shared" si="18"/>
        <v>H01870</v>
      </c>
      <c r="AK256" s="1030" t="str">
        <f t="shared" si="19"/>
        <v>L/R ASSURANCE GENERALE</v>
      </c>
      <c r="AL256" s="1030">
        <f>IFERROR(INDEX(G256:R256,1,MATCH(Parametres!$B$3,G$1:R$1,0)-1)*IF(OR(F256="L",F256="S",F256="I"),-1,1),"")</f>
        <v>0</v>
      </c>
      <c r="AM256" s="1030">
        <f t="shared" si="20"/>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t="str">
        <f t="shared" si="21"/>
        <v>H01870</v>
      </c>
      <c r="AU256" s="599" t="str">
        <f t="shared" si="22"/>
        <v>L/R ASSURANCE GENERALE</v>
      </c>
      <c r="AV256" s="1030">
        <f>IFERROR(INDEX(V256:AG256,1,MATCH(Parametres!$B$3,V$1:AG$1,0)-1)*IF(OR(C256="L",C256="S",C256="I"),-1,1),"")</f>
        <v>0</v>
      </c>
      <c r="AW256" s="1030">
        <f t="shared" si="23"/>
        <v>0</v>
      </c>
      <c r="AX256" s="1030">
        <f>INDEX(V256:AG256,1,MATCH(Parametres!$B$3,V$1:AG$1,0))*IF(OR(C256="L",C256="S",C256="I"),-1,1)</f>
        <v>0</v>
      </c>
      <c r="AY256" s="598" t="s">
        <v>337</v>
      </c>
      <c r="AZ256" s="598" t="e">
        <f>+VLOOKUP($AJ256,Data_Validation!$A:$E,5,0)</f>
        <v>#N/A</v>
      </c>
    </row>
    <row r="257" spans="1:52" ht="15" customHeight="1">
      <c r="A257" s="832" t="s">
        <v>1150</v>
      </c>
      <c r="B257" s="832">
        <v>2025</v>
      </c>
      <c r="C257" s="832" t="s">
        <v>1660</v>
      </c>
      <c r="D257" s="832" t="s">
        <v>1661</v>
      </c>
      <c r="E257" s="832" t="s">
        <v>333</v>
      </c>
      <c r="F257" s="832" t="s">
        <v>1119</v>
      </c>
      <c r="G257" s="832">
        <v>0</v>
      </c>
      <c r="H257" s="832">
        <v>0</v>
      </c>
      <c r="I257" s="832">
        <v>0</v>
      </c>
      <c r="J257" s="832">
        <v>0</v>
      </c>
      <c r="K257" s="832">
        <v>0</v>
      </c>
      <c r="L257" s="832">
        <v>0</v>
      </c>
      <c r="M257" s="832">
        <v>0</v>
      </c>
      <c r="N257" s="832">
        <v>0</v>
      </c>
      <c r="O257" s="832">
        <v>0</v>
      </c>
      <c r="P257" s="832">
        <v>0</v>
      </c>
      <c r="Q257" s="832">
        <v>0</v>
      </c>
      <c r="R257" s="832">
        <v>0</v>
      </c>
      <c r="S257" s="832">
        <v>0</v>
      </c>
      <c r="T257" s="832">
        <v>0</v>
      </c>
      <c r="U257" s="832">
        <v>0</v>
      </c>
      <c r="V257" s="832">
        <v>0</v>
      </c>
      <c r="W257" s="832">
        <v>0</v>
      </c>
      <c r="X257" s="832">
        <v>0</v>
      </c>
      <c r="Y257" s="832">
        <v>0</v>
      </c>
      <c r="Z257" s="832">
        <v>0</v>
      </c>
      <c r="AA257" s="832">
        <v>0</v>
      </c>
      <c r="AB257" s="832">
        <v>0</v>
      </c>
      <c r="AC257" s="832">
        <v>0</v>
      </c>
      <c r="AD257" s="832">
        <v>0</v>
      </c>
      <c r="AE257" s="832">
        <v>0</v>
      </c>
      <c r="AF257" s="832">
        <v>0</v>
      </c>
      <c r="AG257" s="832">
        <v>0</v>
      </c>
      <c r="AH257" s="832">
        <v>0</v>
      </c>
      <c r="AI257" s="832">
        <v>0</v>
      </c>
      <c r="AJ257" s="1030" t="str">
        <f t="shared" si="18"/>
        <v>H01874</v>
      </c>
      <c r="AK257" s="1030" t="str">
        <f t="shared" si="19"/>
        <v>L/R EAU/ELECT./CHAUFFAGE</v>
      </c>
      <c r="AL257" s="1030">
        <f>IFERROR(INDEX(G257:R257,1,MATCH(Parametres!$B$3,G$1:R$1,0)-1)*IF(OR(F257="L",F257="S",F257="I"),-1,1),"")</f>
        <v>0</v>
      </c>
      <c r="AM257" s="1030">
        <f t="shared" si="20"/>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t="str">
        <f t="shared" si="21"/>
        <v>H01874</v>
      </c>
      <c r="AU257" s="599" t="str">
        <f t="shared" si="22"/>
        <v>L/R EAU/ELECT./CHAUFFAGE</v>
      </c>
      <c r="AV257" s="1030">
        <f>IFERROR(INDEX(V257:AG257,1,MATCH(Parametres!$B$3,V$1:AG$1,0)-1)*IF(OR(C257="L",C257="S",C257="I"),-1,1),"")</f>
        <v>0</v>
      </c>
      <c r="AW257" s="1030">
        <f t="shared" si="23"/>
        <v>0</v>
      </c>
      <c r="AX257" s="1030">
        <f>INDEX(V257:AG257,1,MATCH(Parametres!$B$3,V$1:AG$1,0))*IF(OR(C257="L",C257="S",C257="I"),-1,1)</f>
        <v>0</v>
      </c>
      <c r="AY257" s="598" t="s">
        <v>337</v>
      </c>
      <c r="AZ257" s="598" t="e">
        <f>+VLOOKUP($AJ257,Data_Validation!$A:$E,5,0)</f>
        <v>#N/A</v>
      </c>
    </row>
    <row r="258" spans="1:52" ht="15" customHeight="1">
      <c r="A258" s="832" t="s">
        <v>1150</v>
      </c>
      <c r="B258" s="832">
        <v>2025</v>
      </c>
      <c r="C258" s="832" t="s">
        <v>1662</v>
      </c>
      <c r="D258" s="832" t="s">
        <v>1663</v>
      </c>
      <c r="E258" s="832" t="s">
        <v>333</v>
      </c>
      <c r="F258" s="832" t="s">
        <v>1119</v>
      </c>
      <c r="G258" s="832">
        <v>0</v>
      </c>
      <c r="H258" s="832">
        <v>0</v>
      </c>
      <c r="I258" s="832">
        <v>0</v>
      </c>
      <c r="J258" s="832">
        <v>0</v>
      </c>
      <c r="K258" s="832">
        <v>0</v>
      </c>
      <c r="L258" s="832">
        <v>0</v>
      </c>
      <c r="M258" s="832">
        <v>0</v>
      </c>
      <c r="N258" s="832">
        <v>0</v>
      </c>
      <c r="O258" s="832">
        <v>0</v>
      </c>
      <c r="P258" s="832">
        <v>0</v>
      </c>
      <c r="Q258" s="832">
        <v>0</v>
      </c>
      <c r="R258" s="832">
        <v>0</v>
      </c>
      <c r="S258" s="832">
        <v>0</v>
      </c>
      <c r="T258" s="832">
        <v>0</v>
      </c>
      <c r="U258" s="832">
        <v>0</v>
      </c>
      <c r="V258" s="832">
        <v>0</v>
      </c>
      <c r="W258" s="832">
        <v>0</v>
      </c>
      <c r="X258" s="832">
        <v>0</v>
      </c>
      <c r="Y258" s="832">
        <v>0</v>
      </c>
      <c r="Z258" s="832">
        <v>0</v>
      </c>
      <c r="AA258" s="832">
        <v>0</v>
      </c>
      <c r="AB258" s="832">
        <v>0</v>
      </c>
      <c r="AC258" s="832">
        <v>0</v>
      </c>
      <c r="AD258" s="832">
        <v>0</v>
      </c>
      <c r="AE258" s="832">
        <v>0</v>
      </c>
      <c r="AF258" s="832">
        <v>0</v>
      </c>
      <c r="AG258" s="832">
        <v>0</v>
      </c>
      <c r="AH258" s="832">
        <v>0</v>
      </c>
      <c r="AI258" s="832">
        <v>0</v>
      </c>
      <c r="AJ258" s="1030" t="str">
        <f t="shared" si="18"/>
        <v>H01876</v>
      </c>
      <c r="AK258" s="1030" t="str">
        <f t="shared" si="19"/>
        <v>L/R VERIF COMPTABLE</v>
      </c>
      <c r="AL258" s="1030">
        <f>IFERROR(INDEX(G258:R258,1,MATCH(Parametres!$B$3,G$1:R$1,0)-1)*IF(OR(F258="L",F258="S",F258="I"),-1,1),"")</f>
        <v>0</v>
      </c>
      <c r="AM258" s="1030">
        <f t="shared" si="20"/>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t="str">
        <f t="shared" si="21"/>
        <v>H01876</v>
      </c>
      <c r="AU258" s="599" t="str">
        <f t="shared" si="22"/>
        <v>L/R VERIF COMPTABLE</v>
      </c>
      <c r="AV258" s="1030">
        <f>IFERROR(INDEX(V258:AG258,1,MATCH(Parametres!$B$3,V$1:AG$1,0)-1)*IF(OR(C258="L",C258="S",C258="I"),-1,1),"")</f>
        <v>0</v>
      </c>
      <c r="AW258" s="1030">
        <f t="shared" si="23"/>
        <v>0</v>
      </c>
      <c r="AX258" s="1030">
        <f>INDEX(V258:AG258,1,MATCH(Parametres!$B$3,V$1:AG$1,0))*IF(OR(C258="L",C258="S",C258="I"),-1,1)</f>
        <v>0</v>
      </c>
      <c r="AY258" s="598" t="s">
        <v>337</v>
      </c>
      <c r="AZ258" s="598" t="e">
        <f>+VLOOKUP($AJ258,Data_Validation!$A:$E,5,0)</f>
        <v>#N/A</v>
      </c>
    </row>
    <row r="259" spans="1:52" ht="15" customHeight="1">
      <c r="A259" s="832" t="s">
        <v>1150</v>
      </c>
      <c r="B259" s="832">
        <v>2025</v>
      </c>
      <c r="C259" s="832" t="s">
        <v>1664</v>
      </c>
      <c r="D259" s="832" t="s">
        <v>1665</v>
      </c>
      <c r="E259" s="832" t="s">
        <v>333</v>
      </c>
      <c r="F259" s="832" t="s">
        <v>1119</v>
      </c>
      <c r="G259" s="832">
        <v>0</v>
      </c>
      <c r="H259" s="832">
        <v>0</v>
      </c>
      <c r="I259" s="832">
        <v>0</v>
      </c>
      <c r="J259" s="832">
        <v>0</v>
      </c>
      <c r="K259" s="832">
        <v>0</v>
      </c>
      <c r="L259" s="832">
        <v>0</v>
      </c>
      <c r="M259" s="832">
        <v>0</v>
      </c>
      <c r="N259" s="832">
        <v>0</v>
      </c>
      <c r="O259" s="832">
        <v>0</v>
      </c>
      <c r="P259" s="832">
        <v>0</v>
      </c>
      <c r="Q259" s="832">
        <v>0</v>
      </c>
      <c r="R259" s="832">
        <v>0</v>
      </c>
      <c r="S259" s="832">
        <v>0</v>
      </c>
      <c r="T259" s="832">
        <v>0</v>
      </c>
      <c r="U259" s="832">
        <v>0</v>
      </c>
      <c r="V259" s="832">
        <v>0</v>
      </c>
      <c r="W259" s="832">
        <v>0</v>
      </c>
      <c r="X259" s="832">
        <v>0</v>
      </c>
      <c r="Y259" s="832">
        <v>0</v>
      </c>
      <c r="Z259" s="832">
        <v>0</v>
      </c>
      <c r="AA259" s="832">
        <v>0</v>
      </c>
      <c r="AB259" s="832">
        <v>0</v>
      </c>
      <c r="AC259" s="832">
        <v>0</v>
      </c>
      <c r="AD259" s="832">
        <v>0</v>
      </c>
      <c r="AE259" s="832">
        <v>0</v>
      </c>
      <c r="AF259" s="832">
        <v>0</v>
      </c>
      <c r="AG259" s="832">
        <v>0</v>
      </c>
      <c r="AH259" s="832">
        <v>0</v>
      </c>
      <c r="AI259" s="832">
        <v>0</v>
      </c>
      <c r="AJ259" s="1030" t="str">
        <f t="shared" si="18"/>
        <v>H01877</v>
      </c>
      <c r="AK259" s="1030" t="str">
        <f t="shared" si="19"/>
        <v>L/R COTISATIONS SOUSCRIP.</v>
      </c>
      <c r="AL259" s="1030">
        <f>IFERROR(INDEX(G259:R259,1,MATCH(Parametres!$B$3,G$1:R$1,0)-1)*IF(OR(F259="L",F259="S",F259="I"),-1,1),"")</f>
        <v>0</v>
      </c>
      <c r="AM259" s="1030">
        <f t="shared" si="20"/>
        <v>0</v>
      </c>
      <c r="AN259" s="1030">
        <f>INDEX(G259:R259,1,MATCH(Parametres!$B$3,G$1:R$1,0))*IF(OR(F259="L",F259="S",F259="I"),-1,1)</f>
        <v>0</v>
      </c>
      <c r="AO259" s="598" t="str">
        <f>+VLOOKUP($AJ259,Data_Validation!$A:$D,1,0)</f>
        <v>H01877</v>
      </c>
      <c r="AP259" s="598" t="str">
        <f>+VLOOKUP($AJ259,Data_Validation!$A:$D,3,0)</f>
        <v>Autres</v>
      </c>
      <c r="AQ259" s="598" t="str">
        <f>+VLOOKUP($AJ259,Data_Validation!$A:$D,4,0)</f>
        <v>Divers</v>
      </c>
      <c r="AR259" s="598" t="s">
        <v>299</v>
      </c>
      <c r="AS259" s="598">
        <f>+VLOOKUP($AJ259,Data_Validation!$A:$E,5,0)</f>
        <v>0</v>
      </c>
      <c r="AT259" s="1036" t="str">
        <f t="shared" si="21"/>
        <v>H01877</v>
      </c>
      <c r="AU259" s="599" t="str">
        <f t="shared" si="22"/>
        <v>L/R COTISATIONS SOUSCRIP.</v>
      </c>
      <c r="AV259" s="1030">
        <f>IFERROR(INDEX(V259:AG259,1,MATCH(Parametres!$B$3,V$1:AG$1,0)-1)*IF(OR(C259="L",C259="S",C259="I"),-1,1),"")</f>
        <v>0</v>
      </c>
      <c r="AW259" s="1030">
        <f t="shared" si="23"/>
        <v>0</v>
      </c>
      <c r="AX259" s="1030">
        <f>INDEX(V259:AG259,1,MATCH(Parametres!$B$3,V$1:AG$1,0))*IF(OR(C259="L",C259="S",C259="I"),-1,1)</f>
        <v>0</v>
      </c>
      <c r="AY259" s="598" t="s">
        <v>337</v>
      </c>
      <c r="AZ259" s="598">
        <f>+VLOOKUP($AJ259,Data_Validation!$A:$E,5,0)</f>
        <v>0</v>
      </c>
    </row>
    <row r="260" spans="1:52" ht="15" customHeight="1">
      <c r="A260" s="832" t="s">
        <v>1150</v>
      </c>
      <c r="B260" s="832">
        <v>2025</v>
      </c>
      <c r="C260" s="832" t="s">
        <v>1666</v>
      </c>
      <c r="D260" s="832" t="s">
        <v>1667</v>
      </c>
      <c r="E260" s="832" t="s">
        <v>333</v>
      </c>
      <c r="F260" s="832" t="s">
        <v>1119</v>
      </c>
      <c r="G260" s="832">
        <v>0</v>
      </c>
      <c r="H260" s="832">
        <v>0</v>
      </c>
      <c r="I260" s="832">
        <v>0</v>
      </c>
      <c r="J260" s="832">
        <v>0</v>
      </c>
      <c r="K260" s="832">
        <v>0</v>
      </c>
      <c r="L260" s="832">
        <v>0</v>
      </c>
      <c r="M260" s="832">
        <v>0</v>
      </c>
      <c r="N260" s="832">
        <v>0</v>
      </c>
      <c r="O260" s="832">
        <v>0</v>
      </c>
      <c r="P260" s="832">
        <v>0</v>
      </c>
      <c r="Q260" s="832">
        <v>0</v>
      </c>
      <c r="R260" s="832">
        <v>0</v>
      </c>
      <c r="S260" s="832">
        <v>0</v>
      </c>
      <c r="T260" s="832">
        <v>0</v>
      </c>
      <c r="U260" s="832">
        <v>0</v>
      </c>
      <c r="V260" s="832">
        <v>0</v>
      </c>
      <c r="W260" s="832">
        <v>0</v>
      </c>
      <c r="X260" s="832">
        <v>0</v>
      </c>
      <c r="Y260" s="832">
        <v>0</v>
      </c>
      <c r="Z260" s="832">
        <v>0</v>
      </c>
      <c r="AA260" s="832">
        <v>0</v>
      </c>
      <c r="AB260" s="832">
        <v>0</v>
      </c>
      <c r="AC260" s="832">
        <v>0</v>
      </c>
      <c r="AD260" s="832">
        <v>0</v>
      </c>
      <c r="AE260" s="832">
        <v>0</v>
      </c>
      <c r="AF260" s="832">
        <v>0</v>
      </c>
      <c r="AG260" s="832">
        <v>0</v>
      </c>
      <c r="AH260" s="832">
        <v>0</v>
      </c>
      <c r="AI260" s="832">
        <v>0</v>
      </c>
      <c r="AJ260" s="1030" t="str">
        <f t="shared" ref="AJ260:AJ323" si="24">C260</f>
        <v>H01879</v>
      </c>
      <c r="AK260" s="1030" t="str">
        <f t="shared" ref="AK260:AK323" si="25">D260</f>
        <v>L/R DONATIONS</v>
      </c>
      <c r="AL260" s="1030">
        <f>IFERROR(INDEX(G260:R260,1,MATCH(Parametres!$B$3,G$1:R$1,0)-1)*IF(OR(F260="L",F260="S",F260="I"),-1,1),"")</f>
        <v>0</v>
      </c>
      <c r="AM260" s="1030">
        <f t="shared" ref="AM260:AM323" si="26">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t="str">
        <f t="shared" ref="AT260:AT323" si="27">C260</f>
        <v>H01879</v>
      </c>
      <c r="AU260" s="599" t="str">
        <f t="shared" ref="AU260:AU323" si="28">D260</f>
        <v>L/R DONATIONS</v>
      </c>
      <c r="AV260" s="1030">
        <f>IFERROR(INDEX(V260:AG260,1,MATCH(Parametres!$B$3,V$1:AG$1,0)-1)*IF(OR(C260="L",C260="S",C260="I"),-1,1),"")</f>
        <v>0</v>
      </c>
      <c r="AW260" s="1030">
        <f t="shared" ref="AW260:AW323" si="29">AX260-N(AV260)</f>
        <v>0</v>
      </c>
      <c r="AX260" s="1030">
        <f>INDEX(V260:AG260,1,MATCH(Parametres!$B$3,V$1:AG$1,0))*IF(OR(C260="L",C260="S",C260="I"),-1,1)</f>
        <v>0</v>
      </c>
      <c r="AY260" s="598" t="s">
        <v>337</v>
      </c>
      <c r="AZ260" s="598" t="e">
        <f>+VLOOKUP($AJ260,Data_Validation!$A:$E,5,0)</f>
        <v>#N/A</v>
      </c>
    </row>
    <row r="261" spans="1:52" ht="15" customHeight="1">
      <c r="A261" s="832" t="s">
        <v>1150</v>
      </c>
      <c r="B261" s="832">
        <v>2025</v>
      </c>
      <c r="C261" s="832" t="s">
        <v>1668</v>
      </c>
      <c r="D261" s="832" t="s">
        <v>1669</v>
      </c>
      <c r="E261" s="832" t="s">
        <v>333</v>
      </c>
      <c r="F261" s="832" t="s">
        <v>1119</v>
      </c>
      <c r="G261" s="832">
        <v>0</v>
      </c>
      <c r="H261" s="832">
        <v>0</v>
      </c>
      <c r="I261" s="832">
        <v>0</v>
      </c>
      <c r="J261" s="832">
        <v>0</v>
      </c>
      <c r="K261" s="832">
        <v>0</v>
      </c>
      <c r="L261" s="832">
        <v>0</v>
      </c>
      <c r="M261" s="832">
        <v>0</v>
      </c>
      <c r="N261" s="832">
        <v>0</v>
      </c>
      <c r="O261" s="832">
        <v>0</v>
      </c>
      <c r="P261" s="832">
        <v>0</v>
      </c>
      <c r="Q261" s="832">
        <v>0</v>
      </c>
      <c r="R261" s="832">
        <v>0</v>
      </c>
      <c r="S261" s="832">
        <v>0</v>
      </c>
      <c r="T261" s="832">
        <v>0</v>
      </c>
      <c r="U261" s="832">
        <v>0</v>
      </c>
      <c r="V261" s="832">
        <v>0</v>
      </c>
      <c r="W261" s="832">
        <v>0</v>
      </c>
      <c r="X261" s="832">
        <v>0</v>
      </c>
      <c r="Y261" s="832">
        <v>0</v>
      </c>
      <c r="Z261" s="832">
        <v>0</v>
      </c>
      <c r="AA261" s="832">
        <v>0</v>
      </c>
      <c r="AB261" s="832">
        <v>0</v>
      </c>
      <c r="AC261" s="832">
        <v>0</v>
      </c>
      <c r="AD261" s="832">
        <v>0</v>
      </c>
      <c r="AE261" s="832">
        <v>0</v>
      </c>
      <c r="AF261" s="832">
        <v>0</v>
      </c>
      <c r="AG261" s="832">
        <v>0</v>
      </c>
      <c r="AH261" s="832">
        <v>0</v>
      </c>
      <c r="AI261" s="832">
        <v>0</v>
      </c>
      <c r="AJ261" s="1030" t="str">
        <f t="shared" si="24"/>
        <v>H02801</v>
      </c>
      <c r="AK261" s="1030" t="str">
        <f t="shared" si="25"/>
        <v>DIS SALAIRES VENTES DIR</v>
      </c>
      <c r="AL261" s="1030">
        <f>IFERROR(INDEX(G261:R261,1,MATCH(Parametres!$B$3,G$1:R$1,0)-1)*IF(OR(F261="L",F261="S",F261="I"),-1,1),"")</f>
        <v>0</v>
      </c>
      <c r="AM261" s="1030">
        <f t="shared" si="26"/>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t="str">
        <f t="shared" si="27"/>
        <v>H02801</v>
      </c>
      <c r="AU261" s="599" t="str">
        <f t="shared" si="28"/>
        <v>DIS SALAIRES VENTES DIR</v>
      </c>
      <c r="AV261" s="1030">
        <f>IFERROR(INDEX(V261:AG261,1,MATCH(Parametres!$B$3,V$1:AG$1,0)-1)*IF(OR(C261="L",C261="S",C261="I"),-1,1),"")</f>
        <v>0</v>
      </c>
      <c r="AW261" s="1030">
        <f t="shared" si="29"/>
        <v>0</v>
      </c>
      <c r="AX261" s="1030">
        <f>INDEX(V261:AG261,1,MATCH(Parametres!$B$3,V$1:AG$1,0))*IF(OR(C261="L",C261="S",C261="I"),-1,1)</f>
        <v>0</v>
      </c>
      <c r="AY261" s="598" t="s">
        <v>337</v>
      </c>
      <c r="AZ261" s="598" t="e">
        <f>+VLOOKUP($AJ261,Data_Validation!$A:$E,5,0)</f>
        <v>#N/A</v>
      </c>
    </row>
    <row r="262" spans="1:52" ht="15.75" customHeight="1">
      <c r="A262" s="832" t="s">
        <v>1150</v>
      </c>
      <c r="B262" s="832">
        <v>2025</v>
      </c>
      <c r="C262" s="832" t="s">
        <v>1670</v>
      </c>
      <c r="D262" s="832" t="s">
        <v>1671</v>
      </c>
      <c r="E262" s="832" t="s">
        <v>333</v>
      </c>
      <c r="F262" s="832" t="s">
        <v>1119</v>
      </c>
      <c r="G262" s="832">
        <v>0</v>
      </c>
      <c r="H262" s="832">
        <v>0</v>
      </c>
      <c r="I262" s="832">
        <v>0</v>
      </c>
      <c r="J262" s="832">
        <v>0</v>
      </c>
      <c r="K262" s="832">
        <v>0</v>
      </c>
      <c r="L262" s="832">
        <v>0</v>
      </c>
      <c r="M262" s="832">
        <v>0</v>
      </c>
      <c r="N262" s="832">
        <v>0</v>
      </c>
      <c r="O262" s="832">
        <v>0</v>
      </c>
      <c r="P262" s="832">
        <v>0</v>
      </c>
      <c r="Q262" s="832">
        <v>0</v>
      </c>
      <c r="R262" s="832">
        <v>0</v>
      </c>
      <c r="S262" s="832">
        <v>0</v>
      </c>
      <c r="T262" s="832">
        <v>0</v>
      </c>
      <c r="U262" s="832">
        <v>0</v>
      </c>
      <c r="V262" s="832">
        <v>0</v>
      </c>
      <c r="W262" s="832">
        <v>0</v>
      </c>
      <c r="X262" s="832">
        <v>0</v>
      </c>
      <c r="Y262" s="832">
        <v>0</v>
      </c>
      <c r="Z262" s="832">
        <v>0</v>
      </c>
      <c r="AA262" s="832">
        <v>0</v>
      </c>
      <c r="AB262" s="832">
        <v>0</v>
      </c>
      <c r="AC262" s="832">
        <v>0</v>
      </c>
      <c r="AD262" s="832">
        <v>0</v>
      </c>
      <c r="AE262" s="832">
        <v>0</v>
      </c>
      <c r="AF262" s="832">
        <v>0</v>
      </c>
      <c r="AG262" s="832">
        <v>0</v>
      </c>
      <c r="AH262" s="832">
        <v>0</v>
      </c>
      <c r="AI262" s="832">
        <v>0</v>
      </c>
      <c r="AJ262" s="1030" t="str">
        <f t="shared" si="24"/>
        <v>H02820</v>
      </c>
      <c r="AK262" s="1030" t="str">
        <f t="shared" si="25"/>
        <v>DIS ADM SALAIRES DIR DEP</v>
      </c>
      <c r="AL262" s="1030">
        <f>IFERROR(INDEX(G262:R262,1,MATCH(Parametres!$B$3,G$1:R$1,0)-1)*IF(OR(F262="L",F262="S",F262="I"),-1,1),"")</f>
        <v>0</v>
      </c>
      <c r="AM262" s="1030">
        <f t="shared" si="26"/>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t="str">
        <f t="shared" si="27"/>
        <v>H02820</v>
      </c>
      <c r="AU262" s="599" t="str">
        <f t="shared" si="28"/>
        <v>DIS ADM SALAIRES DIR DEP</v>
      </c>
      <c r="AV262" s="1030">
        <f>IFERROR(INDEX(V262:AG262,1,MATCH(Parametres!$B$3,V$1:AG$1,0)-1)*IF(OR(C262="L",C262="S",C262="I"),-1,1),"")</f>
        <v>0</v>
      </c>
      <c r="AW262" s="1030">
        <f t="shared" si="29"/>
        <v>0</v>
      </c>
      <c r="AX262" s="1030">
        <f>INDEX(V262:AG262,1,MATCH(Parametres!$B$3,V$1:AG$1,0))*IF(OR(C262="L",C262="S",C262="I"),-1,1)</f>
        <v>0</v>
      </c>
      <c r="AY262" s="598" t="s">
        <v>337</v>
      </c>
      <c r="AZ262" s="598" t="e">
        <f>+VLOOKUP($AJ262,Data_Validation!$A:$E,5,0)</f>
        <v>#N/A</v>
      </c>
    </row>
    <row r="263" spans="1:52" ht="15" customHeight="1">
      <c r="A263" s="832" t="s">
        <v>1150</v>
      </c>
      <c r="B263" s="832">
        <v>2025</v>
      </c>
      <c r="C263" s="832" t="s">
        <v>1672</v>
      </c>
      <c r="D263" s="832" t="s">
        <v>1673</v>
      </c>
      <c r="E263" s="832" t="s">
        <v>333</v>
      </c>
      <c r="F263" s="832" t="s">
        <v>1119</v>
      </c>
      <c r="G263" s="832">
        <v>0</v>
      </c>
      <c r="H263" s="832">
        <v>0</v>
      </c>
      <c r="I263" s="832">
        <v>0</v>
      </c>
      <c r="J263" s="832">
        <v>0</v>
      </c>
      <c r="K263" s="832">
        <v>0</v>
      </c>
      <c r="L263" s="832">
        <v>0</v>
      </c>
      <c r="M263" s="832">
        <v>0</v>
      </c>
      <c r="N263" s="832">
        <v>0</v>
      </c>
      <c r="O263" s="832">
        <v>0</v>
      </c>
      <c r="P263" s="832">
        <v>0</v>
      </c>
      <c r="Q263" s="832">
        <v>0</v>
      </c>
      <c r="R263" s="832">
        <v>0</v>
      </c>
      <c r="S263" s="832">
        <v>0</v>
      </c>
      <c r="T263" s="832">
        <v>0</v>
      </c>
      <c r="U263" s="832">
        <v>0</v>
      </c>
      <c r="V263" s="832">
        <v>0</v>
      </c>
      <c r="W263" s="832">
        <v>0</v>
      </c>
      <c r="X263" s="832">
        <v>0</v>
      </c>
      <c r="Y263" s="832">
        <v>0</v>
      </c>
      <c r="Z263" s="832">
        <v>0</v>
      </c>
      <c r="AA263" s="832">
        <v>0</v>
      </c>
      <c r="AB263" s="832">
        <v>0</v>
      </c>
      <c r="AC263" s="832">
        <v>0</v>
      </c>
      <c r="AD263" s="832">
        <v>0</v>
      </c>
      <c r="AE263" s="832">
        <v>0</v>
      </c>
      <c r="AF263" s="832">
        <v>0</v>
      </c>
      <c r="AG263" s="832">
        <v>0</v>
      </c>
      <c r="AH263" s="832">
        <v>0</v>
      </c>
      <c r="AI263" s="832">
        <v>0</v>
      </c>
      <c r="AJ263" s="1030" t="str">
        <f t="shared" si="24"/>
        <v>H02821</v>
      </c>
      <c r="AK263" s="1030" t="str">
        <f t="shared" si="25"/>
        <v>DIS SALAIRES -AUTRES</v>
      </c>
      <c r="AL263" s="1030">
        <f>IFERROR(INDEX(G263:R263,1,MATCH(Parametres!$B$3,G$1:R$1,0)-1)*IF(OR(F263="L",F263="S",F263="I"),-1,1),"")</f>
        <v>0</v>
      </c>
      <c r="AM263" s="1030">
        <f t="shared" si="26"/>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t="str">
        <f t="shared" si="27"/>
        <v>H02821</v>
      </c>
      <c r="AU263" s="599" t="str">
        <f t="shared" si="28"/>
        <v>DIS SALAIRES -AUTRES</v>
      </c>
      <c r="AV263" s="1030">
        <f>IFERROR(INDEX(V263:AG263,1,MATCH(Parametres!$B$3,V$1:AG$1,0)-1)*IF(OR(C263="L",C263="S",C263="I"),-1,1),"")</f>
        <v>0</v>
      </c>
      <c r="AW263" s="1030">
        <f t="shared" si="29"/>
        <v>0</v>
      </c>
      <c r="AX263" s="1030">
        <f>INDEX(V263:AG263,1,MATCH(Parametres!$B$3,V$1:AG$1,0))*IF(OR(C263="L",C263="S",C263="I"),-1,1)</f>
        <v>0</v>
      </c>
      <c r="AY263" s="598" t="s">
        <v>337</v>
      </c>
      <c r="AZ263" s="598" t="e">
        <f>+VLOOKUP($AJ263,Data_Validation!$A:$E,5,0)</f>
        <v>#N/A</v>
      </c>
    </row>
    <row r="264" spans="1:52" ht="15" customHeight="1">
      <c r="A264" s="832" t="s">
        <v>1150</v>
      </c>
      <c r="B264" s="832">
        <v>2025</v>
      </c>
      <c r="C264" s="832" t="s">
        <v>1674</v>
      </c>
      <c r="D264" s="832" t="s">
        <v>1675</v>
      </c>
      <c r="E264" s="832" t="s">
        <v>333</v>
      </c>
      <c r="F264" s="832" t="s">
        <v>1119</v>
      </c>
      <c r="G264" s="832">
        <v>0</v>
      </c>
      <c r="H264" s="832">
        <v>0</v>
      </c>
      <c r="I264" s="832">
        <v>0</v>
      </c>
      <c r="J264" s="832">
        <v>0</v>
      </c>
      <c r="K264" s="832">
        <v>0</v>
      </c>
      <c r="L264" s="832">
        <v>0</v>
      </c>
      <c r="M264" s="832">
        <v>0</v>
      </c>
      <c r="N264" s="832">
        <v>0</v>
      </c>
      <c r="O264" s="832">
        <v>0</v>
      </c>
      <c r="P264" s="832">
        <v>0</v>
      </c>
      <c r="Q264" s="832">
        <v>0</v>
      </c>
      <c r="R264" s="832">
        <v>0</v>
      </c>
      <c r="S264" s="832">
        <v>0</v>
      </c>
      <c r="T264" s="832">
        <v>0</v>
      </c>
      <c r="U264" s="832">
        <v>0</v>
      </c>
      <c r="V264" s="832">
        <v>0</v>
      </c>
      <c r="W264" s="832">
        <v>0</v>
      </c>
      <c r="X264" s="832">
        <v>0</v>
      </c>
      <c r="Y264" s="832">
        <v>0</v>
      </c>
      <c r="Z264" s="832">
        <v>0</v>
      </c>
      <c r="AA264" s="832">
        <v>0</v>
      </c>
      <c r="AB264" s="832">
        <v>0</v>
      </c>
      <c r="AC264" s="832">
        <v>0</v>
      </c>
      <c r="AD264" s="832">
        <v>0</v>
      </c>
      <c r="AE264" s="832">
        <v>0</v>
      </c>
      <c r="AF264" s="832">
        <v>0</v>
      </c>
      <c r="AG264" s="832">
        <v>0</v>
      </c>
      <c r="AH264" s="832">
        <v>0</v>
      </c>
      <c r="AI264" s="832">
        <v>0</v>
      </c>
      <c r="AJ264" s="1030" t="str">
        <f t="shared" si="24"/>
        <v>H02822</v>
      </c>
      <c r="AK264" s="1030" t="str">
        <f t="shared" si="25"/>
        <v>DIS PROMOTION</v>
      </c>
      <c r="AL264" s="1030">
        <f>IFERROR(INDEX(G264:R264,1,MATCH(Parametres!$B$3,G$1:R$1,0)-1)*IF(OR(F264="L",F264="S",F264="I"),-1,1),"")</f>
        <v>0</v>
      </c>
      <c r="AM264" s="1030">
        <f t="shared" si="26"/>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t="str">
        <f t="shared" si="27"/>
        <v>H02822</v>
      </c>
      <c r="AU264" s="599" t="str">
        <f t="shared" si="28"/>
        <v>DIS PROMOTION</v>
      </c>
      <c r="AV264" s="1030">
        <f>IFERROR(INDEX(V264:AG264,1,MATCH(Parametres!$B$3,V$1:AG$1,0)-1)*IF(OR(C264="L",C264="S",C264="I"),-1,1),"")</f>
        <v>0</v>
      </c>
      <c r="AW264" s="1030">
        <f t="shared" si="29"/>
        <v>0</v>
      </c>
      <c r="AX264" s="1030">
        <f>INDEX(V264:AG264,1,MATCH(Parametres!$B$3,V$1:AG$1,0))*IF(OR(C264="L",C264="S",C264="I"),-1,1)</f>
        <v>0</v>
      </c>
      <c r="AY264" s="598" t="s">
        <v>337</v>
      </c>
      <c r="AZ264" s="598" t="e">
        <f>+VLOOKUP($AJ264,Data_Validation!$A:$E,5,0)</f>
        <v>#N/A</v>
      </c>
    </row>
    <row r="265" spans="1:52" ht="15" customHeight="1">
      <c r="A265" s="832" t="s">
        <v>1150</v>
      </c>
      <c r="B265" s="832">
        <v>2025</v>
      </c>
      <c r="C265" s="832" t="s">
        <v>1676</v>
      </c>
      <c r="D265" s="832" t="s">
        <v>1677</v>
      </c>
      <c r="E265" s="832" t="s">
        <v>333</v>
      </c>
      <c r="F265" s="832" t="s">
        <v>1119</v>
      </c>
      <c r="G265" s="832">
        <v>0</v>
      </c>
      <c r="H265" s="832">
        <v>0</v>
      </c>
      <c r="I265" s="832">
        <v>0</v>
      </c>
      <c r="J265" s="832">
        <v>0</v>
      </c>
      <c r="K265" s="832">
        <v>0</v>
      </c>
      <c r="L265" s="832">
        <v>0</v>
      </c>
      <c r="M265" s="832">
        <v>0</v>
      </c>
      <c r="N265" s="832">
        <v>0</v>
      </c>
      <c r="O265" s="832">
        <v>0</v>
      </c>
      <c r="P265" s="832">
        <v>0</v>
      </c>
      <c r="Q265" s="832">
        <v>0</v>
      </c>
      <c r="R265" s="832">
        <v>0</v>
      </c>
      <c r="S265" s="832">
        <v>0</v>
      </c>
      <c r="T265" s="832">
        <v>0</v>
      </c>
      <c r="U265" s="832">
        <v>0</v>
      </c>
      <c r="V265" s="832">
        <v>0</v>
      </c>
      <c r="W265" s="832">
        <v>0</v>
      </c>
      <c r="X265" s="832">
        <v>0</v>
      </c>
      <c r="Y265" s="832">
        <v>0</v>
      </c>
      <c r="Z265" s="832">
        <v>0</v>
      </c>
      <c r="AA265" s="832">
        <v>0</v>
      </c>
      <c r="AB265" s="832">
        <v>0</v>
      </c>
      <c r="AC265" s="832">
        <v>0</v>
      </c>
      <c r="AD265" s="832">
        <v>0</v>
      </c>
      <c r="AE265" s="832">
        <v>0</v>
      </c>
      <c r="AF265" s="832">
        <v>0</v>
      </c>
      <c r="AG265" s="832">
        <v>0</v>
      </c>
      <c r="AH265" s="832">
        <v>0</v>
      </c>
      <c r="AI265" s="832">
        <v>0</v>
      </c>
      <c r="AJ265" s="1030" t="str">
        <f t="shared" si="24"/>
        <v>H02823</v>
      </c>
      <c r="AK265" s="1030" t="str">
        <f t="shared" si="25"/>
        <v>DIS ABS. &amp; CONGES PAYES</v>
      </c>
      <c r="AL265" s="1030">
        <f>IFERROR(INDEX(G265:R265,1,MATCH(Parametres!$B$3,G$1:R$1,0)-1)*IF(OR(F265="L",F265="S",F265="I"),-1,1),"")</f>
        <v>0</v>
      </c>
      <c r="AM265" s="1030">
        <f t="shared" si="26"/>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t="str">
        <f t="shared" si="27"/>
        <v>H02823</v>
      </c>
      <c r="AU265" s="599" t="str">
        <f t="shared" si="28"/>
        <v>DIS ABS. &amp; CONGES PAYES</v>
      </c>
      <c r="AV265" s="1030">
        <f>IFERROR(INDEX(V265:AG265,1,MATCH(Parametres!$B$3,V$1:AG$1,0)-1)*IF(OR(C265="L",C265="S",C265="I"),-1,1),"")</f>
        <v>0</v>
      </c>
      <c r="AW265" s="1030">
        <f t="shared" si="29"/>
        <v>0</v>
      </c>
      <c r="AX265" s="1030">
        <f>INDEX(V265:AG265,1,MATCH(Parametres!$B$3,V$1:AG$1,0))*IF(OR(C265="L",C265="S",C265="I"),-1,1)</f>
        <v>0</v>
      </c>
      <c r="AY265" s="598" t="s">
        <v>337</v>
      </c>
      <c r="AZ265" s="598" t="e">
        <f>+VLOOKUP($AJ265,Data_Validation!$A:$E,5,0)</f>
        <v>#N/A</v>
      </c>
    </row>
    <row r="266" spans="1:52" ht="15" customHeight="1">
      <c r="A266" s="832" t="s">
        <v>1150</v>
      </c>
      <c r="B266" s="832">
        <v>2025</v>
      </c>
      <c r="C266" s="832" t="s">
        <v>1678</v>
      </c>
      <c r="D266" s="832" t="s">
        <v>1679</v>
      </c>
      <c r="E266" s="832" t="s">
        <v>333</v>
      </c>
      <c r="F266" s="832" t="s">
        <v>1119</v>
      </c>
      <c r="G266" s="832">
        <v>0</v>
      </c>
      <c r="H266" s="832">
        <v>0</v>
      </c>
      <c r="I266" s="832">
        <v>0</v>
      </c>
      <c r="J266" s="832">
        <v>0</v>
      </c>
      <c r="K266" s="832">
        <v>0</v>
      </c>
      <c r="L266" s="832">
        <v>0</v>
      </c>
      <c r="M266" s="832">
        <v>0</v>
      </c>
      <c r="N266" s="832">
        <v>0</v>
      </c>
      <c r="O266" s="832">
        <v>0</v>
      </c>
      <c r="P266" s="832">
        <v>0</v>
      </c>
      <c r="Q266" s="832">
        <v>0</v>
      </c>
      <c r="R266" s="832">
        <v>0</v>
      </c>
      <c r="S266" s="832">
        <v>0</v>
      </c>
      <c r="T266" s="832">
        <v>0</v>
      </c>
      <c r="U266" s="832">
        <v>0</v>
      </c>
      <c r="V266" s="832">
        <v>0</v>
      </c>
      <c r="W266" s="832">
        <v>0</v>
      </c>
      <c r="X266" s="832">
        <v>0</v>
      </c>
      <c r="Y266" s="832">
        <v>0</v>
      </c>
      <c r="Z266" s="832">
        <v>0</v>
      </c>
      <c r="AA266" s="832">
        <v>0</v>
      </c>
      <c r="AB266" s="832">
        <v>0</v>
      </c>
      <c r="AC266" s="832">
        <v>0</v>
      </c>
      <c r="AD266" s="832">
        <v>0</v>
      </c>
      <c r="AE266" s="832">
        <v>0</v>
      </c>
      <c r="AF266" s="832">
        <v>0</v>
      </c>
      <c r="AG266" s="832">
        <v>0</v>
      </c>
      <c r="AH266" s="832">
        <v>0</v>
      </c>
      <c r="AI266" s="832">
        <v>0</v>
      </c>
      <c r="AJ266" s="1030" t="str">
        <f t="shared" si="24"/>
        <v>H02824</v>
      </c>
      <c r="AK266" s="1030" t="str">
        <f t="shared" si="25"/>
        <v>DIS CSST</v>
      </c>
      <c r="AL266" s="1030">
        <f>IFERROR(INDEX(G266:R266,1,MATCH(Parametres!$B$3,G$1:R$1,0)-1)*IF(OR(F266="L",F266="S",F266="I"),-1,1),"")</f>
        <v>0</v>
      </c>
      <c r="AM266" s="1030">
        <f t="shared" si="26"/>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t="str">
        <f t="shared" si="27"/>
        <v>H02824</v>
      </c>
      <c r="AU266" s="599" t="str">
        <f t="shared" si="28"/>
        <v>DIS CSST</v>
      </c>
      <c r="AV266" s="1030">
        <f>IFERROR(INDEX(V266:AG266,1,MATCH(Parametres!$B$3,V$1:AG$1,0)-1)*IF(OR(C266="L",C266="S",C266="I"),-1,1),"")</f>
        <v>0</v>
      </c>
      <c r="AW266" s="1030">
        <f t="shared" si="29"/>
        <v>0</v>
      </c>
      <c r="AX266" s="1030">
        <f>INDEX(V266:AG266,1,MATCH(Parametres!$B$3,V$1:AG$1,0))*IF(OR(C266="L",C266="S",C266="I"),-1,1)</f>
        <v>0</v>
      </c>
      <c r="AY266" s="598" t="s">
        <v>337</v>
      </c>
      <c r="AZ266" s="598" t="e">
        <f>+VLOOKUP($AJ266,Data_Validation!$A:$E,5,0)</f>
        <v>#N/A</v>
      </c>
    </row>
    <row r="267" spans="1:52" ht="15" customHeight="1">
      <c r="A267" s="832" t="s">
        <v>1150</v>
      </c>
      <c r="B267" s="832">
        <v>2025</v>
      </c>
      <c r="C267" s="832" t="s">
        <v>1680</v>
      </c>
      <c r="D267" s="832" t="s">
        <v>1681</v>
      </c>
      <c r="E267" s="832" t="s">
        <v>333</v>
      </c>
      <c r="F267" s="832" t="s">
        <v>1119</v>
      </c>
      <c r="G267" s="832">
        <v>0</v>
      </c>
      <c r="H267" s="832">
        <v>0</v>
      </c>
      <c r="I267" s="832">
        <v>0</v>
      </c>
      <c r="J267" s="832">
        <v>0</v>
      </c>
      <c r="K267" s="832">
        <v>0</v>
      </c>
      <c r="L267" s="832">
        <v>0</v>
      </c>
      <c r="M267" s="832">
        <v>0</v>
      </c>
      <c r="N267" s="832">
        <v>0</v>
      </c>
      <c r="O267" s="832">
        <v>0</v>
      </c>
      <c r="P267" s="832">
        <v>0</v>
      </c>
      <c r="Q267" s="832">
        <v>0</v>
      </c>
      <c r="R267" s="832">
        <v>0</v>
      </c>
      <c r="S267" s="832">
        <v>0</v>
      </c>
      <c r="T267" s="832">
        <v>0</v>
      </c>
      <c r="U267" s="832">
        <v>0</v>
      </c>
      <c r="V267" s="832">
        <v>0</v>
      </c>
      <c r="W267" s="832">
        <v>0</v>
      </c>
      <c r="X267" s="832">
        <v>0</v>
      </c>
      <c r="Y267" s="832">
        <v>0</v>
      </c>
      <c r="Z267" s="832">
        <v>0</v>
      </c>
      <c r="AA267" s="832">
        <v>0</v>
      </c>
      <c r="AB267" s="832">
        <v>0</v>
      </c>
      <c r="AC267" s="832">
        <v>0</v>
      </c>
      <c r="AD267" s="832">
        <v>0</v>
      </c>
      <c r="AE267" s="832">
        <v>0</v>
      </c>
      <c r="AF267" s="832">
        <v>0</v>
      </c>
      <c r="AG267" s="832">
        <v>0</v>
      </c>
      <c r="AH267" s="832">
        <v>0</v>
      </c>
      <c r="AI267" s="832">
        <v>0</v>
      </c>
      <c r="AJ267" s="1030" t="str">
        <f t="shared" si="24"/>
        <v>H02825</v>
      </c>
      <c r="AK267" s="1030" t="str">
        <f t="shared" si="25"/>
        <v>DIS ASSURANCE CHOMAGE</v>
      </c>
      <c r="AL267" s="1030">
        <f>IFERROR(INDEX(G267:R267,1,MATCH(Parametres!$B$3,G$1:R$1,0)-1)*IF(OR(F267="L",F267="S",F267="I"),-1,1),"")</f>
        <v>0</v>
      </c>
      <c r="AM267" s="1030">
        <f t="shared" si="26"/>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t="str">
        <f t="shared" si="27"/>
        <v>H02825</v>
      </c>
      <c r="AU267" s="599" t="str">
        <f t="shared" si="28"/>
        <v>DIS ASSURANCE CHOMAGE</v>
      </c>
      <c r="AV267" s="1030">
        <f>IFERROR(INDEX(V267:AG267,1,MATCH(Parametres!$B$3,V$1:AG$1,0)-1)*IF(OR(C267="L",C267="S",C267="I"),-1,1),"")</f>
        <v>0</v>
      </c>
      <c r="AW267" s="1030">
        <f t="shared" si="29"/>
        <v>0</v>
      </c>
      <c r="AX267" s="1030">
        <f>INDEX(V267:AG267,1,MATCH(Parametres!$B$3,V$1:AG$1,0))*IF(OR(C267="L",C267="S",C267="I"),-1,1)</f>
        <v>0</v>
      </c>
      <c r="AY267" s="598" t="s">
        <v>337</v>
      </c>
      <c r="AZ267" s="598" t="e">
        <f>+VLOOKUP($AJ267,Data_Validation!$A:$E,5,0)</f>
        <v>#N/A</v>
      </c>
    </row>
    <row r="268" spans="1:52" ht="15" customHeight="1">
      <c r="A268" s="832" t="s">
        <v>1150</v>
      </c>
      <c r="B268" s="832">
        <v>2025</v>
      </c>
      <c r="C268" s="832" t="s">
        <v>1682</v>
      </c>
      <c r="D268" s="832" t="s">
        <v>1683</v>
      </c>
      <c r="E268" s="832" t="s">
        <v>333</v>
      </c>
      <c r="F268" s="832" t="s">
        <v>1119</v>
      </c>
      <c r="G268" s="832">
        <v>0</v>
      </c>
      <c r="H268" s="832">
        <v>0</v>
      </c>
      <c r="I268" s="832">
        <v>0</v>
      </c>
      <c r="J268" s="832">
        <v>0</v>
      </c>
      <c r="K268" s="832">
        <v>0</v>
      </c>
      <c r="L268" s="832">
        <v>0</v>
      </c>
      <c r="M268" s="832">
        <v>0</v>
      </c>
      <c r="N268" s="832">
        <v>0</v>
      </c>
      <c r="O268" s="832">
        <v>0</v>
      </c>
      <c r="P268" s="832">
        <v>0</v>
      </c>
      <c r="Q268" s="832">
        <v>0</v>
      </c>
      <c r="R268" s="832">
        <v>0</v>
      </c>
      <c r="S268" s="832">
        <v>0</v>
      </c>
      <c r="T268" s="832">
        <v>0</v>
      </c>
      <c r="U268" s="832">
        <v>0</v>
      </c>
      <c r="V268" s="832">
        <v>0</v>
      </c>
      <c r="W268" s="832">
        <v>0</v>
      </c>
      <c r="X268" s="832">
        <v>0</v>
      </c>
      <c r="Y268" s="832">
        <v>0</v>
      </c>
      <c r="Z268" s="832">
        <v>0</v>
      </c>
      <c r="AA268" s="832">
        <v>0</v>
      </c>
      <c r="AB268" s="832">
        <v>0</v>
      </c>
      <c r="AC268" s="832">
        <v>0</v>
      </c>
      <c r="AD268" s="832">
        <v>0</v>
      </c>
      <c r="AE268" s="832">
        <v>0</v>
      </c>
      <c r="AF268" s="832">
        <v>0</v>
      </c>
      <c r="AG268" s="832">
        <v>0</v>
      </c>
      <c r="AH268" s="832">
        <v>0</v>
      </c>
      <c r="AI268" s="832">
        <v>0</v>
      </c>
      <c r="AJ268" s="1030" t="str">
        <f t="shared" si="24"/>
        <v>H02826</v>
      </c>
      <c r="AK268" s="1030" t="str">
        <f t="shared" si="25"/>
        <v>DIS ASSURANCE GROUPE</v>
      </c>
      <c r="AL268" s="1030">
        <f>IFERROR(INDEX(G268:R268,1,MATCH(Parametres!$B$3,G$1:R$1,0)-1)*IF(OR(F268="L",F268="S",F268="I"),-1,1),"")</f>
        <v>0</v>
      </c>
      <c r="AM268" s="1030">
        <f t="shared" si="26"/>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t="str">
        <f t="shared" si="27"/>
        <v>H02826</v>
      </c>
      <c r="AU268" s="599" t="str">
        <f t="shared" si="28"/>
        <v>DIS ASSURANCE GROUPE</v>
      </c>
      <c r="AV268" s="1030">
        <f>IFERROR(INDEX(V268:AG268,1,MATCH(Parametres!$B$3,V$1:AG$1,0)-1)*IF(OR(C268="L",C268="S",C268="I"),-1,1),"")</f>
        <v>0</v>
      </c>
      <c r="AW268" s="1030">
        <f t="shared" si="29"/>
        <v>0</v>
      </c>
      <c r="AX268" s="1030">
        <f>INDEX(V268:AG268,1,MATCH(Parametres!$B$3,V$1:AG$1,0))*IF(OR(C268="L",C268="S",C268="I"),-1,1)</f>
        <v>0</v>
      </c>
      <c r="AY268" s="598" t="s">
        <v>337</v>
      </c>
      <c r="AZ268" s="598" t="e">
        <f>+VLOOKUP($AJ268,Data_Validation!$A:$E,5,0)</f>
        <v>#N/A</v>
      </c>
    </row>
    <row r="269" spans="1:52" ht="15" customHeight="1">
      <c r="A269" s="832" t="s">
        <v>1150</v>
      </c>
      <c r="B269" s="832">
        <v>2025</v>
      </c>
      <c r="C269" s="832" t="s">
        <v>1684</v>
      </c>
      <c r="D269" s="832" t="s">
        <v>1685</v>
      </c>
      <c r="E269" s="832" t="s">
        <v>333</v>
      </c>
      <c r="F269" s="832" t="s">
        <v>1119</v>
      </c>
      <c r="G269" s="832">
        <v>0</v>
      </c>
      <c r="H269" s="832">
        <v>0</v>
      </c>
      <c r="I269" s="832">
        <v>0</v>
      </c>
      <c r="J269" s="832">
        <v>0</v>
      </c>
      <c r="K269" s="832">
        <v>0</v>
      </c>
      <c r="L269" s="832">
        <v>0</v>
      </c>
      <c r="M269" s="832">
        <v>0</v>
      </c>
      <c r="N269" s="832">
        <v>0</v>
      </c>
      <c r="O269" s="832">
        <v>0</v>
      </c>
      <c r="P269" s="832">
        <v>0</v>
      </c>
      <c r="Q269" s="832">
        <v>0</v>
      </c>
      <c r="R269" s="832">
        <v>0</v>
      </c>
      <c r="S269" s="832">
        <v>0</v>
      </c>
      <c r="T269" s="832">
        <v>0</v>
      </c>
      <c r="U269" s="832">
        <v>0</v>
      </c>
      <c r="V269" s="832">
        <v>0</v>
      </c>
      <c r="W269" s="832">
        <v>0</v>
      </c>
      <c r="X269" s="832">
        <v>0</v>
      </c>
      <c r="Y269" s="832">
        <v>0</v>
      </c>
      <c r="Z269" s="832">
        <v>0</v>
      </c>
      <c r="AA269" s="832">
        <v>0</v>
      </c>
      <c r="AB269" s="832">
        <v>0</v>
      </c>
      <c r="AC269" s="832">
        <v>0</v>
      </c>
      <c r="AD269" s="832">
        <v>0</v>
      </c>
      <c r="AE269" s="832">
        <v>0</v>
      </c>
      <c r="AF269" s="832">
        <v>0</v>
      </c>
      <c r="AG269" s="832">
        <v>0</v>
      </c>
      <c r="AH269" s="832">
        <v>0</v>
      </c>
      <c r="AI269" s="832">
        <v>0</v>
      </c>
      <c r="AJ269" s="1030" t="str">
        <f t="shared" si="24"/>
        <v>H02827</v>
      </c>
      <c r="AK269" s="1030" t="str">
        <f t="shared" si="25"/>
        <v>DIS AUTRES AV. SOCIAUX</v>
      </c>
      <c r="AL269" s="1030">
        <f>IFERROR(INDEX(G269:R269,1,MATCH(Parametres!$B$3,G$1:R$1,0)-1)*IF(OR(F269="L",F269="S",F269="I"),-1,1),"")</f>
        <v>0</v>
      </c>
      <c r="AM269" s="1030">
        <f t="shared" si="26"/>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t="str">
        <f t="shared" si="27"/>
        <v>H02827</v>
      </c>
      <c r="AU269" s="599" t="str">
        <f t="shared" si="28"/>
        <v>DIS AUTRES AV. SOCIAUX</v>
      </c>
      <c r="AV269" s="1030">
        <f>IFERROR(INDEX(V269:AG269,1,MATCH(Parametres!$B$3,V$1:AG$1,0)-1)*IF(OR(C269="L",C269="S",C269="I"),-1,1),"")</f>
        <v>0</v>
      </c>
      <c r="AW269" s="1030">
        <f t="shared" si="29"/>
        <v>0</v>
      </c>
      <c r="AX269" s="1030">
        <f>INDEX(V269:AG269,1,MATCH(Parametres!$B$3,V$1:AG$1,0))*IF(OR(C269="L",C269="S",C269="I"),-1,1)</f>
        <v>0</v>
      </c>
      <c r="AY269" s="598" t="s">
        <v>337</v>
      </c>
      <c r="AZ269" s="598" t="e">
        <f>+VLOOKUP($AJ269,Data_Validation!$A:$E,5,0)</f>
        <v>#N/A</v>
      </c>
    </row>
    <row r="270" spans="1:52" ht="15" customHeight="1">
      <c r="A270" s="832" t="s">
        <v>1150</v>
      </c>
      <c r="B270" s="832">
        <v>2025</v>
      </c>
      <c r="C270" s="832" t="s">
        <v>1686</v>
      </c>
      <c r="D270" s="832" t="s">
        <v>1687</v>
      </c>
      <c r="E270" s="832" t="s">
        <v>333</v>
      </c>
      <c r="F270" s="832" t="s">
        <v>1119</v>
      </c>
      <c r="G270" s="832">
        <v>0</v>
      </c>
      <c r="H270" s="832">
        <v>0</v>
      </c>
      <c r="I270" s="832">
        <v>0</v>
      </c>
      <c r="J270" s="832">
        <v>0</v>
      </c>
      <c r="K270" s="832">
        <v>0</v>
      </c>
      <c r="L270" s="832">
        <v>0</v>
      </c>
      <c r="M270" s="832">
        <v>0</v>
      </c>
      <c r="N270" s="832">
        <v>0</v>
      </c>
      <c r="O270" s="832">
        <v>0</v>
      </c>
      <c r="P270" s="832">
        <v>0</v>
      </c>
      <c r="Q270" s="832">
        <v>0</v>
      </c>
      <c r="R270" s="832">
        <v>0</v>
      </c>
      <c r="S270" s="832">
        <v>0</v>
      </c>
      <c r="T270" s="832">
        <v>0</v>
      </c>
      <c r="U270" s="832">
        <v>0</v>
      </c>
      <c r="V270" s="832">
        <v>0</v>
      </c>
      <c r="W270" s="832">
        <v>0</v>
      </c>
      <c r="X270" s="832">
        <v>0</v>
      </c>
      <c r="Y270" s="832">
        <v>0</v>
      </c>
      <c r="Z270" s="832">
        <v>0</v>
      </c>
      <c r="AA270" s="832">
        <v>0</v>
      </c>
      <c r="AB270" s="832">
        <v>0</v>
      </c>
      <c r="AC270" s="832">
        <v>0</v>
      </c>
      <c r="AD270" s="832">
        <v>0</v>
      </c>
      <c r="AE270" s="832">
        <v>0</v>
      </c>
      <c r="AF270" s="832">
        <v>0</v>
      </c>
      <c r="AG270" s="832">
        <v>0</v>
      </c>
      <c r="AH270" s="832">
        <v>0</v>
      </c>
      <c r="AI270" s="832">
        <v>0</v>
      </c>
      <c r="AJ270" s="1030" t="str">
        <f t="shared" si="24"/>
        <v>H02828</v>
      </c>
      <c r="AK270" s="1030" t="str">
        <f t="shared" si="25"/>
        <v>DIS FORMATION</v>
      </c>
      <c r="AL270" s="1030">
        <f>IFERROR(INDEX(G270:R270,1,MATCH(Parametres!$B$3,G$1:R$1,0)-1)*IF(OR(F270="L",F270="S",F270="I"),-1,1),"")</f>
        <v>0</v>
      </c>
      <c r="AM270" s="1030">
        <f t="shared" si="26"/>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t="str">
        <f t="shared" si="27"/>
        <v>H02828</v>
      </c>
      <c r="AU270" s="599" t="str">
        <f t="shared" si="28"/>
        <v>DIS FORMATION</v>
      </c>
      <c r="AV270" s="1030">
        <f>IFERROR(INDEX(V270:AG270,1,MATCH(Parametres!$B$3,V$1:AG$1,0)-1)*IF(OR(C270="L",C270="S",C270="I"),-1,1),"")</f>
        <v>0</v>
      </c>
      <c r="AW270" s="1030">
        <f t="shared" si="29"/>
        <v>0</v>
      </c>
      <c r="AX270" s="1030">
        <f>INDEX(V270:AG270,1,MATCH(Parametres!$B$3,V$1:AG$1,0))*IF(OR(C270="L",C270="S",C270="I"),-1,1)</f>
        <v>0</v>
      </c>
      <c r="AY270" s="598" t="s">
        <v>337</v>
      </c>
      <c r="AZ270" s="598" t="e">
        <f>+VLOOKUP($AJ270,Data_Validation!$A:$E,5,0)</f>
        <v>#N/A</v>
      </c>
    </row>
    <row r="271" spans="1:52" ht="15" customHeight="1">
      <c r="A271" s="832" t="s">
        <v>1150</v>
      </c>
      <c r="B271" s="832">
        <v>2025</v>
      </c>
      <c r="C271" s="832" t="s">
        <v>1688</v>
      </c>
      <c r="D271" s="832" t="s">
        <v>1689</v>
      </c>
      <c r="E271" s="832" t="s">
        <v>333</v>
      </c>
      <c r="F271" s="832" t="s">
        <v>1119</v>
      </c>
      <c r="G271" s="832">
        <v>0</v>
      </c>
      <c r="H271" s="832">
        <v>0</v>
      </c>
      <c r="I271" s="832">
        <v>0</v>
      </c>
      <c r="J271" s="832">
        <v>0</v>
      </c>
      <c r="K271" s="832">
        <v>0</v>
      </c>
      <c r="L271" s="832">
        <v>0</v>
      </c>
      <c r="M271" s="832">
        <v>0</v>
      </c>
      <c r="N271" s="832">
        <v>0</v>
      </c>
      <c r="O271" s="832">
        <v>0</v>
      </c>
      <c r="P271" s="832">
        <v>0</v>
      </c>
      <c r="Q271" s="832">
        <v>0</v>
      </c>
      <c r="R271" s="832">
        <v>0</v>
      </c>
      <c r="S271" s="832">
        <v>0</v>
      </c>
      <c r="T271" s="832">
        <v>0</v>
      </c>
      <c r="U271" s="832">
        <v>0</v>
      </c>
      <c r="V271" s="832">
        <v>0</v>
      </c>
      <c r="W271" s="832">
        <v>0</v>
      </c>
      <c r="X271" s="832">
        <v>0</v>
      </c>
      <c r="Y271" s="832">
        <v>0</v>
      </c>
      <c r="Z271" s="832">
        <v>0</v>
      </c>
      <c r="AA271" s="832">
        <v>0</v>
      </c>
      <c r="AB271" s="832">
        <v>0</v>
      </c>
      <c r="AC271" s="832">
        <v>0</v>
      </c>
      <c r="AD271" s="832">
        <v>0</v>
      </c>
      <c r="AE271" s="832">
        <v>0</v>
      </c>
      <c r="AF271" s="832">
        <v>0</v>
      </c>
      <c r="AG271" s="832">
        <v>0</v>
      </c>
      <c r="AH271" s="832">
        <v>0</v>
      </c>
      <c r="AI271" s="832">
        <v>0</v>
      </c>
      <c r="AJ271" s="1030" t="str">
        <f t="shared" si="24"/>
        <v>H02830</v>
      </c>
      <c r="AK271" s="1030" t="str">
        <f t="shared" si="25"/>
        <v>DIS PAPETRIE-FOUR. BUREAU</v>
      </c>
      <c r="AL271" s="1030">
        <f>IFERROR(INDEX(G271:R271,1,MATCH(Parametres!$B$3,G$1:R$1,0)-1)*IF(OR(F271="L",F271="S",F271="I"),-1,1),"")</f>
        <v>0</v>
      </c>
      <c r="AM271" s="1030">
        <f t="shared" si="26"/>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t="str">
        <f t="shared" si="27"/>
        <v>H02830</v>
      </c>
      <c r="AU271" s="599" t="str">
        <f t="shared" si="28"/>
        <v>DIS PAPETRIE-FOUR. BUREAU</v>
      </c>
      <c r="AV271" s="1030">
        <f>IFERROR(INDEX(V271:AG271,1,MATCH(Parametres!$B$3,V$1:AG$1,0)-1)*IF(OR(C271="L",C271="S",C271="I"),-1,1),"")</f>
        <v>0</v>
      </c>
      <c r="AW271" s="1030">
        <f t="shared" si="29"/>
        <v>0</v>
      </c>
      <c r="AX271" s="1030">
        <f>INDEX(V271:AG271,1,MATCH(Parametres!$B$3,V$1:AG$1,0))*IF(OR(C271="L",C271="S",C271="I"),-1,1)</f>
        <v>0</v>
      </c>
      <c r="AY271" s="598" t="s">
        <v>337</v>
      </c>
      <c r="AZ271" s="598" t="e">
        <f>+VLOOKUP($AJ271,Data_Validation!$A:$E,5,0)</f>
        <v>#N/A</v>
      </c>
    </row>
    <row r="272" spans="1:52" ht="15.75" customHeight="1">
      <c r="A272" s="832" t="s">
        <v>1150</v>
      </c>
      <c r="B272" s="832">
        <v>2025</v>
      </c>
      <c r="C272" s="832" t="s">
        <v>1690</v>
      </c>
      <c r="D272" s="832" t="s">
        <v>1691</v>
      </c>
      <c r="E272" s="832" t="s">
        <v>333</v>
      </c>
      <c r="F272" s="832" t="s">
        <v>1119</v>
      </c>
      <c r="G272" s="832">
        <v>0</v>
      </c>
      <c r="H272" s="832">
        <v>0</v>
      </c>
      <c r="I272" s="832">
        <v>0</v>
      </c>
      <c r="J272" s="832">
        <v>0</v>
      </c>
      <c r="K272" s="832">
        <v>0</v>
      </c>
      <c r="L272" s="832">
        <v>0</v>
      </c>
      <c r="M272" s="832">
        <v>0</v>
      </c>
      <c r="N272" s="832">
        <v>0</v>
      </c>
      <c r="O272" s="832">
        <v>0</v>
      </c>
      <c r="P272" s="832">
        <v>0</v>
      </c>
      <c r="Q272" s="832">
        <v>0</v>
      </c>
      <c r="R272" s="832">
        <v>0</v>
      </c>
      <c r="S272" s="832">
        <v>0</v>
      </c>
      <c r="T272" s="832">
        <v>0</v>
      </c>
      <c r="U272" s="832">
        <v>0</v>
      </c>
      <c r="V272" s="832">
        <v>0</v>
      </c>
      <c r="W272" s="832">
        <v>0</v>
      </c>
      <c r="X272" s="832">
        <v>0</v>
      </c>
      <c r="Y272" s="832">
        <v>0</v>
      </c>
      <c r="Z272" s="832">
        <v>0</v>
      </c>
      <c r="AA272" s="832">
        <v>0</v>
      </c>
      <c r="AB272" s="832">
        <v>0</v>
      </c>
      <c r="AC272" s="832">
        <v>0</v>
      </c>
      <c r="AD272" s="832">
        <v>0</v>
      </c>
      <c r="AE272" s="832">
        <v>0</v>
      </c>
      <c r="AF272" s="832">
        <v>0</v>
      </c>
      <c r="AG272" s="832">
        <v>0</v>
      </c>
      <c r="AH272" s="832">
        <v>0</v>
      </c>
      <c r="AI272" s="832">
        <v>0</v>
      </c>
      <c r="AJ272" s="1030" t="str">
        <f t="shared" si="24"/>
        <v>H02831</v>
      </c>
      <c r="AK272" s="1030" t="str">
        <f t="shared" si="25"/>
        <v>DIS OUTILLAGE-FOUR.DIVERS</v>
      </c>
      <c r="AL272" s="1030">
        <f>IFERROR(INDEX(G272:R272,1,MATCH(Parametres!$B$3,G$1:R$1,0)-1)*IF(OR(F272="L",F272="S",F272="I"),-1,1),"")</f>
        <v>0</v>
      </c>
      <c r="AM272" s="1030">
        <f t="shared" si="26"/>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t="str">
        <f t="shared" si="27"/>
        <v>H02831</v>
      </c>
      <c r="AU272" s="599" t="str">
        <f t="shared" si="28"/>
        <v>DIS OUTILLAGE-FOUR.DIVERS</v>
      </c>
      <c r="AV272" s="1030">
        <f>IFERROR(INDEX(V272:AG272,1,MATCH(Parametres!$B$3,V$1:AG$1,0)-1)*IF(OR(C272="L",C272="S",C272="I"),-1,1),"")</f>
        <v>0</v>
      </c>
      <c r="AW272" s="1030">
        <f t="shared" si="29"/>
        <v>0</v>
      </c>
      <c r="AX272" s="1030">
        <f>INDEX(V272:AG272,1,MATCH(Parametres!$B$3,V$1:AG$1,0))*IF(OR(C272="L",C272="S",C272="I"),-1,1)</f>
        <v>0</v>
      </c>
      <c r="AY272" s="598" t="s">
        <v>337</v>
      </c>
      <c r="AZ272" s="598" t="e">
        <f>+VLOOKUP($AJ272,Data_Validation!$A:$E,5,0)</f>
        <v>#N/A</v>
      </c>
    </row>
    <row r="273" spans="1:52" ht="15" customHeight="1">
      <c r="A273" s="832" t="s">
        <v>1150</v>
      </c>
      <c r="B273" s="832">
        <v>2025</v>
      </c>
      <c r="C273" s="832" t="s">
        <v>1692</v>
      </c>
      <c r="D273" s="832" t="s">
        <v>1693</v>
      </c>
      <c r="E273" s="832" t="s">
        <v>333</v>
      </c>
      <c r="F273" s="832" t="s">
        <v>1119</v>
      </c>
      <c r="G273" s="832">
        <v>0</v>
      </c>
      <c r="H273" s="832">
        <v>0</v>
      </c>
      <c r="I273" s="832">
        <v>0</v>
      </c>
      <c r="J273" s="832">
        <v>0</v>
      </c>
      <c r="K273" s="832">
        <v>0</v>
      </c>
      <c r="L273" s="832">
        <v>0</v>
      </c>
      <c r="M273" s="832">
        <v>0</v>
      </c>
      <c r="N273" s="832">
        <v>0</v>
      </c>
      <c r="O273" s="832">
        <v>0</v>
      </c>
      <c r="P273" s="832">
        <v>0</v>
      </c>
      <c r="Q273" s="832">
        <v>0</v>
      </c>
      <c r="R273" s="832">
        <v>0</v>
      </c>
      <c r="S273" s="832">
        <v>0</v>
      </c>
      <c r="T273" s="832">
        <v>0</v>
      </c>
      <c r="U273" s="832">
        <v>0</v>
      </c>
      <c r="V273" s="832">
        <v>0</v>
      </c>
      <c r="W273" s="832">
        <v>0</v>
      </c>
      <c r="X273" s="832">
        <v>0</v>
      </c>
      <c r="Y273" s="832">
        <v>0</v>
      </c>
      <c r="Z273" s="832">
        <v>0</v>
      </c>
      <c r="AA273" s="832">
        <v>0</v>
      </c>
      <c r="AB273" s="832">
        <v>0</v>
      </c>
      <c r="AC273" s="832">
        <v>0</v>
      </c>
      <c r="AD273" s="832">
        <v>0</v>
      </c>
      <c r="AE273" s="832">
        <v>0</v>
      </c>
      <c r="AF273" s="832">
        <v>0</v>
      </c>
      <c r="AG273" s="832">
        <v>0</v>
      </c>
      <c r="AH273" s="832">
        <v>0</v>
      </c>
      <c r="AI273" s="832">
        <v>0</v>
      </c>
      <c r="AJ273" s="1030" t="str">
        <f t="shared" si="24"/>
        <v>H02834</v>
      </c>
      <c r="AK273" s="1030" t="str">
        <f t="shared" si="25"/>
        <v>DIS UNIFORMES-SALOPETTES</v>
      </c>
      <c r="AL273" s="1030">
        <f>IFERROR(INDEX(G273:R273,1,MATCH(Parametres!$B$3,G$1:R$1,0)-1)*IF(OR(F273="L",F273="S",F273="I"),-1,1),"")</f>
        <v>0</v>
      </c>
      <c r="AM273" s="1030">
        <f t="shared" si="26"/>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t="str">
        <f t="shared" si="27"/>
        <v>H02834</v>
      </c>
      <c r="AU273" s="599" t="str">
        <f t="shared" si="28"/>
        <v>DIS UNIFORMES-SALOPETTES</v>
      </c>
      <c r="AV273" s="1030">
        <f>IFERROR(INDEX(V273:AG273,1,MATCH(Parametres!$B$3,V$1:AG$1,0)-1)*IF(OR(C273="L",C273="S",C273="I"),-1,1),"")</f>
        <v>0</v>
      </c>
      <c r="AW273" s="1030">
        <f t="shared" si="29"/>
        <v>0</v>
      </c>
      <c r="AX273" s="1030">
        <f>INDEX(V273:AG273,1,MATCH(Parametres!$B$3,V$1:AG$1,0))*IF(OR(C273="L",C273="S",C273="I"),-1,1)</f>
        <v>0</v>
      </c>
      <c r="AY273" s="598" t="s">
        <v>337</v>
      </c>
      <c r="AZ273" s="598" t="e">
        <f>+VLOOKUP($AJ273,Data_Validation!$A:$E,5,0)</f>
        <v>#N/A</v>
      </c>
    </row>
    <row r="274" spans="1:52" ht="15" customHeight="1">
      <c r="A274" s="832" t="s">
        <v>1150</v>
      </c>
      <c r="B274" s="832">
        <v>2025</v>
      </c>
      <c r="C274" s="832" t="s">
        <v>1694</v>
      </c>
      <c r="D274" s="832" t="s">
        <v>1695</v>
      </c>
      <c r="E274" s="832" t="s">
        <v>333</v>
      </c>
      <c r="F274" s="832" t="s">
        <v>1119</v>
      </c>
      <c r="G274" s="832">
        <v>0</v>
      </c>
      <c r="H274" s="832">
        <v>0</v>
      </c>
      <c r="I274" s="832">
        <v>0</v>
      </c>
      <c r="J274" s="832">
        <v>0</v>
      </c>
      <c r="K274" s="832">
        <v>0</v>
      </c>
      <c r="L274" s="832">
        <v>0</v>
      </c>
      <c r="M274" s="832">
        <v>0</v>
      </c>
      <c r="N274" s="832">
        <v>0</v>
      </c>
      <c r="O274" s="832">
        <v>0</v>
      </c>
      <c r="P274" s="832">
        <v>0</v>
      </c>
      <c r="Q274" s="832">
        <v>0</v>
      </c>
      <c r="R274" s="832">
        <v>0</v>
      </c>
      <c r="S274" s="832">
        <v>0</v>
      </c>
      <c r="T274" s="832">
        <v>0</v>
      </c>
      <c r="U274" s="832">
        <v>0</v>
      </c>
      <c r="V274" s="832">
        <v>0</v>
      </c>
      <c r="W274" s="832">
        <v>0</v>
      </c>
      <c r="X274" s="832">
        <v>0</v>
      </c>
      <c r="Y274" s="832">
        <v>0</v>
      </c>
      <c r="Z274" s="832">
        <v>0</v>
      </c>
      <c r="AA274" s="832">
        <v>0</v>
      </c>
      <c r="AB274" s="832">
        <v>0</v>
      </c>
      <c r="AC274" s="832">
        <v>0</v>
      </c>
      <c r="AD274" s="832">
        <v>0</v>
      </c>
      <c r="AE274" s="832">
        <v>0</v>
      </c>
      <c r="AF274" s="832">
        <v>0</v>
      </c>
      <c r="AG274" s="832">
        <v>0</v>
      </c>
      <c r="AH274" s="832">
        <v>0</v>
      </c>
      <c r="AI274" s="832">
        <v>0</v>
      </c>
      <c r="AJ274" s="1030" t="str">
        <f t="shared" si="24"/>
        <v>H02835</v>
      </c>
      <c r="AK274" s="1030" t="str">
        <f t="shared" si="25"/>
        <v>DIS CONCIERGE-NETTOYAGE</v>
      </c>
      <c r="AL274" s="1030">
        <f>IFERROR(INDEX(G274:R274,1,MATCH(Parametres!$B$3,G$1:R$1,0)-1)*IF(OR(F274="L",F274="S",F274="I"),-1,1),"")</f>
        <v>0</v>
      </c>
      <c r="AM274" s="1030">
        <f t="shared" si="26"/>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t="str">
        <f t="shared" si="27"/>
        <v>H02835</v>
      </c>
      <c r="AU274" s="599" t="str">
        <f t="shared" si="28"/>
        <v>DIS CONCIERGE-NETTOYAGE</v>
      </c>
      <c r="AV274" s="1030">
        <f>IFERROR(INDEX(V274:AG274,1,MATCH(Parametres!$B$3,V$1:AG$1,0)-1)*IF(OR(C274="L",C274="S",C274="I"),-1,1),"")</f>
        <v>0</v>
      </c>
      <c r="AW274" s="1030">
        <f t="shared" si="29"/>
        <v>0</v>
      </c>
      <c r="AX274" s="1030">
        <f>INDEX(V274:AG274,1,MATCH(Parametres!$B$3,V$1:AG$1,0))*IF(OR(C274="L",C274="S",C274="I"),-1,1)</f>
        <v>0</v>
      </c>
      <c r="AY274" s="598" t="s">
        <v>337</v>
      </c>
      <c r="AZ274" s="598" t="e">
        <f>+VLOOKUP($AJ274,Data_Validation!$A:$E,5,0)</f>
        <v>#N/A</v>
      </c>
    </row>
    <row r="275" spans="1:52" ht="15" customHeight="1">
      <c r="A275" s="832" t="s">
        <v>1150</v>
      </c>
      <c r="B275" s="832">
        <v>2025</v>
      </c>
      <c r="C275" s="832" t="s">
        <v>1696</v>
      </c>
      <c r="D275" s="832" t="s">
        <v>1697</v>
      </c>
      <c r="E275" s="832" t="s">
        <v>333</v>
      </c>
      <c r="F275" s="832" t="s">
        <v>1119</v>
      </c>
      <c r="G275" s="832">
        <v>0</v>
      </c>
      <c r="H275" s="832">
        <v>0</v>
      </c>
      <c r="I275" s="832">
        <v>0</v>
      </c>
      <c r="J275" s="832">
        <v>0</v>
      </c>
      <c r="K275" s="832">
        <v>0</v>
      </c>
      <c r="L275" s="832">
        <v>0</v>
      </c>
      <c r="M275" s="832">
        <v>0</v>
      </c>
      <c r="N275" s="832">
        <v>0</v>
      </c>
      <c r="O275" s="832">
        <v>0</v>
      </c>
      <c r="P275" s="832">
        <v>0</v>
      </c>
      <c r="Q275" s="832">
        <v>0</v>
      </c>
      <c r="R275" s="832">
        <v>0</v>
      </c>
      <c r="S275" s="832">
        <v>0</v>
      </c>
      <c r="T275" s="832">
        <v>0</v>
      </c>
      <c r="U275" s="832">
        <v>0</v>
      </c>
      <c r="V275" s="832">
        <v>0</v>
      </c>
      <c r="W275" s="832">
        <v>0</v>
      </c>
      <c r="X275" s="832">
        <v>0</v>
      </c>
      <c r="Y275" s="832">
        <v>0</v>
      </c>
      <c r="Z275" s="832">
        <v>0</v>
      </c>
      <c r="AA275" s="832">
        <v>0</v>
      </c>
      <c r="AB275" s="832">
        <v>0</v>
      </c>
      <c r="AC275" s="832">
        <v>0</v>
      </c>
      <c r="AD275" s="832">
        <v>0</v>
      </c>
      <c r="AE275" s="832">
        <v>0</v>
      </c>
      <c r="AF275" s="832">
        <v>0</v>
      </c>
      <c r="AG275" s="832">
        <v>0</v>
      </c>
      <c r="AH275" s="832">
        <v>0</v>
      </c>
      <c r="AI275" s="832">
        <v>0</v>
      </c>
      <c r="AJ275" s="1030" t="str">
        <f t="shared" si="24"/>
        <v>H02837</v>
      </c>
      <c r="AK275" s="1030" t="str">
        <f t="shared" si="25"/>
        <v>DIS PRATIQUES COURTOISIE</v>
      </c>
      <c r="AL275" s="1030">
        <f>IFERROR(INDEX(G275:R275,1,MATCH(Parametres!$B$3,G$1:R$1,0)-1)*IF(OR(F275="L",F275="S",F275="I"),-1,1),"")</f>
        <v>0</v>
      </c>
      <c r="AM275" s="1030">
        <f t="shared" si="26"/>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t="str">
        <f t="shared" si="27"/>
        <v>H02837</v>
      </c>
      <c r="AU275" s="599" t="str">
        <f t="shared" si="28"/>
        <v>DIS PRATIQUES COURTOISIE</v>
      </c>
      <c r="AV275" s="1030">
        <f>IFERROR(INDEX(V275:AG275,1,MATCH(Parametres!$B$3,V$1:AG$1,0)-1)*IF(OR(C275="L",C275="S",C275="I"),-1,1),"")</f>
        <v>0</v>
      </c>
      <c r="AW275" s="1030">
        <f t="shared" si="29"/>
        <v>0</v>
      </c>
      <c r="AX275" s="1030">
        <f>INDEX(V275:AG275,1,MATCH(Parametres!$B$3,V$1:AG$1,0))*IF(OR(C275="L",C275="S",C275="I"),-1,1)</f>
        <v>0</v>
      </c>
      <c r="AY275" s="598" t="s">
        <v>337</v>
      </c>
      <c r="AZ275" s="598" t="e">
        <f>+VLOOKUP($AJ275,Data_Validation!$A:$E,5,0)</f>
        <v>#N/A</v>
      </c>
    </row>
    <row r="276" spans="1:52" ht="15" customHeight="1">
      <c r="A276" s="832" t="s">
        <v>1150</v>
      </c>
      <c r="B276" s="832">
        <v>2025</v>
      </c>
      <c r="C276" s="832" t="s">
        <v>1698</v>
      </c>
      <c r="D276" s="832" t="s">
        <v>1699</v>
      </c>
      <c r="E276" s="832" t="s">
        <v>333</v>
      </c>
      <c r="F276" s="832" t="s">
        <v>1119</v>
      </c>
      <c r="G276" s="832">
        <v>0</v>
      </c>
      <c r="H276" s="832">
        <v>0</v>
      </c>
      <c r="I276" s="832">
        <v>0</v>
      </c>
      <c r="J276" s="832">
        <v>0</v>
      </c>
      <c r="K276" s="832">
        <v>0</v>
      </c>
      <c r="L276" s="832">
        <v>0</v>
      </c>
      <c r="M276" s="832">
        <v>0</v>
      </c>
      <c r="N276" s="832">
        <v>0</v>
      </c>
      <c r="O276" s="832">
        <v>0</v>
      </c>
      <c r="P276" s="832">
        <v>0</v>
      </c>
      <c r="Q276" s="832">
        <v>0</v>
      </c>
      <c r="R276" s="832">
        <v>0</v>
      </c>
      <c r="S276" s="832">
        <v>0</v>
      </c>
      <c r="T276" s="832">
        <v>0</v>
      </c>
      <c r="U276" s="832">
        <v>0</v>
      </c>
      <c r="V276" s="832">
        <v>0</v>
      </c>
      <c r="W276" s="832">
        <v>0</v>
      </c>
      <c r="X276" s="832">
        <v>0</v>
      </c>
      <c r="Y276" s="832">
        <v>0</v>
      </c>
      <c r="Z276" s="832">
        <v>0</v>
      </c>
      <c r="AA276" s="832">
        <v>0</v>
      </c>
      <c r="AB276" s="832">
        <v>0</v>
      </c>
      <c r="AC276" s="832">
        <v>0</v>
      </c>
      <c r="AD276" s="832">
        <v>0</v>
      </c>
      <c r="AE276" s="832">
        <v>0</v>
      </c>
      <c r="AF276" s="832">
        <v>0</v>
      </c>
      <c r="AG276" s="832">
        <v>0</v>
      </c>
      <c r="AH276" s="832">
        <v>0</v>
      </c>
      <c r="AI276" s="832">
        <v>0</v>
      </c>
      <c r="AJ276" s="1030" t="str">
        <f t="shared" si="24"/>
        <v>H02838</v>
      </c>
      <c r="AK276" s="1030" t="str">
        <f t="shared" si="25"/>
        <v>DIS PUBLICITE &amp; PROMO</v>
      </c>
      <c r="AL276" s="1030">
        <f>IFERROR(INDEX(G276:R276,1,MATCH(Parametres!$B$3,G$1:R$1,0)-1)*IF(OR(F276="L",F276="S",F276="I"),-1,1),"")</f>
        <v>0</v>
      </c>
      <c r="AM276" s="1030">
        <f t="shared" si="26"/>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t="str">
        <f t="shared" si="27"/>
        <v>H02838</v>
      </c>
      <c r="AU276" s="599" t="str">
        <f t="shared" si="28"/>
        <v>DIS PUBLICITE &amp; PROMO</v>
      </c>
      <c r="AV276" s="1030">
        <f>IFERROR(INDEX(V276:AG276,1,MATCH(Parametres!$B$3,V$1:AG$1,0)-1)*IF(OR(C276="L",C276="S",C276="I"),-1,1),"")</f>
        <v>0</v>
      </c>
      <c r="AW276" s="1030">
        <f t="shared" si="29"/>
        <v>0</v>
      </c>
      <c r="AX276" s="1030">
        <f>INDEX(V276:AG276,1,MATCH(Parametres!$B$3,V$1:AG$1,0))*IF(OR(C276="L",C276="S",C276="I"),-1,1)</f>
        <v>0</v>
      </c>
      <c r="AY276" s="598" t="s">
        <v>337</v>
      </c>
      <c r="AZ276" s="598" t="e">
        <f>+VLOOKUP($AJ276,Data_Validation!$A:$E,5,0)</f>
        <v>#N/A</v>
      </c>
    </row>
    <row r="277" spans="1:52" ht="15" customHeight="1">
      <c r="A277" s="832" t="s">
        <v>1150</v>
      </c>
      <c r="B277" s="832">
        <v>2025</v>
      </c>
      <c r="C277" s="832" t="s">
        <v>1700</v>
      </c>
      <c r="D277" s="832" t="s">
        <v>1701</v>
      </c>
      <c r="E277" s="832" t="s">
        <v>333</v>
      </c>
      <c r="F277" s="832" t="s">
        <v>1119</v>
      </c>
      <c r="G277" s="832">
        <v>0</v>
      </c>
      <c r="H277" s="832">
        <v>0</v>
      </c>
      <c r="I277" s="832">
        <v>0</v>
      </c>
      <c r="J277" s="832">
        <v>0</v>
      </c>
      <c r="K277" s="832">
        <v>0</v>
      </c>
      <c r="L277" s="832">
        <v>0</v>
      </c>
      <c r="M277" s="832">
        <v>0</v>
      </c>
      <c r="N277" s="832">
        <v>0</v>
      </c>
      <c r="O277" s="832">
        <v>0</v>
      </c>
      <c r="P277" s="832">
        <v>0</v>
      </c>
      <c r="Q277" s="832">
        <v>0</v>
      </c>
      <c r="R277" s="832">
        <v>0</v>
      </c>
      <c r="S277" s="832">
        <v>0</v>
      </c>
      <c r="T277" s="832">
        <v>0</v>
      </c>
      <c r="U277" s="832">
        <v>0</v>
      </c>
      <c r="V277" s="832">
        <v>0</v>
      </c>
      <c r="W277" s="832">
        <v>0</v>
      </c>
      <c r="X277" s="832">
        <v>0</v>
      </c>
      <c r="Y277" s="832">
        <v>0</v>
      </c>
      <c r="Z277" s="832">
        <v>0</v>
      </c>
      <c r="AA277" s="832">
        <v>0</v>
      </c>
      <c r="AB277" s="832">
        <v>0</v>
      </c>
      <c r="AC277" s="832">
        <v>0</v>
      </c>
      <c r="AD277" s="832">
        <v>0</v>
      </c>
      <c r="AE277" s="832">
        <v>0</v>
      </c>
      <c r="AF277" s="832">
        <v>0</v>
      </c>
      <c r="AG277" s="832">
        <v>0</v>
      </c>
      <c r="AH277" s="832">
        <v>0</v>
      </c>
      <c r="AI277" s="832">
        <v>0</v>
      </c>
      <c r="AJ277" s="1030" t="str">
        <f t="shared" si="24"/>
        <v>H02840</v>
      </c>
      <c r="AK277" s="1030" t="str">
        <f t="shared" si="25"/>
        <v>DIS ENT EQUIPMENT</v>
      </c>
      <c r="AL277" s="1030">
        <f>IFERROR(INDEX(G277:R277,1,MATCH(Parametres!$B$3,G$1:R$1,0)-1)*IF(OR(F277="L",F277="S",F277="I"),-1,1),"")</f>
        <v>0</v>
      </c>
      <c r="AM277" s="1030">
        <f t="shared" si="26"/>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t="str">
        <f t="shared" si="27"/>
        <v>H02840</v>
      </c>
      <c r="AU277" s="599" t="str">
        <f t="shared" si="28"/>
        <v>DIS ENT EQUIPMENT</v>
      </c>
      <c r="AV277" s="1030">
        <f>IFERROR(INDEX(V277:AG277,1,MATCH(Parametres!$B$3,V$1:AG$1,0)-1)*IF(OR(C277="L",C277="S",C277="I"),-1,1),"")</f>
        <v>0</v>
      </c>
      <c r="AW277" s="1030">
        <f t="shared" si="29"/>
        <v>0</v>
      </c>
      <c r="AX277" s="1030">
        <f>INDEX(V277:AG277,1,MATCH(Parametres!$B$3,V$1:AG$1,0))*IF(OR(C277="L",C277="S",C277="I"),-1,1)</f>
        <v>0</v>
      </c>
      <c r="AY277" s="598" t="s">
        <v>337</v>
      </c>
      <c r="AZ277" s="598" t="e">
        <f>+VLOOKUP($AJ277,Data_Validation!$A:$E,5,0)</f>
        <v>#N/A</v>
      </c>
    </row>
    <row r="278" spans="1:52" ht="15" customHeight="1">
      <c r="A278" s="832" t="s">
        <v>1150</v>
      </c>
      <c r="B278" s="832">
        <v>2025</v>
      </c>
      <c r="C278" s="832" t="s">
        <v>1702</v>
      </c>
      <c r="D278" s="832" t="s">
        <v>1703</v>
      </c>
      <c r="E278" s="832" t="s">
        <v>333</v>
      </c>
      <c r="F278" s="832" t="s">
        <v>1119</v>
      </c>
      <c r="G278" s="832">
        <v>0</v>
      </c>
      <c r="H278" s="832">
        <v>0</v>
      </c>
      <c r="I278" s="832">
        <v>0</v>
      </c>
      <c r="J278" s="832">
        <v>0</v>
      </c>
      <c r="K278" s="832">
        <v>0</v>
      </c>
      <c r="L278" s="832">
        <v>0</v>
      </c>
      <c r="M278" s="832">
        <v>0</v>
      </c>
      <c r="N278" s="832">
        <v>0</v>
      </c>
      <c r="O278" s="832">
        <v>0</v>
      </c>
      <c r="P278" s="832">
        <v>0</v>
      </c>
      <c r="Q278" s="832">
        <v>0</v>
      </c>
      <c r="R278" s="832">
        <v>0</v>
      </c>
      <c r="S278" s="832">
        <v>0</v>
      </c>
      <c r="T278" s="832">
        <v>0</v>
      </c>
      <c r="U278" s="832">
        <v>0</v>
      </c>
      <c r="V278" s="832">
        <v>0</v>
      </c>
      <c r="W278" s="832">
        <v>0</v>
      </c>
      <c r="X278" s="832">
        <v>0</v>
      </c>
      <c r="Y278" s="832">
        <v>0</v>
      </c>
      <c r="Z278" s="832">
        <v>0</v>
      </c>
      <c r="AA278" s="832">
        <v>0</v>
      </c>
      <c r="AB278" s="832">
        <v>0</v>
      </c>
      <c r="AC278" s="832">
        <v>0</v>
      </c>
      <c r="AD278" s="832">
        <v>0</v>
      </c>
      <c r="AE278" s="832">
        <v>0</v>
      </c>
      <c r="AF278" s="832">
        <v>0</v>
      </c>
      <c r="AG278" s="832">
        <v>0</v>
      </c>
      <c r="AH278" s="832">
        <v>0</v>
      </c>
      <c r="AI278" s="832">
        <v>0</v>
      </c>
      <c r="AJ278" s="1030" t="str">
        <f t="shared" si="24"/>
        <v>H02841</v>
      </c>
      <c r="AK278" s="1030" t="str">
        <f t="shared" si="25"/>
        <v>DIS VEH DE SERVITUDES</v>
      </c>
      <c r="AL278" s="1030">
        <f>IFERROR(INDEX(G278:R278,1,MATCH(Parametres!$B$3,G$1:R$1,0)-1)*IF(OR(F278="L",F278="S",F278="I"),-1,1),"")</f>
        <v>0</v>
      </c>
      <c r="AM278" s="1030">
        <f t="shared" si="26"/>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t="str">
        <f t="shared" si="27"/>
        <v>H02841</v>
      </c>
      <c r="AU278" s="599" t="str">
        <f t="shared" si="28"/>
        <v>DIS VEH DE SERVITUDES</v>
      </c>
      <c r="AV278" s="1030">
        <f>IFERROR(INDEX(V278:AG278,1,MATCH(Parametres!$B$3,V$1:AG$1,0)-1)*IF(OR(C278="L",C278="S",C278="I"),-1,1),"")</f>
        <v>0</v>
      </c>
      <c r="AW278" s="1030">
        <f t="shared" si="29"/>
        <v>0</v>
      </c>
      <c r="AX278" s="1030">
        <f>INDEX(V278:AG278,1,MATCH(Parametres!$B$3,V$1:AG$1,0))*IF(OR(C278="L",C278="S",C278="I"),-1,1)</f>
        <v>0</v>
      </c>
      <c r="AY278" s="598" t="s">
        <v>337</v>
      </c>
      <c r="AZ278" s="598" t="e">
        <f>+VLOOKUP($AJ278,Data_Validation!$A:$E,5,0)</f>
        <v>#N/A</v>
      </c>
    </row>
    <row r="279" spans="1:52" ht="15.75" customHeight="1">
      <c r="A279" s="832" t="s">
        <v>1150</v>
      </c>
      <c r="B279" s="832">
        <v>2025</v>
      </c>
      <c r="C279" s="832" t="s">
        <v>1704</v>
      </c>
      <c r="D279" s="832" t="s">
        <v>1705</v>
      </c>
      <c r="E279" s="832" t="s">
        <v>333</v>
      </c>
      <c r="F279" s="832" t="s">
        <v>1119</v>
      </c>
      <c r="G279" s="832">
        <v>0</v>
      </c>
      <c r="H279" s="832">
        <v>0</v>
      </c>
      <c r="I279" s="832">
        <v>0</v>
      </c>
      <c r="J279" s="832">
        <v>0</v>
      </c>
      <c r="K279" s="832">
        <v>0</v>
      </c>
      <c r="L279" s="832">
        <v>0</v>
      </c>
      <c r="M279" s="832">
        <v>0</v>
      </c>
      <c r="N279" s="832">
        <v>0</v>
      </c>
      <c r="O279" s="832">
        <v>0</v>
      </c>
      <c r="P279" s="832">
        <v>0</v>
      </c>
      <c r="Q279" s="832">
        <v>0</v>
      </c>
      <c r="R279" s="832">
        <v>0</v>
      </c>
      <c r="S279" s="832">
        <v>0</v>
      </c>
      <c r="T279" s="832">
        <v>0</v>
      </c>
      <c r="U279" s="832">
        <v>0</v>
      </c>
      <c r="V279" s="832">
        <v>0</v>
      </c>
      <c r="W279" s="832">
        <v>0</v>
      </c>
      <c r="X279" s="832">
        <v>0</v>
      </c>
      <c r="Y279" s="832">
        <v>0</v>
      </c>
      <c r="Z279" s="832">
        <v>0</v>
      </c>
      <c r="AA279" s="832">
        <v>0</v>
      </c>
      <c r="AB279" s="832">
        <v>0</v>
      </c>
      <c r="AC279" s="832">
        <v>0</v>
      </c>
      <c r="AD279" s="832">
        <v>0</v>
      </c>
      <c r="AE279" s="832">
        <v>0</v>
      </c>
      <c r="AF279" s="832">
        <v>0</v>
      </c>
      <c r="AG279" s="832">
        <v>0</v>
      </c>
      <c r="AH279" s="832">
        <v>0</v>
      </c>
      <c r="AI279" s="832">
        <v>0</v>
      </c>
      <c r="AJ279" s="1030" t="str">
        <f t="shared" si="24"/>
        <v>H02843</v>
      </c>
      <c r="AK279" s="1030" t="str">
        <f t="shared" si="25"/>
        <v>DIS LOCATION EQUIPEMENT</v>
      </c>
      <c r="AL279" s="1030">
        <f>IFERROR(INDEX(G279:R279,1,MATCH(Parametres!$B$3,G$1:R$1,0)-1)*IF(OR(F279="L",F279="S",F279="I"),-1,1),"")</f>
        <v>0</v>
      </c>
      <c r="AM279" s="1030">
        <f t="shared" si="26"/>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t="str">
        <f t="shared" si="27"/>
        <v>H02843</v>
      </c>
      <c r="AU279" s="599" t="str">
        <f t="shared" si="28"/>
        <v>DIS LOCATION EQUIPEMENT</v>
      </c>
      <c r="AV279" s="1030">
        <f>IFERROR(INDEX(V279:AG279,1,MATCH(Parametres!$B$3,V$1:AG$1,0)-1)*IF(OR(C279="L",C279="S",C279="I"),-1,1),"")</f>
        <v>0</v>
      </c>
      <c r="AW279" s="1030">
        <f t="shared" si="29"/>
        <v>0</v>
      </c>
      <c r="AX279" s="1030">
        <f>INDEX(V279:AG279,1,MATCH(Parametres!$B$3,V$1:AG$1,0))*IF(OR(C279="L",C279="S",C279="I"),-1,1)</f>
        <v>0</v>
      </c>
      <c r="AY279" s="598" t="s">
        <v>337</v>
      </c>
      <c r="AZ279" s="598" t="e">
        <f>+VLOOKUP($AJ279,Data_Validation!$A:$E,5,0)</f>
        <v>#N/A</v>
      </c>
    </row>
    <row r="280" spans="1:52" ht="15" customHeight="1">
      <c r="A280" s="832" t="s">
        <v>1150</v>
      </c>
      <c r="B280" s="832">
        <v>2025</v>
      </c>
      <c r="C280" s="832" t="s">
        <v>1706</v>
      </c>
      <c r="D280" s="832" t="s">
        <v>1707</v>
      </c>
      <c r="E280" s="832" t="s">
        <v>333</v>
      </c>
      <c r="F280" s="832" t="s">
        <v>1119</v>
      </c>
      <c r="G280" s="832">
        <v>0</v>
      </c>
      <c r="H280" s="832">
        <v>0</v>
      </c>
      <c r="I280" s="832">
        <v>0</v>
      </c>
      <c r="J280" s="832">
        <v>0</v>
      </c>
      <c r="K280" s="832">
        <v>0</v>
      </c>
      <c r="L280" s="832">
        <v>0</v>
      </c>
      <c r="M280" s="832">
        <v>0</v>
      </c>
      <c r="N280" s="832">
        <v>0</v>
      </c>
      <c r="O280" s="832">
        <v>0</v>
      </c>
      <c r="P280" s="832">
        <v>0</v>
      </c>
      <c r="Q280" s="832">
        <v>0</v>
      </c>
      <c r="R280" s="832">
        <v>0</v>
      </c>
      <c r="S280" s="832">
        <v>0</v>
      </c>
      <c r="T280" s="832">
        <v>0</v>
      </c>
      <c r="U280" s="832">
        <v>0</v>
      </c>
      <c r="V280" s="832">
        <v>0</v>
      </c>
      <c r="W280" s="832">
        <v>0</v>
      </c>
      <c r="X280" s="832">
        <v>0</v>
      </c>
      <c r="Y280" s="832">
        <v>0</v>
      </c>
      <c r="Z280" s="832">
        <v>0</v>
      </c>
      <c r="AA280" s="832">
        <v>0</v>
      </c>
      <c r="AB280" s="832">
        <v>0</v>
      </c>
      <c r="AC280" s="832">
        <v>0</v>
      </c>
      <c r="AD280" s="832">
        <v>0</v>
      </c>
      <c r="AE280" s="832">
        <v>0</v>
      </c>
      <c r="AF280" s="832">
        <v>0</v>
      </c>
      <c r="AG280" s="832">
        <v>0</v>
      </c>
      <c r="AH280" s="832">
        <v>0</v>
      </c>
      <c r="AI280" s="832">
        <v>0</v>
      </c>
      <c r="AJ280" s="1030" t="str">
        <f t="shared" si="24"/>
        <v>H02844</v>
      </c>
      <c r="AK280" s="1030" t="str">
        <f t="shared" si="25"/>
        <v>DIS TRAITEMENT DONNEES</v>
      </c>
      <c r="AL280" s="1030">
        <f>IFERROR(INDEX(G280:R280,1,MATCH(Parametres!$B$3,G$1:R$1,0)-1)*IF(OR(F280="L",F280="S",F280="I"),-1,1),"")</f>
        <v>0</v>
      </c>
      <c r="AM280" s="1030">
        <f t="shared" si="26"/>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t="str">
        <f t="shared" si="27"/>
        <v>H02844</v>
      </c>
      <c r="AU280" s="599" t="str">
        <f t="shared" si="28"/>
        <v>DIS TRAITEMENT DONNEES</v>
      </c>
      <c r="AV280" s="1030">
        <f>IFERROR(INDEX(V280:AG280,1,MATCH(Parametres!$B$3,V$1:AG$1,0)-1)*IF(OR(C280="L",C280="S",C280="I"),-1,1),"")</f>
        <v>0</v>
      </c>
      <c r="AW280" s="1030">
        <f t="shared" si="29"/>
        <v>0</v>
      </c>
      <c r="AX280" s="1030">
        <f>INDEX(V280:AG280,1,MATCH(Parametres!$B$3,V$1:AG$1,0))*IF(OR(C280="L",C280="S",C280="I"),-1,1)</f>
        <v>0</v>
      </c>
      <c r="AY280" s="598" t="s">
        <v>337</v>
      </c>
      <c r="AZ280" s="598" t="e">
        <f>+VLOOKUP($AJ280,Data_Validation!$A:$E,5,0)</f>
        <v>#N/A</v>
      </c>
    </row>
    <row r="281" spans="1:52" ht="15" customHeight="1">
      <c r="A281" s="832" t="s">
        <v>1150</v>
      </c>
      <c r="B281" s="832">
        <v>2025</v>
      </c>
      <c r="C281" s="832" t="s">
        <v>1708</v>
      </c>
      <c r="D281" s="832" t="s">
        <v>1709</v>
      </c>
      <c r="E281" s="832" t="s">
        <v>333</v>
      </c>
      <c r="F281" s="832" t="s">
        <v>1119</v>
      </c>
      <c r="G281" s="832">
        <v>0</v>
      </c>
      <c r="H281" s="832">
        <v>0</v>
      </c>
      <c r="I281" s="832">
        <v>0</v>
      </c>
      <c r="J281" s="832">
        <v>0</v>
      </c>
      <c r="K281" s="832">
        <v>0</v>
      </c>
      <c r="L281" s="832">
        <v>0</v>
      </c>
      <c r="M281" s="832">
        <v>0</v>
      </c>
      <c r="N281" s="832">
        <v>0</v>
      </c>
      <c r="O281" s="832">
        <v>0</v>
      </c>
      <c r="P281" s="832">
        <v>0</v>
      </c>
      <c r="Q281" s="832">
        <v>0</v>
      </c>
      <c r="R281" s="832">
        <v>0</v>
      </c>
      <c r="S281" s="832">
        <v>0</v>
      </c>
      <c r="T281" s="832">
        <v>0</v>
      </c>
      <c r="U281" s="832">
        <v>0</v>
      </c>
      <c r="V281" s="832">
        <v>0</v>
      </c>
      <c r="W281" s="832">
        <v>0</v>
      </c>
      <c r="X281" s="832">
        <v>0</v>
      </c>
      <c r="Y281" s="832">
        <v>0</v>
      </c>
      <c r="Z281" s="832">
        <v>0</v>
      </c>
      <c r="AA281" s="832">
        <v>0</v>
      </c>
      <c r="AB281" s="832">
        <v>0</v>
      </c>
      <c r="AC281" s="832">
        <v>0</v>
      </c>
      <c r="AD281" s="832">
        <v>0</v>
      </c>
      <c r="AE281" s="832">
        <v>0</v>
      </c>
      <c r="AF281" s="832">
        <v>0</v>
      </c>
      <c r="AG281" s="832">
        <v>0</v>
      </c>
      <c r="AH281" s="832">
        <v>0</v>
      </c>
      <c r="AI281" s="832">
        <v>0</v>
      </c>
      <c r="AJ281" s="1030" t="str">
        <f t="shared" si="24"/>
        <v>H02845</v>
      </c>
      <c r="AK281" s="1030" t="str">
        <f t="shared" si="25"/>
        <v>DIS FRAIS REPRES/REPAS</v>
      </c>
      <c r="AL281" s="1030">
        <f>IFERROR(INDEX(G281:R281,1,MATCH(Parametres!$B$3,G$1:R$1,0)-1)*IF(OR(F281="L",F281="S",F281="I"),-1,1),"")</f>
        <v>0</v>
      </c>
      <c r="AM281" s="1030">
        <f t="shared" si="26"/>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t="str">
        <f t="shared" si="27"/>
        <v>H02845</v>
      </c>
      <c r="AU281" s="599" t="str">
        <f t="shared" si="28"/>
        <v>DIS FRAIS REPRES/REPAS</v>
      </c>
      <c r="AV281" s="1030">
        <f>IFERROR(INDEX(V281:AG281,1,MATCH(Parametres!$B$3,V$1:AG$1,0)-1)*IF(OR(C281="L",C281="S",C281="I"),-1,1),"")</f>
        <v>0</v>
      </c>
      <c r="AW281" s="1030">
        <f t="shared" si="29"/>
        <v>0</v>
      </c>
      <c r="AX281" s="1030">
        <f>INDEX(V281:AG281,1,MATCH(Parametres!$B$3,V$1:AG$1,0))*IF(OR(C281="L",C281="S",C281="I"),-1,1)</f>
        <v>0</v>
      </c>
      <c r="AY281" s="598" t="s">
        <v>337</v>
      </c>
      <c r="AZ281" s="598" t="e">
        <f>+VLOOKUP($AJ281,Data_Validation!$A:$E,5,0)</f>
        <v>#N/A</v>
      </c>
    </row>
    <row r="282" spans="1:52" ht="15" customHeight="1">
      <c r="A282" s="832" t="s">
        <v>1150</v>
      </c>
      <c r="B282" s="832">
        <v>2025</v>
      </c>
      <c r="C282" s="832" t="s">
        <v>1710</v>
      </c>
      <c r="D282" s="832" t="s">
        <v>1711</v>
      </c>
      <c r="E282" s="832" t="s">
        <v>333</v>
      </c>
      <c r="F282" s="832" t="s">
        <v>1119</v>
      </c>
      <c r="G282" s="832">
        <v>0</v>
      </c>
      <c r="H282" s="832">
        <v>0</v>
      </c>
      <c r="I282" s="832">
        <v>0</v>
      </c>
      <c r="J282" s="832">
        <v>0</v>
      </c>
      <c r="K282" s="832">
        <v>0</v>
      </c>
      <c r="L282" s="832">
        <v>0</v>
      </c>
      <c r="M282" s="832">
        <v>0</v>
      </c>
      <c r="N282" s="832">
        <v>0</v>
      </c>
      <c r="O282" s="832">
        <v>0</v>
      </c>
      <c r="P282" s="832">
        <v>0</v>
      </c>
      <c r="Q282" s="832">
        <v>0</v>
      </c>
      <c r="R282" s="832">
        <v>0</v>
      </c>
      <c r="S282" s="832">
        <v>0</v>
      </c>
      <c r="T282" s="832">
        <v>0</v>
      </c>
      <c r="U282" s="832">
        <v>0</v>
      </c>
      <c r="V282" s="832">
        <v>0</v>
      </c>
      <c r="W282" s="832">
        <v>0</v>
      </c>
      <c r="X282" s="832">
        <v>0</v>
      </c>
      <c r="Y282" s="832">
        <v>0</v>
      </c>
      <c r="Z282" s="832">
        <v>0</v>
      </c>
      <c r="AA282" s="832">
        <v>0</v>
      </c>
      <c r="AB282" s="832">
        <v>0</v>
      </c>
      <c r="AC282" s="832">
        <v>0</v>
      </c>
      <c r="AD282" s="832">
        <v>0</v>
      </c>
      <c r="AE282" s="832">
        <v>0</v>
      </c>
      <c r="AF282" s="832">
        <v>0</v>
      </c>
      <c r="AG282" s="832">
        <v>0</v>
      </c>
      <c r="AH282" s="832">
        <v>0</v>
      </c>
      <c r="AI282" s="832">
        <v>0</v>
      </c>
      <c r="AJ282" s="1030" t="str">
        <f t="shared" si="24"/>
        <v>H02846</v>
      </c>
      <c r="AK282" s="1030" t="str">
        <f t="shared" si="25"/>
        <v>DIS DEPLACEMENT-REPRESENT</v>
      </c>
      <c r="AL282" s="1030">
        <f>IFERROR(INDEX(G282:R282,1,MATCH(Parametres!$B$3,G$1:R$1,0)-1)*IF(OR(F282="L",F282="S",F282="I"),-1,1),"")</f>
        <v>0</v>
      </c>
      <c r="AM282" s="1030">
        <f t="shared" si="26"/>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t="str">
        <f t="shared" si="27"/>
        <v>H02846</v>
      </c>
      <c r="AU282" s="599" t="str">
        <f t="shared" si="28"/>
        <v>DIS DEPLACEMENT-REPRESENT</v>
      </c>
      <c r="AV282" s="1030">
        <f>IFERROR(INDEX(V282:AG282,1,MATCH(Parametres!$B$3,V$1:AG$1,0)-1)*IF(OR(C282="L",C282="S",C282="I"),-1,1),"")</f>
        <v>0</v>
      </c>
      <c r="AW282" s="1030">
        <f t="shared" si="29"/>
        <v>0</v>
      </c>
      <c r="AX282" s="1030">
        <f>INDEX(V282:AG282,1,MATCH(Parametres!$B$3,V$1:AG$1,0))*IF(OR(C282="L",C282="S",C282="I"),-1,1)</f>
        <v>0</v>
      </c>
      <c r="AY282" s="598" t="s">
        <v>337</v>
      </c>
      <c r="AZ282" s="598" t="e">
        <f>+VLOOKUP($AJ282,Data_Validation!$A:$E,5,0)</f>
        <v>#N/A</v>
      </c>
    </row>
    <row r="283" spans="1:52" ht="15.75" customHeight="1">
      <c r="A283" s="832" t="s">
        <v>1150</v>
      </c>
      <c r="B283" s="832">
        <v>2025</v>
      </c>
      <c r="C283" s="832" t="s">
        <v>1712</v>
      </c>
      <c r="D283" s="832" t="s">
        <v>1713</v>
      </c>
      <c r="E283" s="832" t="s">
        <v>333</v>
      </c>
      <c r="F283" s="832" t="s">
        <v>1119</v>
      </c>
      <c r="G283" s="832">
        <v>0</v>
      </c>
      <c r="H283" s="832">
        <v>0</v>
      </c>
      <c r="I283" s="832">
        <v>0</v>
      </c>
      <c r="J283" s="832">
        <v>0</v>
      </c>
      <c r="K283" s="832">
        <v>0</v>
      </c>
      <c r="L283" s="832">
        <v>0</v>
      </c>
      <c r="M283" s="832">
        <v>0</v>
      </c>
      <c r="N283" s="832">
        <v>0</v>
      </c>
      <c r="O283" s="832">
        <v>0</v>
      </c>
      <c r="P283" s="832">
        <v>0</v>
      </c>
      <c r="Q283" s="832">
        <v>0</v>
      </c>
      <c r="R283" s="832">
        <v>0</v>
      </c>
      <c r="S283" s="832">
        <v>0</v>
      </c>
      <c r="T283" s="832">
        <v>0</v>
      </c>
      <c r="U283" s="832">
        <v>0</v>
      </c>
      <c r="V283" s="832">
        <v>0</v>
      </c>
      <c r="W283" s="832">
        <v>0</v>
      </c>
      <c r="X283" s="832">
        <v>0</v>
      </c>
      <c r="Y283" s="832">
        <v>0</v>
      </c>
      <c r="Z283" s="832">
        <v>0</v>
      </c>
      <c r="AA283" s="832">
        <v>0</v>
      </c>
      <c r="AB283" s="832">
        <v>0</v>
      </c>
      <c r="AC283" s="832">
        <v>0</v>
      </c>
      <c r="AD283" s="832">
        <v>0</v>
      </c>
      <c r="AE283" s="832">
        <v>0</v>
      </c>
      <c r="AF283" s="832">
        <v>0</v>
      </c>
      <c r="AG283" s="832">
        <v>0</v>
      </c>
      <c r="AH283" s="832">
        <v>0</v>
      </c>
      <c r="AI283" s="832">
        <v>0</v>
      </c>
      <c r="AJ283" s="1030" t="str">
        <f t="shared" si="24"/>
        <v>H02847</v>
      </c>
      <c r="AK283" s="1030" t="str">
        <f t="shared" si="25"/>
        <v>DIS TELEPHONE-TELEGRAMMES</v>
      </c>
      <c r="AL283" s="1030">
        <f>IFERROR(INDEX(G283:R283,1,MATCH(Parametres!$B$3,G$1:R$1,0)-1)*IF(OR(F283="L",F283="S",F283="I"),-1,1),"")</f>
        <v>0</v>
      </c>
      <c r="AM283" s="1030">
        <f t="shared" si="26"/>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t="str">
        <f t="shared" si="27"/>
        <v>H02847</v>
      </c>
      <c r="AU283" s="599" t="str">
        <f t="shared" si="28"/>
        <v>DIS TELEPHONE-TELEGRAMMES</v>
      </c>
      <c r="AV283" s="1030">
        <f>IFERROR(INDEX(V283:AG283,1,MATCH(Parametres!$B$3,V$1:AG$1,0)-1)*IF(OR(C283="L",C283="S",C283="I"),-1,1),"")</f>
        <v>0</v>
      </c>
      <c r="AW283" s="1030">
        <f t="shared" si="29"/>
        <v>0</v>
      </c>
      <c r="AX283" s="1030">
        <f>INDEX(V283:AG283,1,MATCH(Parametres!$B$3,V$1:AG$1,0))*IF(OR(C283="L",C283="S",C283="I"),-1,1)</f>
        <v>0</v>
      </c>
      <c r="AY283" s="598" t="s">
        <v>337</v>
      </c>
      <c r="AZ283" s="598" t="e">
        <f>+VLOOKUP($AJ283,Data_Validation!$A:$E,5,0)</f>
        <v>#N/A</v>
      </c>
    </row>
    <row r="284" spans="1:52" ht="15" customHeight="1">
      <c r="A284" s="832" t="s">
        <v>1150</v>
      </c>
      <c r="B284" s="832">
        <v>2025</v>
      </c>
      <c r="C284" s="832" t="s">
        <v>1714</v>
      </c>
      <c r="D284" s="832" t="s">
        <v>1715</v>
      </c>
      <c r="E284" s="832" t="s">
        <v>333</v>
      </c>
      <c r="F284" s="832" t="s">
        <v>1119</v>
      </c>
      <c r="G284" s="832">
        <v>0</v>
      </c>
      <c r="H284" s="832">
        <v>0</v>
      </c>
      <c r="I284" s="832">
        <v>0</v>
      </c>
      <c r="J284" s="832">
        <v>0</v>
      </c>
      <c r="K284" s="832">
        <v>0</v>
      </c>
      <c r="L284" s="832">
        <v>0</v>
      </c>
      <c r="M284" s="832">
        <v>0</v>
      </c>
      <c r="N284" s="832">
        <v>0</v>
      </c>
      <c r="O284" s="832">
        <v>0</v>
      </c>
      <c r="P284" s="832">
        <v>0</v>
      </c>
      <c r="Q284" s="832">
        <v>0</v>
      </c>
      <c r="R284" s="832">
        <v>0</v>
      </c>
      <c r="S284" s="832">
        <v>0</v>
      </c>
      <c r="T284" s="832">
        <v>0</v>
      </c>
      <c r="U284" s="832">
        <v>0</v>
      </c>
      <c r="V284" s="832">
        <v>0</v>
      </c>
      <c r="W284" s="832">
        <v>0</v>
      </c>
      <c r="X284" s="832">
        <v>0</v>
      </c>
      <c r="Y284" s="832">
        <v>0</v>
      </c>
      <c r="Z284" s="832">
        <v>0</v>
      </c>
      <c r="AA284" s="832">
        <v>0</v>
      </c>
      <c r="AB284" s="832">
        <v>0</v>
      </c>
      <c r="AC284" s="832">
        <v>0</v>
      </c>
      <c r="AD284" s="832">
        <v>0</v>
      </c>
      <c r="AE284" s="832">
        <v>0</v>
      </c>
      <c r="AF284" s="832">
        <v>0</v>
      </c>
      <c r="AG284" s="832">
        <v>0</v>
      </c>
      <c r="AH284" s="832">
        <v>0</v>
      </c>
      <c r="AI284" s="832">
        <v>0</v>
      </c>
      <c r="AJ284" s="1030" t="str">
        <f t="shared" si="24"/>
        <v>H02848</v>
      </c>
      <c r="AK284" s="1030" t="str">
        <f t="shared" si="25"/>
        <v>DIS FRAIS POSTAUX</v>
      </c>
      <c r="AL284" s="1030">
        <f>IFERROR(INDEX(G284:R284,1,MATCH(Parametres!$B$3,G$1:R$1,0)-1)*IF(OR(F284="L",F284="S",F284="I"),-1,1),"")</f>
        <v>0</v>
      </c>
      <c r="AM284" s="1030">
        <f t="shared" si="26"/>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t="str">
        <f t="shared" si="27"/>
        <v>H02848</v>
      </c>
      <c r="AU284" s="599" t="str">
        <f t="shared" si="28"/>
        <v>DIS FRAIS POSTAUX</v>
      </c>
      <c r="AV284" s="1030">
        <f>IFERROR(INDEX(V284:AG284,1,MATCH(Parametres!$B$3,V$1:AG$1,0)-1)*IF(OR(C284="L",C284="S",C284="I"),-1,1),"")</f>
        <v>0</v>
      </c>
      <c r="AW284" s="1030">
        <f t="shared" si="29"/>
        <v>0</v>
      </c>
      <c r="AX284" s="1030">
        <f>INDEX(V284:AG284,1,MATCH(Parametres!$B$3,V$1:AG$1,0))*IF(OR(C284="L",C284="S",C284="I"),-1,1)</f>
        <v>0</v>
      </c>
      <c r="AY284" s="598" t="s">
        <v>337</v>
      </c>
      <c r="AZ284" s="598" t="e">
        <f>+VLOOKUP($AJ284,Data_Validation!$A:$E,5,0)</f>
        <v>#N/A</v>
      </c>
    </row>
    <row r="285" spans="1:52" ht="15" customHeight="1">
      <c r="A285" s="832" t="s">
        <v>1150</v>
      </c>
      <c r="B285" s="832">
        <v>2025</v>
      </c>
      <c r="C285" s="832" t="s">
        <v>1716</v>
      </c>
      <c r="D285" s="832" t="s">
        <v>1717</v>
      </c>
      <c r="E285" s="832" t="s">
        <v>333</v>
      </c>
      <c r="F285" s="832" t="s">
        <v>1119</v>
      </c>
      <c r="G285" s="832">
        <v>0</v>
      </c>
      <c r="H285" s="832">
        <v>0</v>
      </c>
      <c r="I285" s="832">
        <v>0</v>
      </c>
      <c r="J285" s="832">
        <v>0</v>
      </c>
      <c r="K285" s="832">
        <v>0</v>
      </c>
      <c r="L285" s="832">
        <v>0</v>
      </c>
      <c r="M285" s="832">
        <v>0</v>
      </c>
      <c r="N285" s="832">
        <v>0</v>
      </c>
      <c r="O285" s="832">
        <v>0</v>
      </c>
      <c r="P285" s="832">
        <v>0</v>
      </c>
      <c r="Q285" s="832">
        <v>0</v>
      </c>
      <c r="R285" s="832">
        <v>0</v>
      </c>
      <c r="S285" s="832">
        <v>0</v>
      </c>
      <c r="T285" s="832">
        <v>0</v>
      </c>
      <c r="U285" s="832">
        <v>0</v>
      </c>
      <c r="V285" s="832">
        <v>0</v>
      </c>
      <c r="W285" s="832">
        <v>0</v>
      </c>
      <c r="X285" s="832">
        <v>0</v>
      </c>
      <c r="Y285" s="832">
        <v>0</v>
      </c>
      <c r="Z285" s="832">
        <v>0</v>
      </c>
      <c r="AA285" s="832">
        <v>0</v>
      </c>
      <c r="AB285" s="832">
        <v>0</v>
      </c>
      <c r="AC285" s="832">
        <v>0</v>
      </c>
      <c r="AD285" s="832">
        <v>0</v>
      </c>
      <c r="AE285" s="832">
        <v>0</v>
      </c>
      <c r="AF285" s="832">
        <v>0</v>
      </c>
      <c r="AG285" s="832">
        <v>0</v>
      </c>
      <c r="AH285" s="832">
        <v>0</v>
      </c>
      <c r="AI285" s="832">
        <v>0</v>
      </c>
      <c r="AJ285" s="1030" t="str">
        <f t="shared" si="24"/>
        <v>H02849</v>
      </c>
      <c r="AK285" s="1030" t="str">
        <f t="shared" si="25"/>
        <v>DIS FRET &amp; MESSAGERIE</v>
      </c>
      <c r="AL285" s="1030">
        <f>IFERROR(INDEX(G285:R285,1,MATCH(Parametres!$B$3,G$1:R$1,0)-1)*IF(OR(F285="L",F285="S",F285="I"),-1,1),"")</f>
        <v>0</v>
      </c>
      <c r="AM285" s="1030">
        <f t="shared" si="26"/>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t="str">
        <f t="shared" si="27"/>
        <v>H02849</v>
      </c>
      <c r="AU285" s="599" t="str">
        <f t="shared" si="28"/>
        <v>DIS FRET &amp; MESSAGERIE</v>
      </c>
      <c r="AV285" s="1030">
        <f>IFERROR(INDEX(V285:AG285,1,MATCH(Parametres!$B$3,V$1:AG$1,0)-1)*IF(OR(C285="L",C285="S",C285="I"),-1,1),"")</f>
        <v>0</v>
      </c>
      <c r="AW285" s="1030">
        <f t="shared" si="29"/>
        <v>0</v>
      </c>
      <c r="AX285" s="1030">
        <f>INDEX(V285:AG285,1,MATCH(Parametres!$B$3,V$1:AG$1,0))*IF(OR(C285="L",C285="S",C285="I"),-1,1)</f>
        <v>0</v>
      </c>
      <c r="AY285" s="598" t="s">
        <v>337</v>
      </c>
      <c r="AZ285" s="598" t="e">
        <f>+VLOOKUP($AJ285,Data_Validation!$A:$E,5,0)</f>
        <v>#N/A</v>
      </c>
    </row>
    <row r="286" spans="1:52" ht="15" customHeight="1">
      <c r="A286" s="832" t="s">
        <v>1150</v>
      </c>
      <c r="B286" s="832">
        <v>2025</v>
      </c>
      <c r="C286" s="832" t="s">
        <v>1718</v>
      </c>
      <c r="D286" s="832" t="s">
        <v>1719</v>
      </c>
      <c r="E286" s="832" t="s">
        <v>333</v>
      </c>
      <c r="F286" s="832" t="s">
        <v>1119</v>
      </c>
      <c r="G286" s="832">
        <v>0</v>
      </c>
      <c r="H286" s="832">
        <v>0</v>
      </c>
      <c r="I286" s="832">
        <v>0</v>
      </c>
      <c r="J286" s="832">
        <v>0</v>
      </c>
      <c r="K286" s="832">
        <v>0</v>
      </c>
      <c r="L286" s="832">
        <v>0</v>
      </c>
      <c r="M286" s="832">
        <v>0</v>
      </c>
      <c r="N286" s="832">
        <v>0</v>
      </c>
      <c r="O286" s="832">
        <v>0</v>
      </c>
      <c r="P286" s="832">
        <v>0</v>
      </c>
      <c r="Q286" s="832">
        <v>0</v>
      </c>
      <c r="R286" s="832">
        <v>0</v>
      </c>
      <c r="S286" s="832">
        <v>0</v>
      </c>
      <c r="T286" s="832">
        <v>0</v>
      </c>
      <c r="U286" s="832">
        <v>0</v>
      </c>
      <c r="V286" s="832">
        <v>0</v>
      </c>
      <c r="W286" s="832">
        <v>0</v>
      </c>
      <c r="X286" s="832">
        <v>0</v>
      </c>
      <c r="Y286" s="832">
        <v>0</v>
      </c>
      <c r="Z286" s="832">
        <v>0</v>
      </c>
      <c r="AA286" s="832">
        <v>0</v>
      </c>
      <c r="AB286" s="832">
        <v>0</v>
      </c>
      <c r="AC286" s="832">
        <v>0</v>
      </c>
      <c r="AD286" s="832">
        <v>0</v>
      </c>
      <c r="AE286" s="832">
        <v>0</v>
      </c>
      <c r="AF286" s="832">
        <v>0</v>
      </c>
      <c r="AG286" s="832">
        <v>0</v>
      </c>
      <c r="AH286" s="832">
        <v>0</v>
      </c>
      <c r="AI286" s="832">
        <v>0</v>
      </c>
      <c r="AJ286" s="1030" t="str">
        <f t="shared" si="24"/>
        <v>H02852</v>
      </c>
      <c r="AK286" s="1030" t="str">
        <f t="shared" si="25"/>
        <v>DIS FRAIS DIVERS</v>
      </c>
      <c r="AL286" s="1030">
        <f>IFERROR(INDEX(G286:R286,1,MATCH(Parametres!$B$3,G$1:R$1,0)-1)*IF(OR(F286="L",F286="S",F286="I"),-1,1),"")</f>
        <v>0</v>
      </c>
      <c r="AM286" s="1030">
        <f t="shared" si="26"/>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t="str">
        <f t="shared" si="27"/>
        <v>H02852</v>
      </c>
      <c r="AU286" s="599" t="str">
        <f t="shared" si="28"/>
        <v>DIS FRAIS DIVERS</v>
      </c>
      <c r="AV286" s="1030">
        <f>IFERROR(INDEX(V286:AG286,1,MATCH(Parametres!$B$3,V$1:AG$1,0)-1)*IF(OR(C286="L",C286="S",C286="I"),-1,1),"")</f>
        <v>0</v>
      </c>
      <c r="AW286" s="1030">
        <f t="shared" si="29"/>
        <v>0</v>
      </c>
      <c r="AX286" s="1030">
        <f>INDEX(V286:AG286,1,MATCH(Parametres!$B$3,V$1:AG$1,0))*IF(OR(C286="L",C286="S",C286="I"),-1,1)</f>
        <v>0</v>
      </c>
      <c r="AY286" s="598" t="s">
        <v>337</v>
      </c>
      <c r="AZ286" s="598" t="e">
        <f>+VLOOKUP($AJ286,Data_Validation!$A:$E,5,0)</f>
        <v>#N/A</v>
      </c>
    </row>
    <row r="287" spans="1:52" ht="15.75" customHeight="1">
      <c r="A287" s="832" t="s">
        <v>1150</v>
      </c>
      <c r="B287" s="832">
        <v>2025</v>
      </c>
      <c r="C287" s="832" t="s">
        <v>1720</v>
      </c>
      <c r="D287" s="832" t="s">
        <v>1721</v>
      </c>
      <c r="E287" s="832" t="s">
        <v>333</v>
      </c>
      <c r="F287" s="832" t="s">
        <v>1119</v>
      </c>
      <c r="G287" s="832">
        <v>0</v>
      </c>
      <c r="H287" s="832">
        <v>0</v>
      </c>
      <c r="I287" s="832">
        <v>0</v>
      </c>
      <c r="J287" s="832">
        <v>0</v>
      </c>
      <c r="K287" s="832">
        <v>0</v>
      </c>
      <c r="L287" s="832">
        <v>0</v>
      </c>
      <c r="M287" s="832">
        <v>0</v>
      </c>
      <c r="N287" s="832">
        <v>0</v>
      </c>
      <c r="O287" s="832">
        <v>0</v>
      </c>
      <c r="P287" s="832">
        <v>0</v>
      </c>
      <c r="Q287" s="832">
        <v>0</v>
      </c>
      <c r="R287" s="832">
        <v>0</v>
      </c>
      <c r="S287" s="832">
        <v>0</v>
      </c>
      <c r="T287" s="832">
        <v>0</v>
      </c>
      <c r="U287" s="832">
        <v>0</v>
      </c>
      <c r="V287" s="832">
        <v>0</v>
      </c>
      <c r="W287" s="832">
        <v>0</v>
      </c>
      <c r="X287" s="832">
        <v>0</v>
      </c>
      <c r="Y287" s="832">
        <v>0</v>
      </c>
      <c r="Z287" s="832">
        <v>0</v>
      </c>
      <c r="AA287" s="832">
        <v>0</v>
      </c>
      <c r="AB287" s="832">
        <v>0</v>
      </c>
      <c r="AC287" s="832">
        <v>0</v>
      </c>
      <c r="AD287" s="832">
        <v>0</v>
      </c>
      <c r="AE287" s="832">
        <v>0</v>
      </c>
      <c r="AF287" s="832">
        <v>0</v>
      </c>
      <c r="AG287" s="832">
        <v>0</v>
      </c>
      <c r="AH287" s="832">
        <v>0</v>
      </c>
      <c r="AI287" s="832">
        <v>0</v>
      </c>
      <c r="AJ287" s="1030" t="str">
        <f t="shared" si="24"/>
        <v>H02860</v>
      </c>
      <c r="AK287" s="1030" t="str">
        <f t="shared" si="25"/>
        <v>DIS LOYER INT HYPOTH.</v>
      </c>
      <c r="AL287" s="1030">
        <f>IFERROR(INDEX(G287:R287,1,MATCH(Parametres!$B$3,G$1:R$1,0)-1)*IF(OR(F287="L",F287="S",F287="I"),-1,1),"")</f>
        <v>0</v>
      </c>
      <c r="AM287" s="1030">
        <f t="shared" si="26"/>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t="str">
        <f t="shared" si="27"/>
        <v>H02860</v>
      </c>
      <c r="AU287" s="599" t="str">
        <f t="shared" si="28"/>
        <v>DIS LOYER INT HYPOTH.</v>
      </c>
      <c r="AV287" s="1030">
        <f>IFERROR(INDEX(V287:AG287,1,MATCH(Parametres!$B$3,V$1:AG$1,0)-1)*IF(OR(C287="L",C287="S",C287="I"),-1,1),"")</f>
        <v>0</v>
      </c>
      <c r="AW287" s="1030">
        <f t="shared" si="29"/>
        <v>0</v>
      </c>
      <c r="AX287" s="1030">
        <f>INDEX(V287:AG287,1,MATCH(Parametres!$B$3,V$1:AG$1,0))*IF(OR(C287="L",C287="S",C287="I"),-1,1)</f>
        <v>0</v>
      </c>
      <c r="AY287" s="598" t="s">
        <v>337</v>
      </c>
      <c r="AZ287" s="598" t="e">
        <f>+VLOOKUP($AJ287,Data_Validation!$A:$E,5,0)</f>
        <v>#N/A</v>
      </c>
    </row>
    <row r="288" spans="1:52" ht="15" customHeight="1">
      <c r="A288" s="832" t="s">
        <v>1150</v>
      </c>
      <c r="B288" s="832">
        <v>2025</v>
      </c>
      <c r="C288" s="832" t="s">
        <v>1722</v>
      </c>
      <c r="D288" s="832" t="s">
        <v>1723</v>
      </c>
      <c r="E288" s="832" t="s">
        <v>333</v>
      </c>
      <c r="F288" s="832" t="s">
        <v>1119</v>
      </c>
      <c r="G288" s="832">
        <v>0</v>
      </c>
      <c r="H288" s="832">
        <v>0</v>
      </c>
      <c r="I288" s="832">
        <v>0</v>
      </c>
      <c r="J288" s="832">
        <v>0</v>
      </c>
      <c r="K288" s="832">
        <v>0</v>
      </c>
      <c r="L288" s="832">
        <v>0</v>
      </c>
      <c r="M288" s="832">
        <v>0</v>
      </c>
      <c r="N288" s="832">
        <v>0</v>
      </c>
      <c r="O288" s="832">
        <v>0</v>
      </c>
      <c r="P288" s="832">
        <v>0</v>
      </c>
      <c r="Q288" s="832">
        <v>0</v>
      </c>
      <c r="R288" s="832">
        <v>0</v>
      </c>
      <c r="S288" s="832">
        <v>0</v>
      </c>
      <c r="T288" s="832">
        <v>0</v>
      </c>
      <c r="U288" s="832">
        <v>0</v>
      </c>
      <c r="V288" s="832">
        <v>0</v>
      </c>
      <c r="W288" s="832">
        <v>0</v>
      </c>
      <c r="X288" s="832">
        <v>0</v>
      </c>
      <c r="Y288" s="832">
        <v>0</v>
      </c>
      <c r="Z288" s="832">
        <v>0</v>
      </c>
      <c r="AA288" s="832">
        <v>0</v>
      </c>
      <c r="AB288" s="832">
        <v>0</v>
      </c>
      <c r="AC288" s="832">
        <v>0</v>
      </c>
      <c r="AD288" s="832">
        <v>0</v>
      </c>
      <c r="AE288" s="832">
        <v>0</v>
      </c>
      <c r="AF288" s="832">
        <v>0</v>
      </c>
      <c r="AG288" s="832">
        <v>0</v>
      </c>
      <c r="AH288" s="832">
        <v>0</v>
      </c>
      <c r="AI288" s="832">
        <v>0</v>
      </c>
      <c r="AJ288" s="1030" t="str">
        <f t="shared" si="24"/>
        <v>H02861</v>
      </c>
      <c r="AK288" s="1030" t="str">
        <f t="shared" si="25"/>
        <v>DIS AMORT AMELIOR  LOC</v>
      </c>
      <c r="AL288" s="1030">
        <f>IFERROR(INDEX(G288:R288,1,MATCH(Parametres!$B$3,G$1:R$1,0)-1)*IF(OR(F288="L",F288="S",F288="I"),-1,1),"")</f>
        <v>0</v>
      </c>
      <c r="AM288" s="1030">
        <f t="shared" si="26"/>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t="str">
        <f t="shared" si="27"/>
        <v>H02861</v>
      </c>
      <c r="AU288" s="599" t="str">
        <f t="shared" si="28"/>
        <v>DIS AMORT AMELIOR  LOC</v>
      </c>
      <c r="AV288" s="1030">
        <f>IFERROR(INDEX(V288:AG288,1,MATCH(Parametres!$B$3,V$1:AG$1,0)-1)*IF(OR(C288="L",C288="S",C288="I"),-1,1),"")</f>
        <v>0</v>
      </c>
      <c r="AW288" s="1030">
        <f t="shared" si="29"/>
        <v>0</v>
      </c>
      <c r="AX288" s="1030">
        <f>INDEX(V288:AG288,1,MATCH(Parametres!$B$3,V$1:AG$1,0))*IF(OR(C288="L",C288="S",C288="I"),-1,1)</f>
        <v>0</v>
      </c>
      <c r="AY288" s="598" t="s">
        <v>337</v>
      </c>
      <c r="AZ288" s="598" t="e">
        <f>+VLOOKUP($AJ288,Data_Validation!$A:$E,5,0)</f>
        <v>#N/A</v>
      </c>
    </row>
    <row r="289" spans="1:52" ht="15" customHeight="1">
      <c r="A289" s="832" t="s">
        <v>1150</v>
      </c>
      <c r="B289" s="832">
        <v>2025</v>
      </c>
      <c r="C289" s="832" t="s">
        <v>1724</v>
      </c>
      <c r="D289" s="832" t="s">
        <v>1725</v>
      </c>
      <c r="E289" s="832" t="s">
        <v>333</v>
      </c>
      <c r="F289" s="832" t="s">
        <v>1119</v>
      </c>
      <c r="G289" s="832">
        <v>0</v>
      </c>
      <c r="H289" s="832">
        <v>0</v>
      </c>
      <c r="I289" s="832">
        <v>0</v>
      </c>
      <c r="J289" s="832">
        <v>0</v>
      </c>
      <c r="K289" s="832">
        <v>0</v>
      </c>
      <c r="L289" s="832">
        <v>0</v>
      </c>
      <c r="M289" s="832">
        <v>0</v>
      </c>
      <c r="N289" s="832">
        <v>0</v>
      </c>
      <c r="O289" s="832">
        <v>0</v>
      </c>
      <c r="P289" s="832">
        <v>0</v>
      </c>
      <c r="Q289" s="832">
        <v>0</v>
      </c>
      <c r="R289" s="832">
        <v>0</v>
      </c>
      <c r="S289" s="832">
        <v>0</v>
      </c>
      <c r="T289" s="832">
        <v>0</v>
      </c>
      <c r="U289" s="832">
        <v>0</v>
      </c>
      <c r="V289" s="832">
        <v>0</v>
      </c>
      <c r="W289" s="832">
        <v>0</v>
      </c>
      <c r="X289" s="832">
        <v>0</v>
      </c>
      <c r="Y289" s="832">
        <v>0</v>
      </c>
      <c r="Z289" s="832">
        <v>0</v>
      </c>
      <c r="AA289" s="832">
        <v>0</v>
      </c>
      <c r="AB289" s="832">
        <v>0</v>
      </c>
      <c r="AC289" s="832">
        <v>0</v>
      </c>
      <c r="AD289" s="832">
        <v>0</v>
      </c>
      <c r="AE289" s="832">
        <v>0</v>
      </c>
      <c r="AF289" s="832">
        <v>0</v>
      </c>
      <c r="AG289" s="832">
        <v>0</v>
      </c>
      <c r="AH289" s="832">
        <v>0</v>
      </c>
      <c r="AI289" s="832">
        <v>0</v>
      </c>
      <c r="AJ289" s="1030" t="str">
        <f t="shared" si="24"/>
        <v>H02862</v>
      </c>
      <c r="AK289" s="1030" t="str">
        <f t="shared" si="25"/>
        <v>DIS ENTRERIEN PROPRIETE</v>
      </c>
      <c r="AL289" s="1030">
        <f>IFERROR(INDEX(G289:R289,1,MATCH(Parametres!$B$3,G$1:R$1,0)-1)*IF(OR(F289="L",F289="S",F289="I"),-1,1),"")</f>
        <v>0</v>
      </c>
      <c r="AM289" s="1030">
        <f t="shared" si="26"/>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t="str">
        <f t="shared" si="27"/>
        <v>H02862</v>
      </c>
      <c r="AU289" s="599" t="str">
        <f t="shared" si="28"/>
        <v>DIS ENTRERIEN PROPRIETE</v>
      </c>
      <c r="AV289" s="1030">
        <f>IFERROR(INDEX(V289:AG289,1,MATCH(Parametres!$B$3,V$1:AG$1,0)-1)*IF(OR(C289="L",C289="S",C289="I"),-1,1),"")</f>
        <v>0</v>
      </c>
      <c r="AW289" s="1030">
        <f t="shared" si="29"/>
        <v>0</v>
      </c>
      <c r="AX289" s="1030">
        <f>INDEX(V289:AG289,1,MATCH(Parametres!$B$3,V$1:AG$1,0))*IF(OR(C289="L",C289="S",C289="I"),-1,1)</f>
        <v>0</v>
      </c>
      <c r="AY289" s="598" t="s">
        <v>337</v>
      </c>
      <c r="AZ289" s="598" t="e">
        <f>+VLOOKUP($AJ289,Data_Validation!$A:$E,5,0)</f>
        <v>#N/A</v>
      </c>
    </row>
    <row r="290" spans="1:52" ht="15" customHeight="1">
      <c r="A290" s="832" t="s">
        <v>1150</v>
      </c>
      <c r="B290" s="832">
        <v>2025</v>
      </c>
      <c r="C290" s="832" t="s">
        <v>1726</v>
      </c>
      <c r="D290" s="832" t="s">
        <v>1727</v>
      </c>
      <c r="E290" s="832" t="s">
        <v>333</v>
      </c>
      <c r="F290" s="832" t="s">
        <v>1119</v>
      </c>
      <c r="G290" s="832">
        <v>0</v>
      </c>
      <c r="H290" s="832">
        <v>0</v>
      </c>
      <c r="I290" s="832">
        <v>0</v>
      </c>
      <c r="J290" s="832">
        <v>0</v>
      </c>
      <c r="K290" s="832">
        <v>0</v>
      </c>
      <c r="L290" s="832">
        <v>0</v>
      </c>
      <c r="M290" s="832">
        <v>0</v>
      </c>
      <c r="N290" s="832">
        <v>0</v>
      </c>
      <c r="O290" s="832">
        <v>0</v>
      </c>
      <c r="P290" s="832">
        <v>0</v>
      </c>
      <c r="Q290" s="832">
        <v>0</v>
      </c>
      <c r="R290" s="832">
        <v>0</v>
      </c>
      <c r="S290" s="832">
        <v>0</v>
      </c>
      <c r="T290" s="832">
        <v>0</v>
      </c>
      <c r="U290" s="832">
        <v>0</v>
      </c>
      <c r="V290" s="832">
        <v>0</v>
      </c>
      <c r="W290" s="832">
        <v>0</v>
      </c>
      <c r="X290" s="832">
        <v>0</v>
      </c>
      <c r="Y290" s="832">
        <v>0</v>
      </c>
      <c r="Z290" s="832">
        <v>0</v>
      </c>
      <c r="AA290" s="832">
        <v>0</v>
      </c>
      <c r="AB290" s="832">
        <v>0</v>
      </c>
      <c r="AC290" s="832">
        <v>0</v>
      </c>
      <c r="AD290" s="832">
        <v>0</v>
      </c>
      <c r="AE290" s="832">
        <v>0</v>
      </c>
      <c r="AF290" s="832">
        <v>0</v>
      </c>
      <c r="AG290" s="832">
        <v>0</v>
      </c>
      <c r="AH290" s="832">
        <v>0</v>
      </c>
      <c r="AI290" s="832">
        <v>0</v>
      </c>
      <c r="AJ290" s="1030" t="str">
        <f t="shared" si="24"/>
        <v>H02863</v>
      </c>
      <c r="AK290" s="1030" t="str">
        <f t="shared" si="25"/>
        <v>DIS TAXES PROPRIETE</v>
      </c>
      <c r="AL290" s="1030">
        <f>IFERROR(INDEX(G290:R290,1,MATCH(Parametres!$B$3,G$1:R$1,0)-1)*IF(OR(F290="L",F290="S",F290="I"),-1,1),"")</f>
        <v>0</v>
      </c>
      <c r="AM290" s="1030">
        <f t="shared" si="26"/>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t="str">
        <f t="shared" si="27"/>
        <v>H02863</v>
      </c>
      <c r="AU290" s="599" t="str">
        <f t="shared" si="28"/>
        <v>DIS TAXES PROPRIETE</v>
      </c>
      <c r="AV290" s="1030">
        <f>IFERROR(INDEX(V290:AG290,1,MATCH(Parametres!$B$3,V$1:AG$1,0)-1)*IF(OR(C290="L",C290="S",C290="I"),-1,1),"")</f>
        <v>0</v>
      </c>
      <c r="AW290" s="1030">
        <f t="shared" si="29"/>
        <v>0</v>
      </c>
      <c r="AX290" s="1030">
        <f>INDEX(V290:AG290,1,MATCH(Parametres!$B$3,V$1:AG$1,0))*IF(OR(C290="L",C290="S",C290="I"),-1,1)</f>
        <v>0</v>
      </c>
      <c r="AY290" s="598" t="s">
        <v>337</v>
      </c>
      <c r="AZ290" s="598" t="e">
        <f>+VLOOKUP($AJ290,Data_Validation!$A:$E,5,0)</f>
        <v>#N/A</v>
      </c>
    </row>
    <row r="291" spans="1:52" ht="15.75" customHeight="1">
      <c r="A291" s="832" t="s">
        <v>1150</v>
      </c>
      <c r="B291" s="832">
        <v>2025</v>
      </c>
      <c r="C291" s="832" t="s">
        <v>1728</v>
      </c>
      <c r="D291" s="832" t="s">
        <v>1729</v>
      </c>
      <c r="E291" s="832" t="s">
        <v>333</v>
      </c>
      <c r="F291" s="832" t="s">
        <v>1119</v>
      </c>
      <c r="G291" s="832">
        <v>0</v>
      </c>
      <c r="H291" s="832">
        <v>0</v>
      </c>
      <c r="I291" s="832">
        <v>0</v>
      </c>
      <c r="J291" s="832">
        <v>0</v>
      </c>
      <c r="K291" s="832">
        <v>0</v>
      </c>
      <c r="L291" s="832">
        <v>0</v>
      </c>
      <c r="M291" s="832">
        <v>0</v>
      </c>
      <c r="N291" s="832">
        <v>0</v>
      </c>
      <c r="O291" s="832">
        <v>0</v>
      </c>
      <c r="P291" s="832">
        <v>0</v>
      </c>
      <c r="Q291" s="832">
        <v>0</v>
      </c>
      <c r="R291" s="832">
        <v>0</v>
      </c>
      <c r="S291" s="832">
        <v>0</v>
      </c>
      <c r="T291" s="832">
        <v>0</v>
      </c>
      <c r="U291" s="832">
        <v>0</v>
      </c>
      <c r="V291" s="832">
        <v>0</v>
      </c>
      <c r="W291" s="832">
        <v>0</v>
      </c>
      <c r="X291" s="832">
        <v>0</v>
      </c>
      <c r="Y291" s="832">
        <v>0</v>
      </c>
      <c r="Z291" s="832">
        <v>0</v>
      </c>
      <c r="AA291" s="832">
        <v>0</v>
      </c>
      <c r="AB291" s="832">
        <v>0</v>
      </c>
      <c r="AC291" s="832">
        <v>0</v>
      </c>
      <c r="AD291" s="832">
        <v>0</v>
      </c>
      <c r="AE291" s="832">
        <v>0</v>
      </c>
      <c r="AF291" s="832">
        <v>0</v>
      </c>
      <c r="AG291" s="832">
        <v>0</v>
      </c>
      <c r="AH291" s="832">
        <v>0</v>
      </c>
      <c r="AI291" s="832">
        <v>0</v>
      </c>
      <c r="AJ291" s="1030" t="str">
        <f t="shared" si="24"/>
        <v>H02864</v>
      </c>
      <c r="AK291" s="1030" t="str">
        <f t="shared" si="25"/>
        <v>DIS ASSURANCE BATIMENT</v>
      </c>
      <c r="AL291" s="1030">
        <f>IFERROR(INDEX(G291:R291,1,MATCH(Parametres!$B$3,G$1:R$1,0)-1)*IF(OR(F291="L",F291="S",F291="I"),-1,1),"")</f>
        <v>0</v>
      </c>
      <c r="AM291" s="1030">
        <f t="shared" si="26"/>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t="str">
        <f t="shared" si="27"/>
        <v>H02864</v>
      </c>
      <c r="AU291" s="599" t="str">
        <f t="shared" si="28"/>
        <v>DIS ASSURANCE BATIMENT</v>
      </c>
      <c r="AV291" s="1030">
        <f>IFERROR(INDEX(V291:AG291,1,MATCH(Parametres!$B$3,V$1:AG$1,0)-1)*IF(OR(C291="L",C291="S",C291="I"),-1,1),"")</f>
        <v>0</v>
      </c>
      <c r="AW291" s="1030">
        <f t="shared" si="29"/>
        <v>0</v>
      </c>
      <c r="AX291" s="1030">
        <f>INDEX(V291:AG291,1,MATCH(Parametres!$B$3,V$1:AG$1,0))*IF(OR(C291="L",C291="S",C291="I"),-1,1)</f>
        <v>0</v>
      </c>
      <c r="AY291" s="598" t="s">
        <v>337</v>
      </c>
      <c r="AZ291" s="598" t="e">
        <f>+VLOOKUP($AJ291,Data_Validation!$A:$E,5,0)</f>
        <v>#N/A</v>
      </c>
    </row>
    <row r="292" spans="1:52" ht="15" customHeight="1">
      <c r="A292" s="832" t="s">
        <v>1150</v>
      </c>
      <c r="B292" s="832">
        <v>2025</v>
      </c>
      <c r="C292" s="832" t="s">
        <v>1730</v>
      </c>
      <c r="D292" s="832" t="s">
        <v>1731</v>
      </c>
      <c r="E292" s="832" t="s">
        <v>333</v>
      </c>
      <c r="F292" s="832" t="s">
        <v>1119</v>
      </c>
      <c r="G292" s="832">
        <v>0</v>
      </c>
      <c r="H292" s="832">
        <v>0</v>
      </c>
      <c r="I292" s="832">
        <v>0</v>
      </c>
      <c r="J292" s="832">
        <v>0</v>
      </c>
      <c r="K292" s="832">
        <v>0</v>
      </c>
      <c r="L292" s="832">
        <v>0</v>
      </c>
      <c r="M292" s="832">
        <v>0</v>
      </c>
      <c r="N292" s="832">
        <v>0</v>
      </c>
      <c r="O292" s="832">
        <v>0</v>
      </c>
      <c r="P292" s="832">
        <v>0</v>
      </c>
      <c r="Q292" s="832">
        <v>0</v>
      </c>
      <c r="R292" s="832">
        <v>0</v>
      </c>
      <c r="S292" s="832">
        <v>0</v>
      </c>
      <c r="T292" s="832">
        <v>0</v>
      </c>
      <c r="U292" s="832">
        <v>0</v>
      </c>
      <c r="V292" s="832">
        <v>0</v>
      </c>
      <c r="W292" s="832">
        <v>0</v>
      </c>
      <c r="X292" s="832">
        <v>0</v>
      </c>
      <c r="Y292" s="832">
        <v>0</v>
      </c>
      <c r="Z292" s="832">
        <v>0</v>
      </c>
      <c r="AA292" s="832">
        <v>0</v>
      </c>
      <c r="AB292" s="832">
        <v>0</v>
      </c>
      <c r="AC292" s="832">
        <v>0</v>
      </c>
      <c r="AD292" s="832">
        <v>0</v>
      </c>
      <c r="AE292" s="832">
        <v>0</v>
      </c>
      <c r="AF292" s="832">
        <v>0</v>
      </c>
      <c r="AG292" s="832">
        <v>0</v>
      </c>
      <c r="AH292" s="832">
        <v>0</v>
      </c>
      <c r="AI292" s="832">
        <v>0</v>
      </c>
      <c r="AJ292" s="1030" t="str">
        <f t="shared" si="24"/>
        <v>H02865</v>
      </c>
      <c r="AK292" s="1030" t="str">
        <f t="shared" si="25"/>
        <v>DIS AMORT BATIMENT</v>
      </c>
      <c r="AL292" s="1030">
        <f>IFERROR(INDEX(G292:R292,1,MATCH(Parametres!$B$3,G$1:R$1,0)-1)*IF(OR(F292="L",F292="S",F292="I"),-1,1),"")</f>
        <v>0</v>
      </c>
      <c r="AM292" s="1030">
        <f t="shared" si="26"/>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t="str">
        <f t="shared" si="27"/>
        <v>H02865</v>
      </c>
      <c r="AU292" s="599" t="str">
        <f t="shared" si="28"/>
        <v>DIS AMORT BATIMENT</v>
      </c>
      <c r="AV292" s="1030">
        <f>IFERROR(INDEX(V292:AG292,1,MATCH(Parametres!$B$3,V$1:AG$1,0)-1)*IF(OR(C292="L",C292="S",C292="I"),-1,1),"")</f>
        <v>0</v>
      </c>
      <c r="AW292" s="1030">
        <f t="shared" si="29"/>
        <v>0</v>
      </c>
      <c r="AX292" s="1030">
        <f>INDEX(V292:AG292,1,MATCH(Parametres!$B$3,V$1:AG$1,0))*IF(OR(C292="L",C292="S",C292="I"),-1,1)</f>
        <v>0</v>
      </c>
      <c r="AY292" s="598" t="s">
        <v>337</v>
      </c>
      <c r="AZ292" s="598" t="e">
        <f>+VLOOKUP($AJ292,Data_Validation!$A:$E,5,0)</f>
        <v>#N/A</v>
      </c>
    </row>
    <row r="293" spans="1:52" ht="15" customHeight="1">
      <c r="A293" s="832" t="s">
        <v>1150</v>
      </c>
      <c r="B293" s="832">
        <v>2025</v>
      </c>
      <c r="C293" s="832" t="s">
        <v>1732</v>
      </c>
      <c r="D293" s="832" t="s">
        <v>1733</v>
      </c>
      <c r="E293" s="832" t="s">
        <v>333</v>
      </c>
      <c r="F293" s="832" t="s">
        <v>1119</v>
      </c>
      <c r="G293" s="832">
        <v>0</v>
      </c>
      <c r="H293" s="832">
        <v>0</v>
      </c>
      <c r="I293" s="832">
        <v>0</v>
      </c>
      <c r="J293" s="832">
        <v>0</v>
      </c>
      <c r="K293" s="832">
        <v>0</v>
      </c>
      <c r="L293" s="832">
        <v>0</v>
      </c>
      <c r="M293" s="832">
        <v>0</v>
      </c>
      <c r="N293" s="832">
        <v>0</v>
      </c>
      <c r="O293" s="832">
        <v>0</v>
      </c>
      <c r="P293" s="832">
        <v>0</v>
      </c>
      <c r="Q293" s="832">
        <v>0</v>
      </c>
      <c r="R293" s="832">
        <v>0</v>
      </c>
      <c r="S293" s="832">
        <v>0</v>
      </c>
      <c r="T293" s="832">
        <v>0</v>
      </c>
      <c r="U293" s="832">
        <v>0</v>
      </c>
      <c r="V293" s="832">
        <v>0</v>
      </c>
      <c r="W293" s="832">
        <v>0</v>
      </c>
      <c r="X293" s="832">
        <v>0</v>
      </c>
      <c r="Y293" s="832">
        <v>0</v>
      </c>
      <c r="Z293" s="832">
        <v>0</v>
      </c>
      <c r="AA293" s="832">
        <v>0</v>
      </c>
      <c r="AB293" s="832">
        <v>0</v>
      </c>
      <c r="AC293" s="832">
        <v>0</v>
      </c>
      <c r="AD293" s="832">
        <v>0</v>
      </c>
      <c r="AE293" s="832">
        <v>0</v>
      </c>
      <c r="AF293" s="832">
        <v>0</v>
      </c>
      <c r="AG293" s="832">
        <v>0</v>
      </c>
      <c r="AH293" s="832">
        <v>0</v>
      </c>
      <c r="AI293" s="832">
        <v>0</v>
      </c>
      <c r="AJ293" s="1030" t="str">
        <f t="shared" si="24"/>
        <v>H02868</v>
      </c>
      <c r="AK293" s="1030" t="str">
        <f t="shared" si="25"/>
        <v>DIS TAXES AFFAIRES&amp;AUTRES</v>
      </c>
      <c r="AL293" s="1030">
        <f>IFERROR(INDEX(G293:R293,1,MATCH(Parametres!$B$3,G$1:R$1,0)-1)*IF(OR(F293="L",F293="S",F293="I"),-1,1),"")</f>
        <v>0</v>
      </c>
      <c r="AM293" s="1030">
        <f t="shared" si="26"/>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t="str">
        <f t="shared" si="27"/>
        <v>H02868</v>
      </c>
      <c r="AU293" s="599" t="str">
        <f t="shared" si="28"/>
        <v>DIS TAXES AFFAIRES&amp;AUTRES</v>
      </c>
      <c r="AV293" s="1030">
        <f>IFERROR(INDEX(V293:AG293,1,MATCH(Parametres!$B$3,V$1:AG$1,0)-1)*IF(OR(C293="L",C293="S",C293="I"),-1,1),"")</f>
        <v>0</v>
      </c>
      <c r="AW293" s="1030">
        <f t="shared" si="29"/>
        <v>0</v>
      </c>
      <c r="AX293" s="1030">
        <f>INDEX(V293:AG293,1,MATCH(Parametres!$B$3,V$1:AG$1,0))*IF(OR(C293="L",C293="S",C293="I"),-1,1)</f>
        <v>0</v>
      </c>
      <c r="AY293" s="598" t="s">
        <v>337</v>
      </c>
      <c r="AZ293" s="598" t="e">
        <f>+VLOOKUP($AJ293,Data_Validation!$A:$E,5,0)</f>
        <v>#N/A</v>
      </c>
    </row>
    <row r="294" spans="1:52" ht="15" customHeight="1">
      <c r="A294" s="832" t="s">
        <v>1150</v>
      </c>
      <c r="B294" s="832">
        <v>2025</v>
      </c>
      <c r="C294" s="832" t="s">
        <v>1734</v>
      </c>
      <c r="D294" s="832" t="s">
        <v>1735</v>
      </c>
      <c r="E294" s="832" t="s">
        <v>333</v>
      </c>
      <c r="F294" s="832" t="s">
        <v>1119</v>
      </c>
      <c r="G294" s="832">
        <v>0</v>
      </c>
      <c r="H294" s="832">
        <v>0</v>
      </c>
      <c r="I294" s="832">
        <v>0</v>
      </c>
      <c r="J294" s="832">
        <v>0</v>
      </c>
      <c r="K294" s="832">
        <v>0</v>
      </c>
      <c r="L294" s="832">
        <v>0</v>
      </c>
      <c r="M294" s="832">
        <v>0</v>
      </c>
      <c r="N294" s="832">
        <v>0</v>
      </c>
      <c r="O294" s="832">
        <v>0</v>
      </c>
      <c r="P294" s="832">
        <v>0</v>
      </c>
      <c r="Q294" s="832">
        <v>0</v>
      </c>
      <c r="R294" s="832">
        <v>0</v>
      </c>
      <c r="S294" s="832">
        <v>0</v>
      </c>
      <c r="T294" s="832">
        <v>0</v>
      </c>
      <c r="U294" s="832">
        <v>0</v>
      </c>
      <c r="V294" s="832">
        <v>0</v>
      </c>
      <c r="W294" s="832">
        <v>0</v>
      </c>
      <c r="X294" s="832">
        <v>0</v>
      </c>
      <c r="Y294" s="832">
        <v>0</v>
      </c>
      <c r="Z294" s="832">
        <v>0</v>
      </c>
      <c r="AA294" s="832">
        <v>0</v>
      </c>
      <c r="AB294" s="832">
        <v>0</v>
      </c>
      <c r="AC294" s="832">
        <v>0</v>
      </c>
      <c r="AD294" s="832">
        <v>0</v>
      </c>
      <c r="AE294" s="832">
        <v>0</v>
      </c>
      <c r="AF294" s="832">
        <v>0</v>
      </c>
      <c r="AG294" s="832">
        <v>0</v>
      </c>
      <c r="AH294" s="832">
        <v>0</v>
      </c>
      <c r="AI294" s="832">
        <v>0</v>
      </c>
      <c r="AJ294" s="1030" t="str">
        <f t="shared" si="24"/>
        <v>H02869</v>
      </c>
      <c r="AK294" s="1030" t="str">
        <f t="shared" si="25"/>
        <v>DIS AMORT EQUIP &amp; INSTALL</v>
      </c>
      <c r="AL294" s="1030">
        <f>IFERROR(INDEX(G294:R294,1,MATCH(Parametres!$B$3,G$1:R$1,0)-1)*IF(OR(F294="L",F294="S",F294="I"),-1,1),"")</f>
        <v>0</v>
      </c>
      <c r="AM294" s="1030">
        <f t="shared" si="26"/>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t="str">
        <f t="shared" si="27"/>
        <v>H02869</v>
      </c>
      <c r="AU294" s="599" t="str">
        <f t="shared" si="28"/>
        <v>DIS AMORT EQUIP &amp; INSTALL</v>
      </c>
      <c r="AV294" s="1030">
        <f>IFERROR(INDEX(V294:AG294,1,MATCH(Parametres!$B$3,V$1:AG$1,0)-1)*IF(OR(C294="L",C294="S",C294="I"),-1,1),"")</f>
        <v>0</v>
      </c>
      <c r="AW294" s="1030">
        <f t="shared" si="29"/>
        <v>0</v>
      </c>
      <c r="AX294" s="1030">
        <f>INDEX(V294:AG294,1,MATCH(Parametres!$B$3,V$1:AG$1,0))*IF(OR(C294="L",C294="S",C294="I"),-1,1)</f>
        <v>0</v>
      </c>
      <c r="AY294" s="598" t="s">
        <v>337</v>
      </c>
      <c r="AZ294" s="598" t="e">
        <f>+VLOOKUP($AJ294,Data_Validation!$A:$E,5,0)</f>
        <v>#N/A</v>
      </c>
    </row>
    <row r="295" spans="1:52" ht="15" customHeight="1">
      <c r="A295" s="832" t="s">
        <v>1150</v>
      </c>
      <c r="B295" s="832">
        <v>2025</v>
      </c>
      <c r="C295" s="832" t="s">
        <v>1736</v>
      </c>
      <c r="D295" s="832" t="s">
        <v>1737</v>
      </c>
      <c r="E295" s="832" t="s">
        <v>333</v>
      </c>
      <c r="F295" s="832" t="s">
        <v>1119</v>
      </c>
      <c r="G295" s="832">
        <v>0</v>
      </c>
      <c r="H295" s="832">
        <v>0</v>
      </c>
      <c r="I295" s="832">
        <v>0</v>
      </c>
      <c r="J295" s="832">
        <v>0</v>
      </c>
      <c r="K295" s="832">
        <v>0</v>
      </c>
      <c r="L295" s="832">
        <v>0</v>
      </c>
      <c r="M295" s="832">
        <v>0</v>
      </c>
      <c r="N295" s="832">
        <v>0</v>
      </c>
      <c r="O295" s="832">
        <v>0</v>
      </c>
      <c r="P295" s="832">
        <v>0</v>
      </c>
      <c r="Q295" s="832">
        <v>0</v>
      </c>
      <c r="R295" s="832">
        <v>0</v>
      </c>
      <c r="S295" s="832">
        <v>0</v>
      </c>
      <c r="T295" s="832">
        <v>0</v>
      </c>
      <c r="U295" s="832">
        <v>0</v>
      </c>
      <c r="V295" s="832">
        <v>0</v>
      </c>
      <c r="W295" s="832">
        <v>0</v>
      </c>
      <c r="X295" s="832">
        <v>0</v>
      </c>
      <c r="Y295" s="832">
        <v>0</v>
      </c>
      <c r="Z295" s="832">
        <v>0</v>
      </c>
      <c r="AA295" s="832">
        <v>0</v>
      </c>
      <c r="AB295" s="832">
        <v>0</v>
      </c>
      <c r="AC295" s="832">
        <v>0</v>
      </c>
      <c r="AD295" s="832">
        <v>0</v>
      </c>
      <c r="AE295" s="832">
        <v>0</v>
      </c>
      <c r="AF295" s="832">
        <v>0</v>
      </c>
      <c r="AG295" s="832">
        <v>0</v>
      </c>
      <c r="AH295" s="832">
        <v>0</v>
      </c>
      <c r="AI295" s="832">
        <v>0</v>
      </c>
      <c r="AJ295" s="1030" t="str">
        <f t="shared" si="24"/>
        <v>H02870</v>
      </c>
      <c r="AK295" s="1030" t="str">
        <f t="shared" si="25"/>
        <v>DIS ASSURANCE GENERALE</v>
      </c>
      <c r="AL295" s="1030">
        <f>IFERROR(INDEX(G295:R295,1,MATCH(Parametres!$B$3,G$1:R$1,0)-1)*IF(OR(F295="L",F295="S",F295="I"),-1,1),"")</f>
        <v>0</v>
      </c>
      <c r="AM295" s="1030">
        <f t="shared" si="26"/>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t="str">
        <f t="shared" si="27"/>
        <v>H02870</v>
      </c>
      <c r="AU295" s="599" t="str">
        <f t="shared" si="28"/>
        <v>DIS ASSURANCE GENERALE</v>
      </c>
      <c r="AV295" s="1030">
        <f>IFERROR(INDEX(V295:AG295,1,MATCH(Parametres!$B$3,V$1:AG$1,0)-1)*IF(OR(C295="L",C295="S",C295="I"),-1,1),"")</f>
        <v>0</v>
      </c>
      <c r="AW295" s="1030">
        <f t="shared" si="29"/>
        <v>0</v>
      </c>
      <c r="AX295" s="1030">
        <f>INDEX(V295:AG295,1,MATCH(Parametres!$B$3,V$1:AG$1,0))*IF(OR(C295="L",C295="S",C295="I"),-1,1)</f>
        <v>0</v>
      </c>
      <c r="AY295" s="598" t="s">
        <v>337</v>
      </c>
      <c r="AZ295" s="598" t="e">
        <f>+VLOOKUP($AJ295,Data_Validation!$A:$E,5,0)</f>
        <v>#N/A</v>
      </c>
    </row>
    <row r="296" spans="1:52" ht="15" customHeight="1">
      <c r="A296" s="832" t="s">
        <v>1150</v>
      </c>
      <c r="B296" s="832">
        <v>2025</v>
      </c>
      <c r="C296" s="832" t="s">
        <v>1738</v>
      </c>
      <c r="D296" s="832" t="s">
        <v>1739</v>
      </c>
      <c r="E296" s="832" t="s">
        <v>333</v>
      </c>
      <c r="F296" s="832" t="s">
        <v>1119</v>
      </c>
      <c r="G296" s="832">
        <v>0</v>
      </c>
      <c r="H296" s="832">
        <v>0</v>
      </c>
      <c r="I296" s="832">
        <v>0</v>
      </c>
      <c r="J296" s="832">
        <v>0</v>
      </c>
      <c r="K296" s="832">
        <v>0</v>
      </c>
      <c r="L296" s="832">
        <v>0</v>
      </c>
      <c r="M296" s="832">
        <v>0</v>
      </c>
      <c r="N296" s="832">
        <v>0</v>
      </c>
      <c r="O296" s="832">
        <v>0</v>
      </c>
      <c r="P296" s="832">
        <v>0</v>
      </c>
      <c r="Q296" s="832">
        <v>0</v>
      </c>
      <c r="R296" s="832">
        <v>0</v>
      </c>
      <c r="S296" s="832">
        <v>0</v>
      </c>
      <c r="T296" s="832">
        <v>0</v>
      </c>
      <c r="U296" s="832">
        <v>0</v>
      </c>
      <c r="V296" s="832">
        <v>0</v>
      </c>
      <c r="W296" s="832">
        <v>0</v>
      </c>
      <c r="X296" s="832">
        <v>0</v>
      </c>
      <c r="Y296" s="832">
        <v>0</v>
      </c>
      <c r="Z296" s="832">
        <v>0</v>
      </c>
      <c r="AA296" s="832">
        <v>0</v>
      </c>
      <c r="AB296" s="832">
        <v>0</v>
      </c>
      <c r="AC296" s="832">
        <v>0</v>
      </c>
      <c r="AD296" s="832">
        <v>0</v>
      </c>
      <c r="AE296" s="832">
        <v>0</v>
      </c>
      <c r="AF296" s="832">
        <v>0</v>
      </c>
      <c r="AG296" s="832">
        <v>0</v>
      </c>
      <c r="AH296" s="832">
        <v>0</v>
      </c>
      <c r="AI296" s="832">
        <v>0</v>
      </c>
      <c r="AJ296" s="1030" t="str">
        <f t="shared" si="24"/>
        <v>H02874</v>
      </c>
      <c r="AK296" s="1030" t="str">
        <f t="shared" si="25"/>
        <v>DIS EAU/ELECT/CHAUFFAGE</v>
      </c>
      <c r="AL296" s="1030">
        <f>IFERROR(INDEX(G296:R296,1,MATCH(Parametres!$B$3,G$1:R$1,0)-1)*IF(OR(F296="L",F296="S",F296="I"),-1,1),"")</f>
        <v>0</v>
      </c>
      <c r="AM296" s="1030">
        <f t="shared" si="26"/>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t="str">
        <f t="shared" si="27"/>
        <v>H02874</v>
      </c>
      <c r="AU296" s="599" t="str">
        <f t="shared" si="28"/>
        <v>DIS EAU/ELECT/CHAUFFAGE</v>
      </c>
      <c r="AV296" s="1030">
        <f>IFERROR(INDEX(V296:AG296,1,MATCH(Parametres!$B$3,V$1:AG$1,0)-1)*IF(OR(C296="L",C296="S",C296="I"),-1,1),"")</f>
        <v>0</v>
      </c>
      <c r="AW296" s="1030">
        <f t="shared" si="29"/>
        <v>0</v>
      </c>
      <c r="AX296" s="1030">
        <f>INDEX(V296:AG296,1,MATCH(Parametres!$B$3,V$1:AG$1,0))*IF(OR(C296="L",C296="S",C296="I"),-1,1)</f>
        <v>0</v>
      </c>
      <c r="AY296" s="598" t="s">
        <v>337</v>
      </c>
      <c r="AZ296" s="598" t="e">
        <f>+VLOOKUP($AJ296,Data_Validation!$A:$E,5,0)</f>
        <v>#N/A</v>
      </c>
    </row>
    <row r="297" spans="1:52" ht="15.75" customHeight="1">
      <c r="A297" s="832" t="s">
        <v>1150</v>
      </c>
      <c r="B297" s="832">
        <v>2025</v>
      </c>
      <c r="C297" s="832" t="s">
        <v>1740</v>
      </c>
      <c r="D297" s="832" t="s">
        <v>1741</v>
      </c>
      <c r="E297" s="832" t="s">
        <v>333</v>
      </c>
      <c r="F297" s="832" t="s">
        <v>1119</v>
      </c>
      <c r="G297" s="832">
        <v>0</v>
      </c>
      <c r="H297" s="832">
        <v>0</v>
      </c>
      <c r="I297" s="832">
        <v>0</v>
      </c>
      <c r="J297" s="832">
        <v>0</v>
      </c>
      <c r="K297" s="832">
        <v>0</v>
      </c>
      <c r="L297" s="832">
        <v>0</v>
      </c>
      <c r="M297" s="832">
        <v>0</v>
      </c>
      <c r="N297" s="832">
        <v>0</v>
      </c>
      <c r="O297" s="832">
        <v>0</v>
      </c>
      <c r="P297" s="832">
        <v>0</v>
      </c>
      <c r="Q297" s="832">
        <v>0</v>
      </c>
      <c r="R297" s="832">
        <v>0</v>
      </c>
      <c r="S297" s="832">
        <v>0</v>
      </c>
      <c r="T297" s="832">
        <v>0</v>
      </c>
      <c r="U297" s="832">
        <v>0</v>
      </c>
      <c r="V297" s="832">
        <v>0</v>
      </c>
      <c r="W297" s="832">
        <v>0</v>
      </c>
      <c r="X297" s="832">
        <v>0</v>
      </c>
      <c r="Y297" s="832">
        <v>0</v>
      </c>
      <c r="Z297" s="832">
        <v>0</v>
      </c>
      <c r="AA297" s="832">
        <v>0</v>
      </c>
      <c r="AB297" s="832">
        <v>0</v>
      </c>
      <c r="AC297" s="832">
        <v>0</v>
      </c>
      <c r="AD297" s="832">
        <v>0</v>
      </c>
      <c r="AE297" s="832">
        <v>0</v>
      </c>
      <c r="AF297" s="832">
        <v>0</v>
      </c>
      <c r="AG297" s="832">
        <v>0</v>
      </c>
      <c r="AH297" s="832">
        <v>0</v>
      </c>
      <c r="AI297" s="832">
        <v>0</v>
      </c>
      <c r="AJ297" s="1030" t="str">
        <f t="shared" si="24"/>
        <v>H02876</v>
      </c>
      <c r="AK297" s="1030" t="str">
        <f t="shared" si="25"/>
        <v>DIS VERIF. COMPTABLE</v>
      </c>
      <c r="AL297" s="1030">
        <f>IFERROR(INDEX(G297:R297,1,MATCH(Parametres!$B$3,G$1:R$1,0)-1)*IF(OR(F297="L",F297="S",F297="I"),-1,1),"")</f>
        <v>0</v>
      </c>
      <c r="AM297" s="1030">
        <f t="shared" si="26"/>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t="str">
        <f t="shared" si="27"/>
        <v>H02876</v>
      </c>
      <c r="AU297" s="599" t="str">
        <f t="shared" si="28"/>
        <v>DIS VERIF. COMPTABLE</v>
      </c>
      <c r="AV297" s="1030">
        <f>IFERROR(INDEX(V297:AG297,1,MATCH(Parametres!$B$3,V$1:AG$1,0)-1)*IF(OR(C297="L",C297="S",C297="I"),-1,1),"")</f>
        <v>0</v>
      </c>
      <c r="AW297" s="1030">
        <f t="shared" si="29"/>
        <v>0</v>
      </c>
      <c r="AX297" s="1030">
        <f>INDEX(V297:AG297,1,MATCH(Parametres!$B$3,V$1:AG$1,0))*IF(OR(C297="L",C297="S",C297="I"),-1,1)</f>
        <v>0</v>
      </c>
      <c r="AY297" s="598" t="s">
        <v>337</v>
      </c>
      <c r="AZ297" s="598" t="e">
        <f>+VLOOKUP($AJ297,Data_Validation!$A:$E,5,0)</f>
        <v>#N/A</v>
      </c>
    </row>
    <row r="298" spans="1:52" ht="15" customHeight="1">
      <c r="A298" s="832" t="s">
        <v>1150</v>
      </c>
      <c r="B298" s="832">
        <v>2025</v>
      </c>
      <c r="C298" s="832" t="s">
        <v>1742</v>
      </c>
      <c r="D298" s="832" t="s">
        <v>1743</v>
      </c>
      <c r="E298" s="832" t="s">
        <v>333</v>
      </c>
      <c r="F298" s="832" t="s">
        <v>1119</v>
      </c>
      <c r="G298" s="832">
        <v>0</v>
      </c>
      <c r="H298" s="832">
        <v>0</v>
      </c>
      <c r="I298" s="832">
        <v>0</v>
      </c>
      <c r="J298" s="832">
        <v>0</v>
      </c>
      <c r="K298" s="832">
        <v>0</v>
      </c>
      <c r="L298" s="832">
        <v>0</v>
      </c>
      <c r="M298" s="832">
        <v>0</v>
      </c>
      <c r="N298" s="832">
        <v>0</v>
      </c>
      <c r="O298" s="832">
        <v>0</v>
      </c>
      <c r="P298" s="832">
        <v>0</v>
      </c>
      <c r="Q298" s="832">
        <v>0</v>
      </c>
      <c r="R298" s="832">
        <v>0</v>
      </c>
      <c r="S298" s="832">
        <v>0</v>
      </c>
      <c r="T298" s="832">
        <v>0</v>
      </c>
      <c r="U298" s="832">
        <v>0</v>
      </c>
      <c r="V298" s="832">
        <v>0</v>
      </c>
      <c r="W298" s="832">
        <v>0</v>
      </c>
      <c r="X298" s="832">
        <v>0</v>
      </c>
      <c r="Y298" s="832">
        <v>0</v>
      </c>
      <c r="Z298" s="832">
        <v>0</v>
      </c>
      <c r="AA298" s="832">
        <v>0</v>
      </c>
      <c r="AB298" s="832">
        <v>0</v>
      </c>
      <c r="AC298" s="832">
        <v>0</v>
      </c>
      <c r="AD298" s="832">
        <v>0</v>
      </c>
      <c r="AE298" s="832">
        <v>0</v>
      </c>
      <c r="AF298" s="832">
        <v>0</v>
      </c>
      <c r="AG298" s="832">
        <v>0</v>
      </c>
      <c r="AH298" s="832">
        <v>0</v>
      </c>
      <c r="AI298" s="832">
        <v>0</v>
      </c>
      <c r="AJ298" s="1030" t="str">
        <f t="shared" si="24"/>
        <v>H02877</v>
      </c>
      <c r="AK298" s="1030" t="str">
        <f t="shared" si="25"/>
        <v>DIS COTISATIONS SOUSCRIP.</v>
      </c>
      <c r="AL298" s="1030">
        <f>IFERROR(INDEX(G298:R298,1,MATCH(Parametres!$B$3,G$1:R$1,0)-1)*IF(OR(F298="L",F298="S",F298="I"),-1,1),"")</f>
        <v>0</v>
      </c>
      <c r="AM298" s="1030">
        <f t="shared" si="26"/>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t="str">
        <f t="shared" si="27"/>
        <v>H02877</v>
      </c>
      <c r="AU298" s="599" t="str">
        <f t="shared" si="28"/>
        <v>DIS COTISATIONS SOUSCRIP.</v>
      </c>
      <c r="AV298" s="1030">
        <f>IFERROR(INDEX(V298:AG298,1,MATCH(Parametres!$B$3,V$1:AG$1,0)-1)*IF(OR(C298="L",C298="S",C298="I"),-1,1),"")</f>
        <v>0</v>
      </c>
      <c r="AW298" s="1030">
        <f t="shared" si="29"/>
        <v>0</v>
      </c>
      <c r="AX298" s="1030">
        <f>INDEX(V298:AG298,1,MATCH(Parametres!$B$3,V$1:AG$1,0))*IF(OR(C298="L",C298="S",C298="I"),-1,1)</f>
        <v>0</v>
      </c>
      <c r="AY298" s="598" t="s">
        <v>337</v>
      </c>
      <c r="AZ298" s="598" t="e">
        <f>+VLOOKUP($AJ298,Data_Validation!$A:$E,5,0)</f>
        <v>#N/A</v>
      </c>
    </row>
    <row r="299" spans="1:52" ht="15" customHeight="1">
      <c r="A299" s="832" t="s">
        <v>1150</v>
      </c>
      <c r="B299" s="832">
        <v>2025</v>
      </c>
      <c r="C299" s="832" t="s">
        <v>1744</v>
      </c>
      <c r="D299" s="832" t="s">
        <v>1745</v>
      </c>
      <c r="E299" s="832" t="s">
        <v>333</v>
      </c>
      <c r="F299" s="832" t="s">
        <v>1119</v>
      </c>
      <c r="G299" s="832">
        <v>0</v>
      </c>
      <c r="H299" s="832">
        <v>0</v>
      </c>
      <c r="I299" s="832">
        <v>0</v>
      </c>
      <c r="J299" s="832">
        <v>0</v>
      </c>
      <c r="K299" s="832">
        <v>0</v>
      </c>
      <c r="L299" s="832">
        <v>0</v>
      </c>
      <c r="M299" s="832">
        <v>0</v>
      </c>
      <c r="N299" s="832">
        <v>0</v>
      </c>
      <c r="O299" s="832">
        <v>0</v>
      </c>
      <c r="P299" s="832">
        <v>0</v>
      </c>
      <c r="Q299" s="832">
        <v>0</v>
      </c>
      <c r="R299" s="832">
        <v>0</v>
      </c>
      <c r="S299" s="832">
        <v>0</v>
      </c>
      <c r="T299" s="832">
        <v>0</v>
      </c>
      <c r="U299" s="832">
        <v>0</v>
      </c>
      <c r="V299" s="832">
        <v>0</v>
      </c>
      <c r="W299" s="832">
        <v>0</v>
      </c>
      <c r="X299" s="832">
        <v>0</v>
      </c>
      <c r="Y299" s="832">
        <v>0</v>
      </c>
      <c r="Z299" s="832">
        <v>0</v>
      </c>
      <c r="AA299" s="832">
        <v>0</v>
      </c>
      <c r="AB299" s="832">
        <v>0</v>
      </c>
      <c r="AC299" s="832">
        <v>0</v>
      </c>
      <c r="AD299" s="832">
        <v>0</v>
      </c>
      <c r="AE299" s="832">
        <v>0</v>
      </c>
      <c r="AF299" s="832">
        <v>0</v>
      </c>
      <c r="AG299" s="832">
        <v>0</v>
      </c>
      <c r="AH299" s="832">
        <v>0</v>
      </c>
      <c r="AI299" s="832">
        <v>0</v>
      </c>
      <c r="AJ299" s="1030" t="str">
        <f t="shared" si="24"/>
        <v>H02879</v>
      </c>
      <c r="AK299" s="1030" t="str">
        <f t="shared" si="25"/>
        <v>DIS DONATIONS</v>
      </c>
      <c r="AL299" s="1030">
        <f>IFERROR(INDEX(G299:R299,1,MATCH(Parametres!$B$3,G$1:R$1,0)-1)*IF(OR(F299="L",F299="S",F299="I"),-1,1),"")</f>
        <v>0</v>
      </c>
      <c r="AM299" s="1030">
        <f t="shared" si="26"/>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t="str">
        <f t="shared" si="27"/>
        <v>H02879</v>
      </c>
      <c r="AU299" s="599" t="str">
        <f t="shared" si="28"/>
        <v>DIS DONATIONS</v>
      </c>
      <c r="AV299" s="1030">
        <f>IFERROR(INDEX(V299:AG299,1,MATCH(Parametres!$B$3,V$1:AG$1,0)-1)*IF(OR(C299="L",C299="S",C299="I"),-1,1),"")</f>
        <v>0</v>
      </c>
      <c r="AW299" s="1030">
        <f t="shared" si="29"/>
        <v>0</v>
      </c>
      <c r="AX299" s="1030">
        <f>INDEX(V299:AG299,1,MATCH(Parametres!$B$3,V$1:AG$1,0))*IF(OR(C299="L",C299="S",C299="I"),-1,1)</f>
        <v>0</v>
      </c>
      <c r="AY299" s="598" t="s">
        <v>337</v>
      </c>
      <c r="AZ299" s="598" t="e">
        <f>+VLOOKUP($AJ299,Data_Validation!$A:$E,5,0)</f>
        <v>#N/A</v>
      </c>
    </row>
    <row r="300" spans="1:52" ht="15" customHeight="1">
      <c r="A300" s="832" t="s">
        <v>1150</v>
      </c>
      <c r="B300" s="832">
        <v>2025</v>
      </c>
      <c r="C300" s="832" t="s">
        <v>1746</v>
      </c>
      <c r="D300" s="832" t="s">
        <v>1747</v>
      </c>
      <c r="E300" s="832" t="s">
        <v>333</v>
      </c>
      <c r="F300" s="832" t="s">
        <v>1119</v>
      </c>
      <c r="G300" s="832">
        <v>0</v>
      </c>
      <c r="H300" s="832">
        <v>0</v>
      </c>
      <c r="I300" s="832">
        <v>0</v>
      </c>
      <c r="J300" s="832">
        <v>0</v>
      </c>
      <c r="K300" s="832">
        <v>0</v>
      </c>
      <c r="L300" s="832">
        <v>0</v>
      </c>
      <c r="M300" s="832">
        <v>0</v>
      </c>
      <c r="N300" s="832">
        <v>0</v>
      </c>
      <c r="O300" s="832">
        <v>0</v>
      </c>
      <c r="P300" s="832">
        <v>0</v>
      </c>
      <c r="Q300" s="832">
        <v>0</v>
      </c>
      <c r="R300" s="832">
        <v>0</v>
      </c>
      <c r="S300" s="832">
        <v>0</v>
      </c>
      <c r="T300" s="832">
        <v>0</v>
      </c>
      <c r="U300" s="832">
        <v>0</v>
      </c>
      <c r="V300" s="832">
        <v>0</v>
      </c>
      <c r="W300" s="832">
        <v>0</v>
      </c>
      <c r="X300" s="832">
        <v>0</v>
      </c>
      <c r="Y300" s="832">
        <v>0</v>
      </c>
      <c r="Z300" s="832">
        <v>0</v>
      </c>
      <c r="AA300" s="832">
        <v>0</v>
      </c>
      <c r="AB300" s="832">
        <v>0</v>
      </c>
      <c r="AC300" s="832">
        <v>0</v>
      </c>
      <c r="AD300" s="832">
        <v>0</v>
      </c>
      <c r="AE300" s="832">
        <v>0</v>
      </c>
      <c r="AF300" s="832">
        <v>0</v>
      </c>
      <c r="AG300" s="832">
        <v>0</v>
      </c>
      <c r="AH300" s="832">
        <v>0</v>
      </c>
      <c r="AI300" s="832">
        <v>0</v>
      </c>
      <c r="AJ300" s="1030" t="str">
        <f t="shared" si="24"/>
        <v>H02880</v>
      </c>
      <c r="AK300" s="1030" t="str">
        <f t="shared" si="25"/>
        <v>DIS-IMM &amp; PERMIS/CIE SEUL</v>
      </c>
      <c r="AL300" s="1030">
        <f>IFERROR(INDEX(G300:R300,1,MATCH(Parametres!$B$3,G$1:R$1,0)-1)*IF(OR(F300="L",F300="S",F300="I"),-1,1),"")</f>
        <v>0</v>
      </c>
      <c r="AM300" s="1030">
        <f t="shared" si="26"/>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t="str">
        <f t="shared" si="27"/>
        <v>H02880</v>
      </c>
      <c r="AU300" s="599" t="str">
        <f t="shared" si="28"/>
        <v>DIS-IMM &amp; PERMIS/CIE SEUL</v>
      </c>
      <c r="AV300" s="1030">
        <f>IFERROR(INDEX(V300:AG300,1,MATCH(Parametres!$B$3,V$1:AG$1,0)-1)*IF(OR(C300="L",C300="S",C300="I"),-1,1),"")</f>
        <v>0</v>
      </c>
      <c r="AW300" s="1030">
        <f t="shared" si="29"/>
        <v>0</v>
      </c>
      <c r="AX300" s="1030">
        <f>INDEX(V300:AG300,1,MATCH(Parametres!$B$3,V$1:AG$1,0))*IF(OR(C300="L",C300="S",C300="I"),-1,1)</f>
        <v>0</v>
      </c>
      <c r="AY300" s="598" t="s">
        <v>337</v>
      </c>
      <c r="AZ300" s="598" t="e">
        <f>+VLOOKUP($AJ300,Data_Validation!$A:$E,5,0)</f>
        <v>#N/A</v>
      </c>
    </row>
    <row r="301" spans="1:52" ht="15.75" customHeight="1">
      <c r="A301" s="832" t="s">
        <v>1150</v>
      </c>
      <c r="B301" s="832">
        <v>2025</v>
      </c>
      <c r="C301" s="832" t="s">
        <v>1748</v>
      </c>
      <c r="D301" s="832" t="s">
        <v>1152</v>
      </c>
      <c r="E301" s="832" t="s">
        <v>333</v>
      </c>
      <c r="F301" s="832" t="s">
        <v>1119</v>
      </c>
      <c r="G301" s="832">
        <v>0</v>
      </c>
      <c r="H301" s="832">
        <v>0</v>
      </c>
      <c r="I301" s="832">
        <v>0</v>
      </c>
      <c r="J301" s="832">
        <v>0</v>
      </c>
      <c r="K301" s="832">
        <v>0</v>
      </c>
      <c r="L301" s="832">
        <v>0</v>
      </c>
      <c r="M301" s="832">
        <v>0</v>
      </c>
      <c r="N301" s="832">
        <v>0</v>
      </c>
      <c r="O301" s="832">
        <v>0</v>
      </c>
      <c r="P301" s="832">
        <v>0</v>
      </c>
      <c r="Q301" s="832">
        <v>0</v>
      </c>
      <c r="R301" s="832">
        <v>0</v>
      </c>
      <c r="S301" s="832">
        <v>0</v>
      </c>
      <c r="T301" s="832">
        <v>0</v>
      </c>
      <c r="U301" s="832">
        <v>0</v>
      </c>
      <c r="V301" s="832">
        <v>0</v>
      </c>
      <c r="W301" s="832">
        <v>0</v>
      </c>
      <c r="X301" s="832">
        <v>0</v>
      </c>
      <c r="Y301" s="832">
        <v>0</v>
      </c>
      <c r="Z301" s="832">
        <v>0</v>
      </c>
      <c r="AA301" s="832">
        <v>0</v>
      </c>
      <c r="AB301" s="832">
        <v>0</v>
      </c>
      <c r="AC301" s="832">
        <v>0</v>
      </c>
      <c r="AD301" s="832">
        <v>0</v>
      </c>
      <c r="AE301" s="832">
        <v>0</v>
      </c>
      <c r="AF301" s="832">
        <v>0</v>
      </c>
      <c r="AG301" s="832">
        <v>0</v>
      </c>
      <c r="AH301" s="832">
        <v>0</v>
      </c>
      <c r="AI301" s="832">
        <v>0</v>
      </c>
      <c r="AJ301" s="1030" t="str">
        <f t="shared" si="24"/>
        <v>H02881</v>
      </c>
      <c r="AK301" s="1030" t="str">
        <f t="shared" si="25"/>
        <v>FRAIS DE GESTION</v>
      </c>
      <c r="AL301" s="1030">
        <f>IFERROR(INDEX(G301:R301,1,MATCH(Parametres!$B$3,G$1:R$1,0)-1)*IF(OR(F301="L",F301="S",F301="I"),-1,1),"")</f>
        <v>0</v>
      </c>
      <c r="AM301" s="1030">
        <f t="shared" si="26"/>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t="str">
        <f t="shared" si="27"/>
        <v>H02881</v>
      </c>
      <c r="AU301" s="599" t="str">
        <f t="shared" si="28"/>
        <v>FRAIS DE GESTION</v>
      </c>
      <c r="AV301" s="1030">
        <f>IFERROR(INDEX(V301:AG301,1,MATCH(Parametres!$B$3,V$1:AG$1,0)-1)*IF(OR(C301="L",C301="S",C301="I"),-1,1),"")</f>
        <v>0</v>
      </c>
      <c r="AW301" s="1030">
        <f t="shared" si="29"/>
        <v>0</v>
      </c>
      <c r="AX301" s="1030">
        <f>INDEX(V301:AG301,1,MATCH(Parametres!$B$3,V$1:AG$1,0))*IF(OR(C301="L",C301="S",C301="I"),-1,1)</f>
        <v>0</v>
      </c>
      <c r="AY301" s="598" t="s">
        <v>337</v>
      </c>
      <c r="AZ301" s="598" t="e">
        <f>+VLOOKUP($AJ301,Data_Validation!$A:$E,5,0)</f>
        <v>#N/A</v>
      </c>
    </row>
    <row r="302" spans="1:52" ht="15" customHeight="1">
      <c r="A302" s="832" t="s">
        <v>1150</v>
      </c>
      <c r="B302" s="832">
        <v>2025</v>
      </c>
      <c r="C302" s="832" t="s">
        <v>1749</v>
      </c>
      <c r="D302" s="832" t="s">
        <v>1750</v>
      </c>
      <c r="E302" s="832" t="s">
        <v>333</v>
      </c>
      <c r="F302" s="832" t="s">
        <v>1119</v>
      </c>
      <c r="G302" s="832">
        <v>0</v>
      </c>
      <c r="H302" s="832">
        <v>0</v>
      </c>
      <c r="I302" s="832">
        <v>0</v>
      </c>
      <c r="J302" s="832">
        <v>0</v>
      </c>
      <c r="K302" s="832">
        <v>0</v>
      </c>
      <c r="L302" s="832">
        <v>0</v>
      </c>
      <c r="M302" s="832">
        <v>0</v>
      </c>
      <c r="N302" s="832">
        <v>0</v>
      </c>
      <c r="O302" s="832">
        <v>0</v>
      </c>
      <c r="P302" s="832">
        <v>0</v>
      </c>
      <c r="Q302" s="832">
        <v>0</v>
      </c>
      <c r="R302" s="832">
        <v>0</v>
      </c>
      <c r="S302" s="832">
        <v>0</v>
      </c>
      <c r="T302" s="832">
        <v>0</v>
      </c>
      <c r="U302" s="832">
        <v>0</v>
      </c>
      <c r="V302" s="832">
        <v>0</v>
      </c>
      <c r="W302" s="832">
        <v>0</v>
      </c>
      <c r="X302" s="832">
        <v>0</v>
      </c>
      <c r="Y302" s="832">
        <v>0</v>
      </c>
      <c r="Z302" s="832">
        <v>0</v>
      </c>
      <c r="AA302" s="832">
        <v>0</v>
      </c>
      <c r="AB302" s="832">
        <v>0</v>
      </c>
      <c r="AC302" s="832">
        <v>0</v>
      </c>
      <c r="AD302" s="832">
        <v>0</v>
      </c>
      <c r="AE302" s="832">
        <v>0</v>
      </c>
      <c r="AF302" s="832">
        <v>0</v>
      </c>
      <c r="AG302" s="832">
        <v>0</v>
      </c>
      <c r="AH302" s="832">
        <v>0</v>
      </c>
      <c r="AI302" s="832">
        <v>0</v>
      </c>
      <c r="AJ302" s="1030" t="str">
        <f t="shared" si="24"/>
        <v>H02921</v>
      </c>
      <c r="AK302" s="1030" t="str">
        <f t="shared" si="25"/>
        <v>ADMIN SALAIRES AUTRES</v>
      </c>
      <c r="AL302" s="1030">
        <f>IFERROR(INDEX(G302:R302,1,MATCH(Parametres!$B$3,G$1:R$1,0)-1)*IF(OR(F302="L",F302="S",F302="I"),-1,1),"")</f>
        <v>0</v>
      </c>
      <c r="AM302" s="1030">
        <f t="shared" si="26"/>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t="str">
        <f t="shared" si="27"/>
        <v>H02921</v>
      </c>
      <c r="AU302" s="599" t="str">
        <f t="shared" si="28"/>
        <v>ADMIN SALAIRES AUTRES</v>
      </c>
      <c r="AV302" s="1030">
        <f>IFERROR(INDEX(V302:AG302,1,MATCH(Parametres!$B$3,V$1:AG$1,0)-1)*IF(OR(C302="L",C302="S",C302="I"),-1,1),"")</f>
        <v>0</v>
      </c>
      <c r="AW302" s="1030">
        <f t="shared" si="29"/>
        <v>0</v>
      </c>
      <c r="AX302" s="1030">
        <f>INDEX(V302:AG302,1,MATCH(Parametres!$B$3,V$1:AG$1,0))*IF(OR(C302="L",C302="S",C302="I"),-1,1)</f>
        <v>0</v>
      </c>
      <c r="AY302" s="598" t="s">
        <v>337</v>
      </c>
      <c r="AZ302" s="598" t="e">
        <f>+VLOOKUP($AJ302,Data_Validation!$A:$E,5,0)</f>
        <v>#N/A</v>
      </c>
    </row>
    <row r="303" spans="1:52" ht="15" customHeight="1">
      <c r="A303" s="832" t="s">
        <v>1150</v>
      </c>
      <c r="B303" s="832">
        <v>2025</v>
      </c>
      <c r="C303" s="832" t="s">
        <v>1751</v>
      </c>
      <c r="D303" s="832" t="s">
        <v>1752</v>
      </c>
      <c r="E303" s="832" t="s">
        <v>333</v>
      </c>
      <c r="F303" s="832" t="s">
        <v>1119</v>
      </c>
      <c r="G303" s="832">
        <v>0</v>
      </c>
      <c r="H303" s="832">
        <v>0</v>
      </c>
      <c r="I303" s="832">
        <v>0</v>
      </c>
      <c r="J303" s="832">
        <v>0</v>
      </c>
      <c r="K303" s="832">
        <v>0</v>
      </c>
      <c r="L303" s="832">
        <v>0</v>
      </c>
      <c r="M303" s="832">
        <v>0</v>
      </c>
      <c r="N303" s="832">
        <v>0</v>
      </c>
      <c r="O303" s="832">
        <v>0</v>
      </c>
      <c r="P303" s="832">
        <v>0</v>
      </c>
      <c r="Q303" s="832">
        <v>0</v>
      </c>
      <c r="R303" s="832">
        <v>0</v>
      </c>
      <c r="S303" s="832">
        <v>0</v>
      </c>
      <c r="T303" s="832">
        <v>0</v>
      </c>
      <c r="U303" s="832">
        <v>0</v>
      </c>
      <c r="V303" s="832">
        <v>0</v>
      </c>
      <c r="W303" s="832">
        <v>0</v>
      </c>
      <c r="X303" s="832">
        <v>0</v>
      </c>
      <c r="Y303" s="832">
        <v>0</v>
      </c>
      <c r="Z303" s="832">
        <v>0</v>
      </c>
      <c r="AA303" s="832">
        <v>0</v>
      </c>
      <c r="AB303" s="832">
        <v>0</v>
      </c>
      <c r="AC303" s="832">
        <v>0</v>
      </c>
      <c r="AD303" s="832">
        <v>0</v>
      </c>
      <c r="AE303" s="832">
        <v>0</v>
      </c>
      <c r="AF303" s="832">
        <v>0</v>
      </c>
      <c r="AG303" s="832">
        <v>0</v>
      </c>
      <c r="AH303" s="832">
        <v>0</v>
      </c>
      <c r="AI303" s="832">
        <v>0</v>
      </c>
      <c r="AJ303" s="1030" t="str">
        <f t="shared" si="24"/>
        <v>H02923</v>
      </c>
      <c r="AK303" s="1030" t="str">
        <f t="shared" si="25"/>
        <v>ADMIN ABS CONGES PAYES</v>
      </c>
      <c r="AL303" s="1030">
        <f>IFERROR(INDEX(G303:R303,1,MATCH(Parametres!$B$3,G$1:R$1,0)-1)*IF(OR(F303="L",F303="S",F303="I"),-1,1),"")</f>
        <v>0</v>
      </c>
      <c r="AM303" s="1030">
        <f t="shared" si="26"/>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t="str">
        <f t="shared" si="27"/>
        <v>H02923</v>
      </c>
      <c r="AU303" s="599" t="str">
        <f t="shared" si="28"/>
        <v>ADMIN ABS CONGES PAYES</v>
      </c>
      <c r="AV303" s="1030">
        <f>IFERROR(INDEX(V303:AG303,1,MATCH(Parametres!$B$3,V$1:AG$1,0)-1)*IF(OR(C303="L",C303="S",C303="I"),-1,1),"")</f>
        <v>0</v>
      </c>
      <c r="AW303" s="1030">
        <f t="shared" si="29"/>
        <v>0</v>
      </c>
      <c r="AX303" s="1030">
        <f>INDEX(V303:AG303,1,MATCH(Parametres!$B$3,V$1:AG$1,0))*IF(OR(C303="L",C303="S",C303="I"),-1,1)</f>
        <v>0</v>
      </c>
      <c r="AY303" s="598" t="s">
        <v>337</v>
      </c>
      <c r="AZ303" s="598" t="e">
        <f>+VLOOKUP($AJ303,Data_Validation!$A:$E,5,0)</f>
        <v>#N/A</v>
      </c>
    </row>
    <row r="304" spans="1:52" ht="15" customHeight="1">
      <c r="A304" s="832" t="s">
        <v>1150</v>
      </c>
      <c r="B304" s="832">
        <v>2025</v>
      </c>
      <c r="C304" s="832" t="s">
        <v>1753</v>
      </c>
      <c r="D304" s="832" t="s">
        <v>1754</v>
      </c>
      <c r="E304" s="832" t="s">
        <v>333</v>
      </c>
      <c r="F304" s="832" t="s">
        <v>1119</v>
      </c>
      <c r="G304" s="832">
        <v>0</v>
      </c>
      <c r="H304" s="832">
        <v>0</v>
      </c>
      <c r="I304" s="832">
        <v>0</v>
      </c>
      <c r="J304" s="832">
        <v>0</v>
      </c>
      <c r="K304" s="832">
        <v>0</v>
      </c>
      <c r="L304" s="832">
        <v>0</v>
      </c>
      <c r="M304" s="832">
        <v>0</v>
      </c>
      <c r="N304" s="832">
        <v>0</v>
      </c>
      <c r="O304" s="832">
        <v>0</v>
      </c>
      <c r="P304" s="832">
        <v>0</v>
      </c>
      <c r="Q304" s="832">
        <v>0</v>
      </c>
      <c r="R304" s="832">
        <v>0</v>
      </c>
      <c r="S304" s="832">
        <v>0</v>
      </c>
      <c r="T304" s="832">
        <v>0</v>
      </c>
      <c r="U304" s="832">
        <v>0</v>
      </c>
      <c r="V304" s="832">
        <v>0</v>
      </c>
      <c r="W304" s="832">
        <v>0</v>
      </c>
      <c r="X304" s="832">
        <v>0</v>
      </c>
      <c r="Y304" s="832">
        <v>0</v>
      </c>
      <c r="Z304" s="832">
        <v>0</v>
      </c>
      <c r="AA304" s="832">
        <v>0</v>
      </c>
      <c r="AB304" s="832">
        <v>0</v>
      </c>
      <c r="AC304" s="832">
        <v>0</v>
      </c>
      <c r="AD304" s="832">
        <v>0</v>
      </c>
      <c r="AE304" s="832">
        <v>0</v>
      </c>
      <c r="AF304" s="832">
        <v>0</v>
      </c>
      <c r="AG304" s="832">
        <v>0</v>
      </c>
      <c r="AH304" s="832">
        <v>0</v>
      </c>
      <c r="AI304" s="832">
        <v>0</v>
      </c>
      <c r="AJ304" s="1030" t="str">
        <f t="shared" si="24"/>
        <v>H02924</v>
      </c>
      <c r="AK304" s="1030" t="str">
        <f t="shared" si="25"/>
        <v>ADMIN CSST</v>
      </c>
      <c r="AL304" s="1030">
        <f>IFERROR(INDEX(G304:R304,1,MATCH(Parametres!$B$3,G$1:R$1,0)-1)*IF(OR(F304="L",F304="S",F304="I"),-1,1),"")</f>
        <v>0</v>
      </c>
      <c r="AM304" s="1030">
        <f t="shared" si="26"/>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t="str">
        <f t="shared" si="27"/>
        <v>H02924</v>
      </c>
      <c r="AU304" s="599" t="str">
        <f t="shared" si="28"/>
        <v>ADMIN CSST</v>
      </c>
      <c r="AV304" s="1030">
        <f>IFERROR(INDEX(V304:AG304,1,MATCH(Parametres!$B$3,V$1:AG$1,0)-1)*IF(OR(C304="L",C304="S",C304="I"),-1,1),"")</f>
        <v>0</v>
      </c>
      <c r="AW304" s="1030">
        <f t="shared" si="29"/>
        <v>0</v>
      </c>
      <c r="AX304" s="1030">
        <f>INDEX(V304:AG304,1,MATCH(Parametres!$B$3,V$1:AG$1,0))*IF(OR(C304="L",C304="S",C304="I"),-1,1)</f>
        <v>0</v>
      </c>
      <c r="AY304" s="598" t="s">
        <v>337</v>
      </c>
      <c r="AZ304" s="598" t="e">
        <f>+VLOOKUP($AJ304,Data_Validation!$A:$E,5,0)</f>
        <v>#N/A</v>
      </c>
    </row>
    <row r="305" spans="1:52" ht="15.75" customHeight="1">
      <c r="A305" s="832" t="s">
        <v>1150</v>
      </c>
      <c r="B305" s="832">
        <v>2025</v>
      </c>
      <c r="C305" s="832" t="s">
        <v>1755</v>
      </c>
      <c r="D305" s="832" t="s">
        <v>1756</v>
      </c>
      <c r="E305" s="832" t="s">
        <v>333</v>
      </c>
      <c r="F305" s="832" t="s">
        <v>1119</v>
      </c>
      <c r="G305" s="832">
        <v>0</v>
      </c>
      <c r="H305" s="832">
        <v>0</v>
      </c>
      <c r="I305" s="832">
        <v>0</v>
      </c>
      <c r="J305" s="832">
        <v>0</v>
      </c>
      <c r="K305" s="832">
        <v>0</v>
      </c>
      <c r="L305" s="832">
        <v>0</v>
      </c>
      <c r="M305" s="832">
        <v>0</v>
      </c>
      <c r="N305" s="832">
        <v>0</v>
      </c>
      <c r="O305" s="832">
        <v>0</v>
      </c>
      <c r="P305" s="832">
        <v>0</v>
      </c>
      <c r="Q305" s="832">
        <v>0</v>
      </c>
      <c r="R305" s="832">
        <v>0</v>
      </c>
      <c r="S305" s="832">
        <v>0</v>
      </c>
      <c r="T305" s="832">
        <v>0</v>
      </c>
      <c r="U305" s="832">
        <v>0</v>
      </c>
      <c r="V305" s="832">
        <v>0</v>
      </c>
      <c r="W305" s="832">
        <v>0</v>
      </c>
      <c r="X305" s="832">
        <v>0</v>
      </c>
      <c r="Y305" s="832">
        <v>0</v>
      </c>
      <c r="Z305" s="832">
        <v>0</v>
      </c>
      <c r="AA305" s="832">
        <v>0</v>
      </c>
      <c r="AB305" s="832">
        <v>0</v>
      </c>
      <c r="AC305" s="832">
        <v>0</v>
      </c>
      <c r="AD305" s="832">
        <v>0</v>
      </c>
      <c r="AE305" s="832">
        <v>0</v>
      </c>
      <c r="AF305" s="832">
        <v>0</v>
      </c>
      <c r="AG305" s="832">
        <v>0</v>
      </c>
      <c r="AH305" s="832">
        <v>0</v>
      </c>
      <c r="AI305" s="832">
        <v>0</v>
      </c>
      <c r="AJ305" s="1030" t="str">
        <f t="shared" si="24"/>
        <v>H02925</v>
      </c>
      <c r="AK305" s="1030" t="str">
        <f t="shared" si="25"/>
        <v>ADMIN ASSURANCE CHOMAGE</v>
      </c>
      <c r="AL305" s="1030">
        <f>IFERROR(INDEX(G305:R305,1,MATCH(Parametres!$B$3,G$1:R$1,0)-1)*IF(OR(F305="L",F305="S",F305="I"),-1,1),"")</f>
        <v>0</v>
      </c>
      <c r="AM305" s="1030">
        <f t="shared" si="26"/>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t="str">
        <f t="shared" si="27"/>
        <v>H02925</v>
      </c>
      <c r="AU305" s="599" t="str">
        <f t="shared" si="28"/>
        <v>ADMIN ASSURANCE CHOMAGE</v>
      </c>
      <c r="AV305" s="1030">
        <f>IFERROR(INDEX(V305:AG305,1,MATCH(Parametres!$B$3,V$1:AG$1,0)-1)*IF(OR(C305="L",C305="S",C305="I"),-1,1),"")</f>
        <v>0</v>
      </c>
      <c r="AW305" s="1030">
        <f t="shared" si="29"/>
        <v>0</v>
      </c>
      <c r="AX305" s="1030">
        <f>INDEX(V305:AG305,1,MATCH(Parametres!$B$3,V$1:AG$1,0))*IF(OR(C305="L",C305="S",C305="I"),-1,1)</f>
        <v>0</v>
      </c>
      <c r="AY305" s="598" t="s">
        <v>337</v>
      </c>
      <c r="AZ305" s="598" t="e">
        <f>+VLOOKUP($AJ305,Data_Validation!$A:$E,5,0)</f>
        <v>#N/A</v>
      </c>
    </row>
    <row r="306" spans="1:52" ht="15" customHeight="1">
      <c r="A306" s="832" t="s">
        <v>1150</v>
      </c>
      <c r="B306" s="832">
        <v>2025</v>
      </c>
      <c r="C306" s="832" t="s">
        <v>1757</v>
      </c>
      <c r="D306" s="832" t="s">
        <v>1758</v>
      </c>
      <c r="E306" s="832" t="s">
        <v>333</v>
      </c>
      <c r="F306" s="832" t="s">
        <v>1119</v>
      </c>
      <c r="G306" s="832">
        <v>0</v>
      </c>
      <c r="H306" s="832">
        <v>0</v>
      </c>
      <c r="I306" s="832">
        <v>0</v>
      </c>
      <c r="J306" s="832">
        <v>0</v>
      </c>
      <c r="K306" s="832">
        <v>0</v>
      </c>
      <c r="L306" s="832">
        <v>0</v>
      </c>
      <c r="M306" s="832">
        <v>0</v>
      </c>
      <c r="N306" s="832">
        <v>0</v>
      </c>
      <c r="O306" s="832">
        <v>0</v>
      </c>
      <c r="P306" s="832">
        <v>0</v>
      </c>
      <c r="Q306" s="832">
        <v>0</v>
      </c>
      <c r="R306" s="832">
        <v>0</v>
      </c>
      <c r="S306" s="832">
        <v>0</v>
      </c>
      <c r="T306" s="832">
        <v>0</v>
      </c>
      <c r="U306" s="832">
        <v>0</v>
      </c>
      <c r="V306" s="832">
        <v>0</v>
      </c>
      <c r="W306" s="832">
        <v>0</v>
      </c>
      <c r="X306" s="832">
        <v>0</v>
      </c>
      <c r="Y306" s="832">
        <v>0</v>
      </c>
      <c r="Z306" s="832">
        <v>0</v>
      </c>
      <c r="AA306" s="832">
        <v>0</v>
      </c>
      <c r="AB306" s="832">
        <v>0</v>
      </c>
      <c r="AC306" s="832">
        <v>0</v>
      </c>
      <c r="AD306" s="832">
        <v>0</v>
      </c>
      <c r="AE306" s="832">
        <v>0</v>
      </c>
      <c r="AF306" s="832">
        <v>0</v>
      </c>
      <c r="AG306" s="832">
        <v>0</v>
      </c>
      <c r="AH306" s="832">
        <v>0</v>
      </c>
      <c r="AI306" s="832">
        <v>0</v>
      </c>
      <c r="AJ306" s="1030" t="str">
        <f t="shared" si="24"/>
        <v>H02926</v>
      </c>
      <c r="AK306" s="1030" t="str">
        <f t="shared" si="25"/>
        <v>ADMIN ASSURANCE GROUPE</v>
      </c>
      <c r="AL306" s="1030">
        <f>IFERROR(INDEX(G306:R306,1,MATCH(Parametres!$B$3,G$1:R$1,0)-1)*IF(OR(F306="L",F306="S",F306="I"),-1,1),"")</f>
        <v>0</v>
      </c>
      <c r="AM306" s="1030">
        <f t="shared" si="26"/>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t="str">
        <f t="shared" si="27"/>
        <v>H02926</v>
      </c>
      <c r="AU306" s="599" t="str">
        <f t="shared" si="28"/>
        <v>ADMIN ASSURANCE GROUPE</v>
      </c>
      <c r="AV306" s="1030">
        <f>IFERROR(INDEX(V306:AG306,1,MATCH(Parametres!$B$3,V$1:AG$1,0)-1)*IF(OR(C306="L",C306="S",C306="I"),-1,1),"")</f>
        <v>0</v>
      </c>
      <c r="AW306" s="1030">
        <f t="shared" si="29"/>
        <v>0</v>
      </c>
      <c r="AX306" s="1030">
        <f>INDEX(V306:AG306,1,MATCH(Parametres!$B$3,V$1:AG$1,0))*IF(OR(C306="L",C306="S",C306="I"),-1,1)</f>
        <v>0</v>
      </c>
      <c r="AY306" s="598" t="s">
        <v>337</v>
      </c>
      <c r="AZ306" s="598" t="e">
        <f>+VLOOKUP($AJ306,Data_Validation!$A:$E,5,0)</f>
        <v>#N/A</v>
      </c>
    </row>
    <row r="307" spans="1:52" ht="15" customHeight="1">
      <c r="A307" s="832" t="s">
        <v>1150</v>
      </c>
      <c r="B307" s="832">
        <v>2025</v>
      </c>
      <c r="C307" s="832" t="s">
        <v>1759</v>
      </c>
      <c r="D307" s="832" t="s">
        <v>1760</v>
      </c>
      <c r="E307" s="832" t="s">
        <v>333</v>
      </c>
      <c r="F307" s="832" t="s">
        <v>1119</v>
      </c>
      <c r="G307" s="832">
        <v>0</v>
      </c>
      <c r="H307" s="832">
        <v>0</v>
      </c>
      <c r="I307" s="832">
        <v>0</v>
      </c>
      <c r="J307" s="832">
        <v>0</v>
      </c>
      <c r="K307" s="832">
        <v>0</v>
      </c>
      <c r="L307" s="832">
        <v>0</v>
      </c>
      <c r="M307" s="832">
        <v>0</v>
      </c>
      <c r="N307" s="832">
        <v>0</v>
      </c>
      <c r="O307" s="832">
        <v>0</v>
      </c>
      <c r="P307" s="832">
        <v>0</v>
      </c>
      <c r="Q307" s="832">
        <v>0</v>
      </c>
      <c r="R307" s="832">
        <v>0</v>
      </c>
      <c r="S307" s="832">
        <v>0</v>
      </c>
      <c r="T307" s="832">
        <v>0</v>
      </c>
      <c r="U307" s="832">
        <v>0</v>
      </c>
      <c r="V307" s="832">
        <v>0</v>
      </c>
      <c r="W307" s="832">
        <v>0</v>
      </c>
      <c r="X307" s="832">
        <v>0</v>
      </c>
      <c r="Y307" s="832">
        <v>0</v>
      </c>
      <c r="Z307" s="832">
        <v>0</v>
      </c>
      <c r="AA307" s="832">
        <v>0</v>
      </c>
      <c r="AB307" s="832">
        <v>0</v>
      </c>
      <c r="AC307" s="832">
        <v>0</v>
      </c>
      <c r="AD307" s="832">
        <v>0</v>
      </c>
      <c r="AE307" s="832">
        <v>0</v>
      </c>
      <c r="AF307" s="832">
        <v>0</v>
      </c>
      <c r="AG307" s="832">
        <v>0</v>
      </c>
      <c r="AH307" s="832">
        <v>0</v>
      </c>
      <c r="AI307" s="832">
        <v>0</v>
      </c>
      <c r="AJ307" s="1030" t="str">
        <f t="shared" si="24"/>
        <v>H02927</v>
      </c>
      <c r="AK307" s="1030" t="str">
        <f t="shared" si="25"/>
        <v>ADMIN AUTRES AV. SOCIAUX</v>
      </c>
      <c r="AL307" s="1030">
        <f>IFERROR(INDEX(G307:R307,1,MATCH(Parametres!$B$3,G$1:R$1,0)-1)*IF(OR(F307="L",F307="S",F307="I"),-1,1),"")</f>
        <v>0</v>
      </c>
      <c r="AM307" s="1030">
        <f t="shared" si="26"/>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t="str">
        <f t="shared" si="27"/>
        <v>H02927</v>
      </c>
      <c r="AU307" s="599" t="str">
        <f t="shared" si="28"/>
        <v>ADMIN AUTRES AV. SOCIAUX</v>
      </c>
      <c r="AV307" s="1030">
        <f>IFERROR(INDEX(V307:AG307,1,MATCH(Parametres!$B$3,V$1:AG$1,0)-1)*IF(OR(C307="L",C307="S",C307="I"),-1,1),"")</f>
        <v>0</v>
      </c>
      <c r="AW307" s="1030">
        <f t="shared" si="29"/>
        <v>0</v>
      </c>
      <c r="AX307" s="1030">
        <f>INDEX(V307:AG307,1,MATCH(Parametres!$B$3,V$1:AG$1,0))*IF(OR(C307="L",C307="S",C307="I"),-1,1)</f>
        <v>0</v>
      </c>
      <c r="AY307" s="598" t="s">
        <v>337</v>
      </c>
      <c r="AZ307" s="598" t="e">
        <f>+VLOOKUP($AJ307,Data_Validation!$A:$E,5,0)</f>
        <v>#N/A</v>
      </c>
    </row>
    <row r="308" spans="1:52" ht="15" customHeight="1">
      <c r="A308" s="832" t="s">
        <v>1150</v>
      </c>
      <c r="B308" s="832">
        <v>2025</v>
      </c>
      <c r="C308" s="832" t="s">
        <v>1761</v>
      </c>
      <c r="D308" s="832" t="s">
        <v>1762</v>
      </c>
      <c r="E308" s="832" t="s">
        <v>333</v>
      </c>
      <c r="F308" s="832" t="s">
        <v>1119</v>
      </c>
      <c r="G308" s="832">
        <v>0</v>
      </c>
      <c r="H308" s="832">
        <v>0</v>
      </c>
      <c r="I308" s="832">
        <v>0</v>
      </c>
      <c r="J308" s="832">
        <v>0</v>
      </c>
      <c r="K308" s="832">
        <v>0</v>
      </c>
      <c r="L308" s="832">
        <v>0</v>
      </c>
      <c r="M308" s="832">
        <v>0</v>
      </c>
      <c r="N308" s="832">
        <v>0</v>
      </c>
      <c r="O308" s="832">
        <v>0</v>
      </c>
      <c r="P308" s="832">
        <v>0</v>
      </c>
      <c r="Q308" s="832">
        <v>0</v>
      </c>
      <c r="R308" s="832">
        <v>0</v>
      </c>
      <c r="S308" s="832">
        <v>0</v>
      </c>
      <c r="T308" s="832">
        <v>0</v>
      </c>
      <c r="U308" s="832">
        <v>0</v>
      </c>
      <c r="V308" s="832">
        <v>0</v>
      </c>
      <c r="W308" s="832">
        <v>0</v>
      </c>
      <c r="X308" s="832">
        <v>0</v>
      </c>
      <c r="Y308" s="832">
        <v>0</v>
      </c>
      <c r="Z308" s="832">
        <v>0</v>
      </c>
      <c r="AA308" s="832">
        <v>0</v>
      </c>
      <c r="AB308" s="832">
        <v>0</v>
      </c>
      <c r="AC308" s="832">
        <v>0</v>
      </c>
      <c r="AD308" s="832">
        <v>0</v>
      </c>
      <c r="AE308" s="832">
        <v>0</v>
      </c>
      <c r="AF308" s="832">
        <v>0</v>
      </c>
      <c r="AG308" s="832">
        <v>0</v>
      </c>
      <c r="AH308" s="832">
        <v>0</v>
      </c>
      <c r="AI308" s="832">
        <v>0</v>
      </c>
      <c r="AJ308" s="1030" t="str">
        <f t="shared" si="24"/>
        <v>H02928</v>
      </c>
      <c r="AK308" s="1030" t="str">
        <f t="shared" si="25"/>
        <v>ADMIN FORMATION</v>
      </c>
      <c r="AL308" s="1030">
        <f>IFERROR(INDEX(G308:R308,1,MATCH(Parametres!$B$3,G$1:R$1,0)-1)*IF(OR(F308="L",F308="S",F308="I"),-1,1),"")</f>
        <v>0</v>
      </c>
      <c r="AM308" s="1030">
        <f t="shared" si="26"/>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t="str">
        <f t="shared" si="27"/>
        <v>H02928</v>
      </c>
      <c r="AU308" s="599" t="str">
        <f t="shared" si="28"/>
        <v>ADMIN FORMATION</v>
      </c>
      <c r="AV308" s="1030">
        <f>IFERROR(INDEX(V308:AG308,1,MATCH(Parametres!$B$3,V$1:AG$1,0)-1)*IF(OR(C308="L",C308="S",C308="I"),-1,1),"")</f>
        <v>0</v>
      </c>
      <c r="AW308" s="1030">
        <f t="shared" si="29"/>
        <v>0</v>
      </c>
      <c r="AX308" s="1030">
        <f>INDEX(V308:AG308,1,MATCH(Parametres!$B$3,V$1:AG$1,0))*IF(OR(C308="L",C308="S",C308="I"),-1,1)</f>
        <v>0</v>
      </c>
      <c r="AY308" s="598" t="s">
        <v>337</v>
      </c>
      <c r="AZ308" s="598" t="e">
        <f>+VLOOKUP($AJ308,Data_Validation!$A:$E,5,0)</f>
        <v>#N/A</v>
      </c>
    </row>
    <row r="309" spans="1:52" ht="15.75" customHeight="1">
      <c r="A309" s="832" t="s">
        <v>1150</v>
      </c>
      <c r="B309" s="832">
        <v>2025</v>
      </c>
      <c r="C309" s="832" t="s">
        <v>1763</v>
      </c>
      <c r="D309" s="832" t="s">
        <v>1764</v>
      </c>
      <c r="E309" s="832" t="s">
        <v>333</v>
      </c>
      <c r="F309" s="832" t="s">
        <v>1119</v>
      </c>
      <c r="G309" s="832">
        <v>0</v>
      </c>
      <c r="H309" s="832">
        <v>0</v>
      </c>
      <c r="I309" s="832">
        <v>0</v>
      </c>
      <c r="J309" s="832">
        <v>0</v>
      </c>
      <c r="K309" s="832">
        <v>0</v>
      </c>
      <c r="L309" s="832">
        <v>0</v>
      </c>
      <c r="M309" s="832">
        <v>0</v>
      </c>
      <c r="N309" s="832">
        <v>0</v>
      </c>
      <c r="O309" s="832">
        <v>0</v>
      </c>
      <c r="P309" s="832">
        <v>0</v>
      </c>
      <c r="Q309" s="832">
        <v>0</v>
      </c>
      <c r="R309" s="832">
        <v>0</v>
      </c>
      <c r="S309" s="832">
        <v>0</v>
      </c>
      <c r="T309" s="832">
        <v>0</v>
      </c>
      <c r="U309" s="832">
        <v>0</v>
      </c>
      <c r="V309" s="832">
        <v>0</v>
      </c>
      <c r="W309" s="832">
        <v>0</v>
      </c>
      <c r="X309" s="832">
        <v>0</v>
      </c>
      <c r="Y309" s="832">
        <v>0</v>
      </c>
      <c r="Z309" s="832">
        <v>0</v>
      </c>
      <c r="AA309" s="832">
        <v>0</v>
      </c>
      <c r="AB309" s="832">
        <v>0</v>
      </c>
      <c r="AC309" s="832">
        <v>0</v>
      </c>
      <c r="AD309" s="832">
        <v>0</v>
      </c>
      <c r="AE309" s="832">
        <v>0</v>
      </c>
      <c r="AF309" s="832">
        <v>0</v>
      </c>
      <c r="AG309" s="832">
        <v>0</v>
      </c>
      <c r="AH309" s="832">
        <v>0</v>
      </c>
      <c r="AI309" s="832">
        <v>0</v>
      </c>
      <c r="AJ309" s="1030" t="str">
        <f t="shared" si="24"/>
        <v>H02930</v>
      </c>
      <c r="AK309" s="1030" t="str">
        <f t="shared" si="25"/>
        <v>ADMIN PAPETERIE FOURN BUR</v>
      </c>
      <c r="AL309" s="1030">
        <f>IFERROR(INDEX(G309:R309,1,MATCH(Parametres!$B$3,G$1:R$1,0)-1)*IF(OR(F309="L",F309="S",F309="I"),-1,1),"")</f>
        <v>0</v>
      </c>
      <c r="AM309" s="1030">
        <f t="shared" si="26"/>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t="str">
        <f t="shared" si="27"/>
        <v>H02930</v>
      </c>
      <c r="AU309" s="599" t="str">
        <f t="shared" si="28"/>
        <v>ADMIN PAPETERIE FOURN BUR</v>
      </c>
      <c r="AV309" s="1030">
        <f>IFERROR(INDEX(V309:AG309,1,MATCH(Parametres!$B$3,V$1:AG$1,0)-1)*IF(OR(C309="L",C309="S",C309="I"),-1,1),"")</f>
        <v>0</v>
      </c>
      <c r="AW309" s="1030">
        <f t="shared" si="29"/>
        <v>0</v>
      </c>
      <c r="AX309" s="1030">
        <f>INDEX(V309:AG309,1,MATCH(Parametres!$B$3,V$1:AG$1,0))*IF(OR(C309="L",C309="S",C309="I"),-1,1)</f>
        <v>0</v>
      </c>
      <c r="AY309" s="598" t="s">
        <v>337</v>
      </c>
      <c r="AZ309" s="598" t="e">
        <f>+VLOOKUP($AJ309,Data_Validation!$A:$E,5,0)</f>
        <v>#N/A</v>
      </c>
    </row>
    <row r="310" spans="1:52" ht="15" customHeight="1">
      <c r="A310" s="832" t="s">
        <v>1150</v>
      </c>
      <c r="B310" s="832">
        <v>2025</v>
      </c>
      <c r="C310" s="832" t="s">
        <v>1765</v>
      </c>
      <c r="D310" s="832" t="s">
        <v>1766</v>
      </c>
      <c r="E310" s="832" t="s">
        <v>333</v>
      </c>
      <c r="F310" s="832" t="s">
        <v>1119</v>
      </c>
      <c r="G310" s="832">
        <v>0</v>
      </c>
      <c r="H310" s="832">
        <v>0</v>
      </c>
      <c r="I310" s="832">
        <v>0</v>
      </c>
      <c r="J310" s="832">
        <v>0</v>
      </c>
      <c r="K310" s="832">
        <v>0</v>
      </c>
      <c r="L310" s="832">
        <v>0</v>
      </c>
      <c r="M310" s="832">
        <v>0</v>
      </c>
      <c r="N310" s="832">
        <v>0</v>
      </c>
      <c r="O310" s="832">
        <v>0</v>
      </c>
      <c r="P310" s="832">
        <v>0</v>
      </c>
      <c r="Q310" s="832">
        <v>0</v>
      </c>
      <c r="R310" s="832">
        <v>0</v>
      </c>
      <c r="S310" s="832">
        <v>0</v>
      </c>
      <c r="T310" s="832">
        <v>0</v>
      </c>
      <c r="U310" s="832">
        <v>0</v>
      </c>
      <c r="V310" s="832">
        <v>0</v>
      </c>
      <c r="W310" s="832">
        <v>0</v>
      </c>
      <c r="X310" s="832">
        <v>0</v>
      </c>
      <c r="Y310" s="832">
        <v>0</v>
      </c>
      <c r="Z310" s="832">
        <v>0</v>
      </c>
      <c r="AA310" s="832">
        <v>0</v>
      </c>
      <c r="AB310" s="832">
        <v>0</v>
      </c>
      <c r="AC310" s="832">
        <v>0</v>
      </c>
      <c r="AD310" s="832">
        <v>0</v>
      </c>
      <c r="AE310" s="832">
        <v>0</v>
      </c>
      <c r="AF310" s="832">
        <v>0</v>
      </c>
      <c r="AG310" s="832">
        <v>0</v>
      </c>
      <c r="AH310" s="832">
        <v>0</v>
      </c>
      <c r="AI310" s="832">
        <v>0</v>
      </c>
      <c r="AJ310" s="1030" t="str">
        <f t="shared" si="24"/>
        <v>H02931</v>
      </c>
      <c r="AK310" s="1030" t="str">
        <f t="shared" si="25"/>
        <v>ADMIN OUTIL FOURN DIVERS</v>
      </c>
      <c r="AL310" s="1030">
        <f>IFERROR(INDEX(G310:R310,1,MATCH(Parametres!$B$3,G$1:R$1,0)-1)*IF(OR(F310="L",F310="S",F310="I"),-1,1),"")</f>
        <v>0</v>
      </c>
      <c r="AM310" s="1030">
        <f t="shared" si="26"/>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t="str">
        <f t="shared" si="27"/>
        <v>H02931</v>
      </c>
      <c r="AU310" s="599" t="str">
        <f t="shared" si="28"/>
        <v>ADMIN OUTIL FOURN DIVERS</v>
      </c>
      <c r="AV310" s="1030">
        <f>IFERROR(INDEX(V310:AG310,1,MATCH(Parametres!$B$3,V$1:AG$1,0)-1)*IF(OR(C310="L",C310="S",C310="I"),-1,1),"")</f>
        <v>0</v>
      </c>
      <c r="AW310" s="1030">
        <f t="shared" si="29"/>
        <v>0</v>
      </c>
      <c r="AX310" s="1030">
        <f>INDEX(V310:AG310,1,MATCH(Parametres!$B$3,V$1:AG$1,0))*IF(OR(C310="L",C310="S",C310="I"),-1,1)</f>
        <v>0</v>
      </c>
      <c r="AY310" s="598" t="s">
        <v>337</v>
      </c>
      <c r="AZ310" s="598" t="e">
        <f>+VLOOKUP($AJ310,Data_Validation!$A:$E,5,0)</f>
        <v>#N/A</v>
      </c>
    </row>
    <row r="311" spans="1:52" ht="15" customHeight="1">
      <c r="A311" s="832" t="s">
        <v>1150</v>
      </c>
      <c r="B311" s="832">
        <v>2025</v>
      </c>
      <c r="C311" s="832" t="s">
        <v>1767</v>
      </c>
      <c r="D311" s="832" t="s">
        <v>1768</v>
      </c>
      <c r="E311" s="832" t="s">
        <v>333</v>
      </c>
      <c r="F311" s="832" t="s">
        <v>1119</v>
      </c>
      <c r="G311" s="832">
        <v>0</v>
      </c>
      <c r="H311" s="832">
        <v>0</v>
      </c>
      <c r="I311" s="832">
        <v>0</v>
      </c>
      <c r="J311" s="832">
        <v>0</v>
      </c>
      <c r="K311" s="832">
        <v>0</v>
      </c>
      <c r="L311" s="832">
        <v>0</v>
      </c>
      <c r="M311" s="832">
        <v>0</v>
      </c>
      <c r="N311" s="832">
        <v>0</v>
      </c>
      <c r="O311" s="832">
        <v>0</v>
      </c>
      <c r="P311" s="832">
        <v>0</v>
      </c>
      <c r="Q311" s="832">
        <v>0</v>
      </c>
      <c r="R311" s="832">
        <v>0</v>
      </c>
      <c r="S311" s="832">
        <v>0</v>
      </c>
      <c r="T311" s="832">
        <v>0</v>
      </c>
      <c r="U311" s="832">
        <v>0</v>
      </c>
      <c r="V311" s="832">
        <v>0</v>
      </c>
      <c r="W311" s="832">
        <v>0</v>
      </c>
      <c r="X311" s="832">
        <v>0</v>
      </c>
      <c r="Y311" s="832">
        <v>0</v>
      </c>
      <c r="Z311" s="832">
        <v>0</v>
      </c>
      <c r="AA311" s="832">
        <v>0</v>
      </c>
      <c r="AB311" s="832">
        <v>0</v>
      </c>
      <c r="AC311" s="832">
        <v>0</v>
      </c>
      <c r="AD311" s="832">
        <v>0</v>
      </c>
      <c r="AE311" s="832">
        <v>0</v>
      </c>
      <c r="AF311" s="832">
        <v>0</v>
      </c>
      <c r="AG311" s="832">
        <v>0</v>
      </c>
      <c r="AH311" s="832">
        <v>0</v>
      </c>
      <c r="AI311" s="832">
        <v>0</v>
      </c>
      <c r="AJ311" s="1030" t="str">
        <f t="shared" si="24"/>
        <v>H02934</v>
      </c>
      <c r="AK311" s="1030" t="str">
        <f t="shared" si="25"/>
        <v>ADMIN UNIFORMES SALOPETTE</v>
      </c>
      <c r="AL311" s="1030">
        <f>IFERROR(INDEX(G311:R311,1,MATCH(Parametres!$B$3,G$1:R$1,0)-1)*IF(OR(F311="L",F311="S",F311="I"),-1,1),"")</f>
        <v>0</v>
      </c>
      <c r="AM311" s="1030">
        <f t="shared" si="26"/>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t="str">
        <f t="shared" si="27"/>
        <v>H02934</v>
      </c>
      <c r="AU311" s="599" t="str">
        <f t="shared" si="28"/>
        <v>ADMIN UNIFORMES SALOPETTE</v>
      </c>
      <c r="AV311" s="1030">
        <f>IFERROR(INDEX(V311:AG311,1,MATCH(Parametres!$B$3,V$1:AG$1,0)-1)*IF(OR(C311="L",C311="S",C311="I"),-1,1),"")</f>
        <v>0</v>
      </c>
      <c r="AW311" s="1030">
        <f t="shared" si="29"/>
        <v>0</v>
      </c>
      <c r="AX311" s="1030">
        <f>INDEX(V311:AG311,1,MATCH(Parametres!$B$3,V$1:AG$1,0))*IF(OR(C311="L",C311="S",C311="I"),-1,1)</f>
        <v>0</v>
      </c>
      <c r="AY311" s="598" t="s">
        <v>337</v>
      </c>
      <c r="AZ311" s="598" t="e">
        <f>+VLOOKUP($AJ311,Data_Validation!$A:$E,5,0)</f>
        <v>#N/A</v>
      </c>
    </row>
    <row r="312" spans="1:52" ht="15" customHeight="1">
      <c r="A312" s="832" t="s">
        <v>1150</v>
      </c>
      <c r="B312" s="832">
        <v>2025</v>
      </c>
      <c r="C312" s="832" t="s">
        <v>1769</v>
      </c>
      <c r="D312" s="832" t="s">
        <v>1770</v>
      </c>
      <c r="E312" s="832" t="s">
        <v>333</v>
      </c>
      <c r="F312" s="832" t="s">
        <v>1119</v>
      </c>
      <c r="G312" s="832">
        <v>0</v>
      </c>
      <c r="H312" s="832">
        <v>0</v>
      </c>
      <c r="I312" s="832">
        <v>0</v>
      </c>
      <c r="J312" s="832">
        <v>0</v>
      </c>
      <c r="K312" s="832">
        <v>0</v>
      </c>
      <c r="L312" s="832">
        <v>0</v>
      </c>
      <c r="M312" s="832">
        <v>0</v>
      </c>
      <c r="N312" s="832">
        <v>0</v>
      </c>
      <c r="O312" s="832">
        <v>0</v>
      </c>
      <c r="P312" s="832">
        <v>0</v>
      </c>
      <c r="Q312" s="832">
        <v>0</v>
      </c>
      <c r="R312" s="832">
        <v>0</v>
      </c>
      <c r="S312" s="832">
        <v>0</v>
      </c>
      <c r="T312" s="832">
        <v>0</v>
      </c>
      <c r="U312" s="832">
        <v>0</v>
      </c>
      <c r="V312" s="832">
        <v>0</v>
      </c>
      <c r="W312" s="832">
        <v>0</v>
      </c>
      <c r="X312" s="832">
        <v>0</v>
      </c>
      <c r="Y312" s="832">
        <v>0</v>
      </c>
      <c r="Z312" s="832">
        <v>0</v>
      </c>
      <c r="AA312" s="832">
        <v>0</v>
      </c>
      <c r="AB312" s="832">
        <v>0</v>
      </c>
      <c r="AC312" s="832">
        <v>0</v>
      </c>
      <c r="AD312" s="832">
        <v>0</v>
      </c>
      <c r="AE312" s="832">
        <v>0</v>
      </c>
      <c r="AF312" s="832">
        <v>0</v>
      </c>
      <c r="AG312" s="832">
        <v>0</v>
      </c>
      <c r="AH312" s="832">
        <v>0</v>
      </c>
      <c r="AI312" s="832">
        <v>0</v>
      </c>
      <c r="AJ312" s="1030" t="str">
        <f t="shared" si="24"/>
        <v>H02935</v>
      </c>
      <c r="AK312" s="1030" t="str">
        <f t="shared" si="25"/>
        <v>ADMIN CONCIERGE NETTOYE</v>
      </c>
      <c r="AL312" s="1030">
        <f>IFERROR(INDEX(G312:R312,1,MATCH(Parametres!$B$3,G$1:R$1,0)-1)*IF(OR(F312="L",F312="S",F312="I"),-1,1),"")</f>
        <v>0</v>
      </c>
      <c r="AM312" s="1030">
        <f t="shared" si="26"/>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t="str">
        <f t="shared" si="27"/>
        <v>H02935</v>
      </c>
      <c r="AU312" s="599" t="str">
        <f t="shared" si="28"/>
        <v>ADMIN CONCIERGE NETTOYE</v>
      </c>
      <c r="AV312" s="1030">
        <f>IFERROR(INDEX(V312:AG312,1,MATCH(Parametres!$B$3,V$1:AG$1,0)-1)*IF(OR(C312="L",C312="S",C312="I"),-1,1),"")</f>
        <v>0</v>
      </c>
      <c r="AW312" s="1030">
        <f t="shared" si="29"/>
        <v>0</v>
      </c>
      <c r="AX312" s="1030">
        <f>INDEX(V312:AG312,1,MATCH(Parametres!$B$3,V$1:AG$1,0))*IF(OR(C312="L",C312="S",C312="I"),-1,1)</f>
        <v>0</v>
      </c>
      <c r="AY312" s="598" t="s">
        <v>337</v>
      </c>
      <c r="AZ312" s="598" t="e">
        <f>+VLOOKUP($AJ312,Data_Validation!$A:$E,5,0)</f>
        <v>#N/A</v>
      </c>
    </row>
    <row r="313" spans="1:52" ht="15" customHeight="1">
      <c r="A313" s="832" t="s">
        <v>1150</v>
      </c>
      <c r="B313" s="832">
        <v>2025</v>
      </c>
      <c r="C313" s="832" t="s">
        <v>1771</v>
      </c>
      <c r="D313" s="832" t="s">
        <v>1772</v>
      </c>
      <c r="E313" s="832" t="s">
        <v>333</v>
      </c>
      <c r="F313" s="832" t="s">
        <v>1119</v>
      </c>
      <c r="G313" s="832">
        <v>0</v>
      </c>
      <c r="H313" s="832">
        <v>0</v>
      </c>
      <c r="I313" s="832">
        <v>0</v>
      </c>
      <c r="J313" s="832">
        <v>0</v>
      </c>
      <c r="K313" s="832">
        <v>0</v>
      </c>
      <c r="L313" s="832">
        <v>0</v>
      </c>
      <c r="M313" s="832">
        <v>0</v>
      </c>
      <c r="N313" s="832">
        <v>0</v>
      </c>
      <c r="O313" s="832">
        <v>0</v>
      </c>
      <c r="P313" s="832">
        <v>0</v>
      </c>
      <c r="Q313" s="832">
        <v>0</v>
      </c>
      <c r="R313" s="832">
        <v>0</v>
      </c>
      <c r="S313" s="832">
        <v>0</v>
      </c>
      <c r="T313" s="832">
        <v>0</v>
      </c>
      <c r="U313" s="832">
        <v>0</v>
      </c>
      <c r="V313" s="832">
        <v>0</v>
      </c>
      <c r="W313" s="832">
        <v>0</v>
      </c>
      <c r="X313" s="832">
        <v>0</v>
      </c>
      <c r="Y313" s="832">
        <v>0</v>
      </c>
      <c r="Z313" s="832">
        <v>0</v>
      </c>
      <c r="AA313" s="832">
        <v>0</v>
      </c>
      <c r="AB313" s="832">
        <v>0</v>
      </c>
      <c r="AC313" s="832">
        <v>0</v>
      </c>
      <c r="AD313" s="832">
        <v>0</v>
      </c>
      <c r="AE313" s="832">
        <v>0</v>
      </c>
      <c r="AF313" s="832">
        <v>0</v>
      </c>
      <c r="AG313" s="832">
        <v>0</v>
      </c>
      <c r="AH313" s="832">
        <v>0</v>
      </c>
      <c r="AI313" s="832">
        <v>0</v>
      </c>
      <c r="AJ313" s="1030" t="str">
        <f t="shared" si="24"/>
        <v>H02940</v>
      </c>
      <c r="AK313" s="1030" t="str">
        <f t="shared" si="25"/>
        <v>ENT EQUIPEMENT HERELLE</v>
      </c>
      <c r="AL313" s="1030">
        <f>IFERROR(INDEX(G313:R313,1,MATCH(Parametres!$B$3,G$1:R$1,0)-1)*IF(OR(F313="L",F313="S",F313="I"),-1,1),"")</f>
        <v>0</v>
      </c>
      <c r="AM313" s="1030">
        <f t="shared" si="26"/>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t="str">
        <f t="shared" si="27"/>
        <v>H02940</v>
      </c>
      <c r="AU313" s="599" t="str">
        <f t="shared" si="28"/>
        <v>ENT EQUIPEMENT HERELLE</v>
      </c>
      <c r="AV313" s="1030">
        <f>IFERROR(INDEX(V313:AG313,1,MATCH(Parametres!$B$3,V$1:AG$1,0)-1)*IF(OR(C313="L",C313="S",C313="I"),-1,1),"")</f>
        <v>0</v>
      </c>
      <c r="AW313" s="1030">
        <f t="shared" si="29"/>
        <v>0</v>
      </c>
      <c r="AX313" s="1030">
        <f>INDEX(V313:AG313,1,MATCH(Parametres!$B$3,V$1:AG$1,0))*IF(OR(C313="L",C313="S",C313="I"),-1,1)</f>
        <v>0</v>
      </c>
      <c r="AY313" s="598" t="s">
        <v>337</v>
      </c>
      <c r="AZ313" s="598" t="e">
        <f>+VLOOKUP($AJ313,Data_Validation!$A:$E,5,0)</f>
        <v>#N/A</v>
      </c>
    </row>
    <row r="314" spans="1:52" ht="15" customHeight="1">
      <c r="A314" s="832" t="s">
        <v>1150</v>
      </c>
      <c r="B314" s="832">
        <v>2025</v>
      </c>
      <c r="C314" s="832" t="s">
        <v>1773</v>
      </c>
      <c r="D314" s="832" t="s">
        <v>1774</v>
      </c>
      <c r="E314" s="832" t="s">
        <v>333</v>
      </c>
      <c r="F314" s="832" t="s">
        <v>1119</v>
      </c>
      <c r="G314" s="832">
        <v>0</v>
      </c>
      <c r="H314" s="832">
        <v>0</v>
      </c>
      <c r="I314" s="832">
        <v>0</v>
      </c>
      <c r="J314" s="832">
        <v>0</v>
      </c>
      <c r="K314" s="832">
        <v>0</v>
      </c>
      <c r="L314" s="832">
        <v>0</v>
      </c>
      <c r="M314" s="832">
        <v>0</v>
      </c>
      <c r="N314" s="832">
        <v>0</v>
      </c>
      <c r="O314" s="832">
        <v>0</v>
      </c>
      <c r="P314" s="832">
        <v>0</v>
      </c>
      <c r="Q314" s="832">
        <v>0</v>
      </c>
      <c r="R314" s="832">
        <v>0</v>
      </c>
      <c r="S314" s="832">
        <v>0</v>
      </c>
      <c r="T314" s="832">
        <v>0</v>
      </c>
      <c r="U314" s="832">
        <v>0</v>
      </c>
      <c r="V314" s="832">
        <v>0</v>
      </c>
      <c r="W314" s="832">
        <v>0</v>
      </c>
      <c r="X314" s="832">
        <v>0</v>
      </c>
      <c r="Y314" s="832">
        <v>0</v>
      </c>
      <c r="Z314" s="832">
        <v>0</v>
      </c>
      <c r="AA314" s="832">
        <v>0</v>
      </c>
      <c r="AB314" s="832">
        <v>0</v>
      </c>
      <c r="AC314" s="832">
        <v>0</v>
      </c>
      <c r="AD314" s="832">
        <v>0</v>
      </c>
      <c r="AE314" s="832">
        <v>0</v>
      </c>
      <c r="AF314" s="832">
        <v>0</v>
      </c>
      <c r="AG314" s="832">
        <v>0</v>
      </c>
      <c r="AH314" s="832">
        <v>0</v>
      </c>
      <c r="AI314" s="832">
        <v>0</v>
      </c>
      <c r="AJ314" s="1030" t="str">
        <f t="shared" si="24"/>
        <v>H02944</v>
      </c>
      <c r="AK314" s="1030" t="str">
        <f t="shared" si="25"/>
        <v>INTERNET HERELLE 4 DEPT</v>
      </c>
      <c r="AL314" s="1030">
        <f>IFERROR(INDEX(G314:R314,1,MATCH(Parametres!$B$3,G$1:R$1,0)-1)*IF(OR(F314="L",F314="S",F314="I"),-1,1),"")</f>
        <v>0</v>
      </c>
      <c r="AM314" s="1030">
        <f t="shared" si="26"/>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t="str">
        <f t="shared" si="27"/>
        <v>H02944</v>
      </c>
      <c r="AU314" s="599" t="str">
        <f t="shared" si="28"/>
        <v>INTERNET HERELLE 4 DEPT</v>
      </c>
      <c r="AV314" s="1030">
        <f>IFERROR(INDEX(V314:AG314,1,MATCH(Parametres!$B$3,V$1:AG$1,0)-1)*IF(OR(C314="L",C314="S",C314="I"),-1,1),"")</f>
        <v>0</v>
      </c>
      <c r="AW314" s="1030">
        <f t="shared" si="29"/>
        <v>0</v>
      </c>
      <c r="AX314" s="1030">
        <f>INDEX(V314:AG314,1,MATCH(Parametres!$B$3,V$1:AG$1,0))*IF(OR(C314="L",C314="S",C314="I"),-1,1)</f>
        <v>0</v>
      </c>
      <c r="AY314" s="598" t="s">
        <v>337</v>
      </c>
      <c r="AZ314" s="598" t="e">
        <f>+VLOOKUP($AJ314,Data_Validation!$A:$E,5,0)</f>
        <v>#N/A</v>
      </c>
    </row>
    <row r="315" spans="1:52" ht="15" customHeight="1">
      <c r="A315" s="832" t="s">
        <v>1150</v>
      </c>
      <c r="B315" s="832">
        <v>2025</v>
      </c>
      <c r="C315" s="832" t="s">
        <v>1775</v>
      </c>
      <c r="D315" s="832" t="s">
        <v>1776</v>
      </c>
      <c r="E315" s="832" t="s">
        <v>333</v>
      </c>
      <c r="F315" s="832" t="s">
        <v>1119</v>
      </c>
      <c r="G315" s="832">
        <v>0</v>
      </c>
      <c r="H315" s="832">
        <v>0</v>
      </c>
      <c r="I315" s="832">
        <v>0</v>
      </c>
      <c r="J315" s="832">
        <v>0</v>
      </c>
      <c r="K315" s="832">
        <v>0</v>
      </c>
      <c r="L315" s="832">
        <v>0</v>
      </c>
      <c r="M315" s="832">
        <v>0</v>
      </c>
      <c r="N315" s="832">
        <v>0</v>
      </c>
      <c r="O315" s="832">
        <v>0</v>
      </c>
      <c r="P315" s="832">
        <v>0</v>
      </c>
      <c r="Q315" s="832">
        <v>0</v>
      </c>
      <c r="R315" s="832">
        <v>0</v>
      </c>
      <c r="S315" s="832">
        <v>0</v>
      </c>
      <c r="T315" s="832">
        <v>0</v>
      </c>
      <c r="U315" s="832">
        <v>0</v>
      </c>
      <c r="V315" s="832">
        <v>0</v>
      </c>
      <c r="W315" s="832">
        <v>0</v>
      </c>
      <c r="X315" s="832">
        <v>0</v>
      </c>
      <c r="Y315" s="832">
        <v>0</v>
      </c>
      <c r="Z315" s="832">
        <v>0</v>
      </c>
      <c r="AA315" s="832">
        <v>0</v>
      </c>
      <c r="AB315" s="832">
        <v>0</v>
      </c>
      <c r="AC315" s="832">
        <v>0</v>
      </c>
      <c r="AD315" s="832">
        <v>0</v>
      </c>
      <c r="AE315" s="832">
        <v>0</v>
      </c>
      <c r="AF315" s="832">
        <v>0</v>
      </c>
      <c r="AG315" s="832">
        <v>0</v>
      </c>
      <c r="AH315" s="832">
        <v>0</v>
      </c>
      <c r="AI315" s="832">
        <v>0</v>
      </c>
      <c r="AJ315" s="1030" t="str">
        <f t="shared" si="24"/>
        <v>H02946</v>
      </c>
      <c r="AK315" s="1030" t="str">
        <f t="shared" si="25"/>
        <v>FRAIS REP. HERELLE</v>
      </c>
      <c r="AL315" s="1030">
        <f>IFERROR(INDEX(G315:R315,1,MATCH(Parametres!$B$3,G$1:R$1,0)-1)*IF(OR(F315="L",F315="S",F315="I"),-1,1),"")</f>
        <v>0</v>
      </c>
      <c r="AM315" s="1030">
        <f t="shared" si="26"/>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t="str">
        <f t="shared" si="27"/>
        <v>H02946</v>
      </c>
      <c r="AU315" s="599" t="str">
        <f t="shared" si="28"/>
        <v>FRAIS REP. HERELLE</v>
      </c>
      <c r="AV315" s="1030">
        <f>IFERROR(INDEX(V315:AG315,1,MATCH(Parametres!$B$3,V$1:AG$1,0)-1)*IF(OR(C315="L",C315="S",C315="I"),-1,1),"")</f>
        <v>0</v>
      </c>
      <c r="AW315" s="1030">
        <f t="shared" si="29"/>
        <v>0</v>
      </c>
      <c r="AX315" s="1030">
        <f>INDEX(V315:AG315,1,MATCH(Parametres!$B$3,V$1:AG$1,0))*IF(OR(C315="L",C315="S",C315="I"),-1,1)</f>
        <v>0</v>
      </c>
      <c r="AY315" s="598" t="s">
        <v>337</v>
      </c>
      <c r="AZ315" s="598" t="e">
        <f>+VLOOKUP($AJ315,Data_Validation!$A:$E,5,0)</f>
        <v>#N/A</v>
      </c>
    </row>
    <row r="316" spans="1:52" ht="15" customHeight="1">
      <c r="A316" s="832" t="s">
        <v>1150</v>
      </c>
      <c r="B316" s="832">
        <v>2025</v>
      </c>
      <c r="C316" s="832" t="s">
        <v>1777</v>
      </c>
      <c r="D316" s="832" t="s">
        <v>1778</v>
      </c>
      <c r="E316" s="832" t="s">
        <v>333</v>
      </c>
      <c r="F316" s="832" t="s">
        <v>1119</v>
      </c>
      <c r="G316" s="832">
        <v>0</v>
      </c>
      <c r="H316" s="832">
        <v>0</v>
      </c>
      <c r="I316" s="832">
        <v>0</v>
      </c>
      <c r="J316" s="832">
        <v>0</v>
      </c>
      <c r="K316" s="832">
        <v>0</v>
      </c>
      <c r="L316" s="832">
        <v>0</v>
      </c>
      <c r="M316" s="832">
        <v>0</v>
      </c>
      <c r="N316" s="832">
        <v>0</v>
      </c>
      <c r="O316" s="832">
        <v>0</v>
      </c>
      <c r="P316" s="832">
        <v>0</v>
      </c>
      <c r="Q316" s="832">
        <v>0</v>
      </c>
      <c r="R316" s="832">
        <v>0</v>
      </c>
      <c r="S316" s="832">
        <v>0</v>
      </c>
      <c r="T316" s="832">
        <v>0</v>
      </c>
      <c r="U316" s="832">
        <v>0</v>
      </c>
      <c r="V316" s="832">
        <v>0</v>
      </c>
      <c r="W316" s="832">
        <v>0</v>
      </c>
      <c r="X316" s="832">
        <v>0</v>
      </c>
      <c r="Y316" s="832">
        <v>0</v>
      </c>
      <c r="Z316" s="832">
        <v>0</v>
      </c>
      <c r="AA316" s="832">
        <v>0</v>
      </c>
      <c r="AB316" s="832">
        <v>0</v>
      </c>
      <c r="AC316" s="832">
        <v>0</v>
      </c>
      <c r="AD316" s="832">
        <v>0</v>
      </c>
      <c r="AE316" s="832">
        <v>0</v>
      </c>
      <c r="AF316" s="832">
        <v>0</v>
      </c>
      <c r="AG316" s="832">
        <v>0</v>
      </c>
      <c r="AH316" s="832">
        <v>0</v>
      </c>
      <c r="AI316" s="832">
        <v>0</v>
      </c>
      <c r="AJ316" s="1030" t="str">
        <f t="shared" si="24"/>
        <v>H02947</v>
      </c>
      <c r="AK316" s="1030" t="str">
        <f t="shared" si="25"/>
        <v>TELEPHONE HERELLE</v>
      </c>
      <c r="AL316" s="1030">
        <f>IFERROR(INDEX(G316:R316,1,MATCH(Parametres!$B$3,G$1:R$1,0)-1)*IF(OR(F316="L",F316="S",F316="I"),-1,1),"")</f>
        <v>0</v>
      </c>
      <c r="AM316" s="1030">
        <f t="shared" si="26"/>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t="str">
        <f t="shared" si="27"/>
        <v>H02947</v>
      </c>
      <c r="AU316" s="599" t="str">
        <f t="shared" si="28"/>
        <v>TELEPHONE HERELLE</v>
      </c>
      <c r="AV316" s="1030">
        <f>IFERROR(INDEX(V316:AG316,1,MATCH(Parametres!$B$3,V$1:AG$1,0)-1)*IF(OR(C316="L",C316="S",C316="I"),-1,1),"")</f>
        <v>0</v>
      </c>
      <c r="AW316" s="1030">
        <f t="shared" si="29"/>
        <v>0</v>
      </c>
      <c r="AX316" s="1030">
        <f>INDEX(V316:AG316,1,MATCH(Parametres!$B$3,V$1:AG$1,0))*IF(OR(C316="L",C316="S",C316="I"),-1,1)</f>
        <v>0</v>
      </c>
      <c r="AY316" s="598" t="s">
        <v>337</v>
      </c>
      <c r="AZ316" s="598" t="e">
        <f>+VLOOKUP($AJ316,Data_Validation!$A:$E,5,0)</f>
        <v>#N/A</v>
      </c>
    </row>
    <row r="317" spans="1:52" ht="15" customHeight="1">
      <c r="A317" s="832" t="s">
        <v>1150</v>
      </c>
      <c r="B317" s="832">
        <v>2025</v>
      </c>
      <c r="C317" s="832" t="s">
        <v>1779</v>
      </c>
      <c r="D317" s="832" t="s">
        <v>1780</v>
      </c>
      <c r="E317" s="832" t="s">
        <v>333</v>
      </c>
      <c r="F317" s="832" t="s">
        <v>1119</v>
      </c>
      <c r="G317" s="832">
        <v>0</v>
      </c>
      <c r="H317" s="832">
        <v>0</v>
      </c>
      <c r="I317" s="832">
        <v>0</v>
      </c>
      <c r="J317" s="832">
        <v>0</v>
      </c>
      <c r="K317" s="832">
        <v>0</v>
      </c>
      <c r="L317" s="832">
        <v>0</v>
      </c>
      <c r="M317" s="832">
        <v>0</v>
      </c>
      <c r="N317" s="832">
        <v>0</v>
      </c>
      <c r="O317" s="832">
        <v>0</v>
      </c>
      <c r="P317" s="832">
        <v>0</v>
      </c>
      <c r="Q317" s="832">
        <v>0</v>
      </c>
      <c r="R317" s="832">
        <v>0</v>
      </c>
      <c r="S317" s="832">
        <v>0</v>
      </c>
      <c r="T317" s="832">
        <v>0</v>
      </c>
      <c r="U317" s="832">
        <v>0</v>
      </c>
      <c r="V317" s="832">
        <v>0</v>
      </c>
      <c r="W317" s="832">
        <v>0</v>
      </c>
      <c r="X317" s="832">
        <v>0</v>
      </c>
      <c r="Y317" s="832">
        <v>0</v>
      </c>
      <c r="Z317" s="832">
        <v>0</v>
      </c>
      <c r="AA317" s="832">
        <v>0</v>
      </c>
      <c r="AB317" s="832">
        <v>0</v>
      </c>
      <c r="AC317" s="832">
        <v>0</v>
      </c>
      <c r="AD317" s="832">
        <v>0</v>
      </c>
      <c r="AE317" s="832">
        <v>0</v>
      </c>
      <c r="AF317" s="832">
        <v>0</v>
      </c>
      <c r="AG317" s="832">
        <v>0</v>
      </c>
      <c r="AH317" s="832">
        <v>0</v>
      </c>
      <c r="AI317" s="832">
        <v>0</v>
      </c>
      <c r="AJ317" s="1030" t="str">
        <f t="shared" si="24"/>
        <v>H02952</v>
      </c>
      <c r="AK317" s="1030" t="str">
        <f t="shared" si="25"/>
        <v>DIVERS 4 DEPT HERELLE</v>
      </c>
      <c r="AL317" s="1030">
        <f>IFERROR(INDEX(G317:R317,1,MATCH(Parametres!$B$3,G$1:R$1,0)-1)*IF(OR(F317="L",F317="S",F317="I"),-1,1),"")</f>
        <v>0</v>
      </c>
      <c r="AM317" s="1030">
        <f t="shared" si="26"/>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t="str">
        <f t="shared" si="27"/>
        <v>H02952</v>
      </c>
      <c r="AU317" s="599" t="str">
        <f t="shared" si="28"/>
        <v>DIVERS 4 DEPT HERELLE</v>
      </c>
      <c r="AV317" s="1030">
        <f>IFERROR(INDEX(V317:AG317,1,MATCH(Parametres!$B$3,V$1:AG$1,0)-1)*IF(OR(C317="L",C317="S",C317="I"),-1,1),"")</f>
        <v>0</v>
      </c>
      <c r="AW317" s="1030">
        <f t="shared" si="29"/>
        <v>0</v>
      </c>
      <c r="AX317" s="1030">
        <f>INDEX(V317:AG317,1,MATCH(Parametres!$B$3,V$1:AG$1,0))*IF(OR(C317="L",C317="S",C317="I"),-1,1)</f>
        <v>0</v>
      </c>
      <c r="AY317" s="598" t="s">
        <v>337</v>
      </c>
      <c r="AZ317" s="598" t="e">
        <f>+VLOOKUP($AJ317,Data_Validation!$A:$E,5,0)</f>
        <v>#N/A</v>
      </c>
    </row>
    <row r="318" spans="1:52" ht="15.75" customHeight="1">
      <c r="A318" s="832" t="s">
        <v>1150</v>
      </c>
      <c r="B318" s="832">
        <v>2025</v>
      </c>
      <c r="C318" s="832" t="s">
        <v>1781</v>
      </c>
      <c r="D318" s="832" t="s">
        <v>1782</v>
      </c>
      <c r="E318" s="832" t="s">
        <v>333</v>
      </c>
      <c r="F318" s="832" t="s">
        <v>1119</v>
      </c>
      <c r="G318" s="832">
        <v>0</v>
      </c>
      <c r="H318" s="832">
        <v>0</v>
      </c>
      <c r="I318" s="832">
        <v>0</v>
      </c>
      <c r="J318" s="832">
        <v>0</v>
      </c>
      <c r="K318" s="832">
        <v>0</v>
      </c>
      <c r="L318" s="832">
        <v>0</v>
      </c>
      <c r="M318" s="832">
        <v>0</v>
      </c>
      <c r="N318" s="832">
        <v>0</v>
      </c>
      <c r="O318" s="832">
        <v>0</v>
      </c>
      <c r="P318" s="832">
        <v>0</v>
      </c>
      <c r="Q318" s="832">
        <v>0</v>
      </c>
      <c r="R318" s="832">
        <v>0</v>
      </c>
      <c r="S318" s="832">
        <v>0</v>
      </c>
      <c r="T318" s="832">
        <v>0</v>
      </c>
      <c r="U318" s="832">
        <v>0</v>
      </c>
      <c r="V318" s="832">
        <v>0</v>
      </c>
      <c r="W318" s="832">
        <v>0</v>
      </c>
      <c r="X318" s="832">
        <v>0</v>
      </c>
      <c r="Y318" s="832">
        <v>0</v>
      </c>
      <c r="Z318" s="832">
        <v>0</v>
      </c>
      <c r="AA318" s="832">
        <v>0</v>
      </c>
      <c r="AB318" s="832">
        <v>0</v>
      </c>
      <c r="AC318" s="832">
        <v>0</v>
      </c>
      <c r="AD318" s="832">
        <v>0</v>
      </c>
      <c r="AE318" s="832">
        <v>0</v>
      </c>
      <c r="AF318" s="832">
        <v>0</v>
      </c>
      <c r="AG318" s="832">
        <v>0</v>
      </c>
      <c r="AH318" s="832">
        <v>0</v>
      </c>
      <c r="AI318" s="832">
        <v>0</v>
      </c>
      <c r="AJ318" s="1030" t="str">
        <f t="shared" si="24"/>
        <v>H02960</v>
      </c>
      <c r="AK318" s="1030" t="str">
        <f t="shared" si="25"/>
        <v>LOYER HERELLE 4 DEPTS</v>
      </c>
      <c r="AL318" s="1030">
        <f>IFERROR(INDEX(G318:R318,1,MATCH(Parametres!$B$3,G$1:R$1,0)-1)*IF(OR(F318="L",F318="S",F318="I"),-1,1),"")</f>
        <v>0</v>
      </c>
      <c r="AM318" s="1030">
        <f t="shared" si="26"/>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t="str">
        <f t="shared" si="27"/>
        <v>H02960</v>
      </c>
      <c r="AU318" s="599" t="str">
        <f t="shared" si="28"/>
        <v>LOYER HERELLE 4 DEPTS</v>
      </c>
      <c r="AV318" s="1030">
        <f>IFERROR(INDEX(V318:AG318,1,MATCH(Parametres!$B$3,V$1:AG$1,0)-1)*IF(OR(C318="L",C318="S",C318="I"),-1,1),"")</f>
        <v>0</v>
      </c>
      <c r="AW318" s="1030">
        <f t="shared" si="29"/>
        <v>0</v>
      </c>
      <c r="AX318" s="1030">
        <f>INDEX(V318:AG318,1,MATCH(Parametres!$B$3,V$1:AG$1,0))*IF(OR(C318="L",C318="S",C318="I"),-1,1)</f>
        <v>0</v>
      </c>
      <c r="AY318" s="598" t="s">
        <v>337</v>
      </c>
      <c r="AZ318" s="598" t="e">
        <f>+VLOOKUP($AJ318,Data_Validation!$A:$E,5,0)</f>
        <v>#N/A</v>
      </c>
    </row>
    <row r="319" spans="1:52" ht="15" customHeight="1">
      <c r="A319" s="832" t="s">
        <v>1150</v>
      </c>
      <c r="B319" s="832">
        <v>2025</v>
      </c>
      <c r="C319" s="832" t="s">
        <v>1783</v>
      </c>
      <c r="D319" s="832" t="s">
        <v>1784</v>
      </c>
      <c r="E319" s="832" t="s">
        <v>333</v>
      </c>
      <c r="F319" s="832" t="s">
        <v>1119</v>
      </c>
      <c r="G319" s="832">
        <v>0</v>
      </c>
      <c r="H319" s="832">
        <v>0</v>
      </c>
      <c r="I319" s="832">
        <v>0</v>
      </c>
      <c r="J319" s="832">
        <v>0</v>
      </c>
      <c r="K319" s="832">
        <v>0</v>
      </c>
      <c r="L319" s="832">
        <v>0</v>
      </c>
      <c r="M319" s="832">
        <v>0</v>
      </c>
      <c r="N319" s="832">
        <v>0</v>
      </c>
      <c r="O319" s="832">
        <v>0</v>
      </c>
      <c r="P319" s="832">
        <v>0</v>
      </c>
      <c r="Q319" s="832">
        <v>0</v>
      </c>
      <c r="R319" s="832">
        <v>0</v>
      </c>
      <c r="S319" s="832">
        <v>0</v>
      </c>
      <c r="T319" s="832">
        <v>0</v>
      </c>
      <c r="U319" s="832">
        <v>0</v>
      </c>
      <c r="V319" s="832">
        <v>0</v>
      </c>
      <c r="W319" s="832">
        <v>0</v>
      </c>
      <c r="X319" s="832">
        <v>0</v>
      </c>
      <c r="Y319" s="832">
        <v>0</v>
      </c>
      <c r="Z319" s="832">
        <v>0</v>
      </c>
      <c r="AA319" s="832">
        <v>0</v>
      </c>
      <c r="AB319" s="832">
        <v>0</v>
      </c>
      <c r="AC319" s="832">
        <v>0</v>
      </c>
      <c r="AD319" s="832">
        <v>0</v>
      </c>
      <c r="AE319" s="832">
        <v>0</v>
      </c>
      <c r="AF319" s="832">
        <v>0</v>
      </c>
      <c r="AG319" s="832">
        <v>0</v>
      </c>
      <c r="AH319" s="832">
        <v>0</v>
      </c>
      <c r="AI319" s="832">
        <v>0</v>
      </c>
      <c r="AJ319" s="1030" t="str">
        <f t="shared" si="24"/>
        <v>H02962</v>
      </c>
      <c r="AK319" s="1030" t="str">
        <f t="shared" si="25"/>
        <v>DIS ENTRETIEN HERELLE</v>
      </c>
      <c r="AL319" s="1030">
        <f>IFERROR(INDEX(G319:R319,1,MATCH(Parametres!$B$3,G$1:R$1,0)-1)*IF(OR(F319="L",F319="S",F319="I"),-1,1),"")</f>
        <v>0</v>
      </c>
      <c r="AM319" s="1030">
        <f t="shared" si="26"/>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t="str">
        <f t="shared" si="27"/>
        <v>H02962</v>
      </c>
      <c r="AU319" s="599" t="str">
        <f t="shared" si="28"/>
        <v>DIS ENTRETIEN HERELLE</v>
      </c>
      <c r="AV319" s="1030">
        <f>IFERROR(INDEX(V319:AG319,1,MATCH(Parametres!$B$3,V$1:AG$1,0)-1)*IF(OR(C319="L",C319="S",C319="I"),-1,1),"")</f>
        <v>0</v>
      </c>
      <c r="AW319" s="1030">
        <f t="shared" si="29"/>
        <v>0</v>
      </c>
      <c r="AX319" s="1030">
        <f>INDEX(V319:AG319,1,MATCH(Parametres!$B$3,V$1:AG$1,0))*IF(OR(C319="L",C319="S",C319="I"),-1,1)</f>
        <v>0</v>
      </c>
      <c r="AY319" s="598" t="s">
        <v>337</v>
      </c>
      <c r="AZ319" s="598" t="e">
        <f>+VLOOKUP($AJ319,Data_Validation!$A:$E,5,0)</f>
        <v>#N/A</v>
      </c>
    </row>
    <row r="320" spans="1:52" ht="15" customHeight="1">
      <c r="A320" s="832" t="s">
        <v>1150</v>
      </c>
      <c r="B320" s="832">
        <v>2025</v>
      </c>
      <c r="C320" s="832" t="s">
        <v>1785</v>
      </c>
      <c r="D320" s="832" t="s">
        <v>1786</v>
      </c>
      <c r="E320" s="832" t="s">
        <v>333</v>
      </c>
      <c r="F320" s="832" t="s">
        <v>1119</v>
      </c>
      <c r="G320" s="832">
        <v>0</v>
      </c>
      <c r="H320" s="832">
        <v>0</v>
      </c>
      <c r="I320" s="832">
        <v>0</v>
      </c>
      <c r="J320" s="832">
        <v>0</v>
      </c>
      <c r="K320" s="832">
        <v>0</v>
      </c>
      <c r="L320" s="832">
        <v>0</v>
      </c>
      <c r="M320" s="832">
        <v>0</v>
      </c>
      <c r="N320" s="832">
        <v>0</v>
      </c>
      <c r="O320" s="832">
        <v>0</v>
      </c>
      <c r="P320" s="832">
        <v>0</v>
      </c>
      <c r="Q320" s="832">
        <v>0</v>
      </c>
      <c r="R320" s="832">
        <v>0</v>
      </c>
      <c r="S320" s="832">
        <v>0</v>
      </c>
      <c r="T320" s="832">
        <v>0</v>
      </c>
      <c r="U320" s="832">
        <v>0</v>
      </c>
      <c r="V320" s="832">
        <v>0</v>
      </c>
      <c r="W320" s="832">
        <v>0</v>
      </c>
      <c r="X320" s="832">
        <v>0</v>
      </c>
      <c r="Y320" s="832">
        <v>0</v>
      </c>
      <c r="Z320" s="832">
        <v>0</v>
      </c>
      <c r="AA320" s="832">
        <v>0</v>
      </c>
      <c r="AB320" s="832">
        <v>0</v>
      </c>
      <c r="AC320" s="832">
        <v>0</v>
      </c>
      <c r="AD320" s="832">
        <v>0</v>
      </c>
      <c r="AE320" s="832">
        <v>0</v>
      </c>
      <c r="AF320" s="832">
        <v>0</v>
      </c>
      <c r="AG320" s="832">
        <v>0</v>
      </c>
      <c r="AH320" s="832">
        <v>0</v>
      </c>
      <c r="AI320" s="832">
        <v>0</v>
      </c>
      <c r="AJ320" s="1030" t="str">
        <f t="shared" si="24"/>
        <v>H02963</v>
      </c>
      <c r="AK320" s="1030" t="str">
        <f t="shared" si="25"/>
        <v>TAXES HERELLE 4 DEPT</v>
      </c>
      <c r="AL320" s="1030">
        <f>IFERROR(INDEX(G320:R320,1,MATCH(Parametres!$B$3,G$1:R$1,0)-1)*IF(OR(F320="L",F320="S",F320="I"),-1,1),"")</f>
        <v>0</v>
      </c>
      <c r="AM320" s="1030">
        <f t="shared" si="26"/>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t="str">
        <f t="shared" si="27"/>
        <v>H02963</v>
      </c>
      <c r="AU320" s="599" t="str">
        <f t="shared" si="28"/>
        <v>TAXES HERELLE 4 DEPT</v>
      </c>
      <c r="AV320" s="1030">
        <f>IFERROR(INDEX(V320:AG320,1,MATCH(Parametres!$B$3,V$1:AG$1,0)-1)*IF(OR(C320="L",C320="S",C320="I"),-1,1),"")</f>
        <v>0</v>
      </c>
      <c r="AW320" s="1030">
        <f t="shared" si="29"/>
        <v>0</v>
      </c>
      <c r="AX320" s="1030">
        <f>INDEX(V320:AG320,1,MATCH(Parametres!$B$3,V$1:AG$1,0))*IF(OR(C320="L",C320="S",C320="I"),-1,1)</f>
        <v>0</v>
      </c>
      <c r="AY320" s="598" t="s">
        <v>337</v>
      </c>
      <c r="AZ320" s="598" t="e">
        <f>+VLOOKUP($AJ320,Data_Validation!$A:$E,5,0)</f>
        <v>#N/A</v>
      </c>
    </row>
    <row r="321" spans="1:52" ht="15" customHeight="1">
      <c r="A321" s="832" t="s">
        <v>1150</v>
      </c>
      <c r="B321" s="832">
        <v>2025</v>
      </c>
      <c r="C321" s="832" t="s">
        <v>1787</v>
      </c>
      <c r="D321" s="832" t="s">
        <v>1788</v>
      </c>
      <c r="E321" s="832" t="s">
        <v>333</v>
      </c>
      <c r="F321" s="832" t="s">
        <v>1119</v>
      </c>
      <c r="G321" s="832">
        <v>0</v>
      </c>
      <c r="H321" s="832">
        <v>0</v>
      </c>
      <c r="I321" s="832">
        <v>0</v>
      </c>
      <c r="J321" s="832">
        <v>0</v>
      </c>
      <c r="K321" s="832">
        <v>0</v>
      </c>
      <c r="L321" s="832">
        <v>0</v>
      </c>
      <c r="M321" s="832">
        <v>0</v>
      </c>
      <c r="N321" s="832">
        <v>0</v>
      </c>
      <c r="O321" s="832">
        <v>0</v>
      </c>
      <c r="P321" s="832">
        <v>0</v>
      </c>
      <c r="Q321" s="832">
        <v>0</v>
      </c>
      <c r="R321" s="832">
        <v>0</v>
      </c>
      <c r="S321" s="832">
        <v>0</v>
      </c>
      <c r="T321" s="832">
        <v>0</v>
      </c>
      <c r="U321" s="832">
        <v>0</v>
      </c>
      <c r="V321" s="832">
        <v>0</v>
      </c>
      <c r="W321" s="832">
        <v>0</v>
      </c>
      <c r="X321" s="832">
        <v>0</v>
      </c>
      <c r="Y321" s="832">
        <v>0</v>
      </c>
      <c r="Z321" s="832">
        <v>0</v>
      </c>
      <c r="AA321" s="832">
        <v>0</v>
      </c>
      <c r="AB321" s="832">
        <v>0</v>
      </c>
      <c r="AC321" s="832">
        <v>0</v>
      </c>
      <c r="AD321" s="832">
        <v>0</v>
      </c>
      <c r="AE321" s="832">
        <v>0</v>
      </c>
      <c r="AF321" s="832">
        <v>0</v>
      </c>
      <c r="AG321" s="832">
        <v>0</v>
      </c>
      <c r="AH321" s="832">
        <v>0</v>
      </c>
      <c r="AI321" s="832">
        <v>0</v>
      </c>
      <c r="AJ321" s="1030" t="str">
        <f t="shared" si="24"/>
        <v>H02970</v>
      </c>
      <c r="AK321" s="1030" t="str">
        <f t="shared" si="25"/>
        <v>ASSURANCES HERELLE 4 DEPT</v>
      </c>
      <c r="AL321" s="1030">
        <f>IFERROR(INDEX(G321:R321,1,MATCH(Parametres!$B$3,G$1:R$1,0)-1)*IF(OR(F321="L",F321="S",F321="I"),-1,1),"")</f>
        <v>0</v>
      </c>
      <c r="AM321" s="1030">
        <f t="shared" si="26"/>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t="str">
        <f t="shared" si="27"/>
        <v>H02970</v>
      </c>
      <c r="AU321" s="599" t="str">
        <f t="shared" si="28"/>
        <v>ASSURANCES HERELLE 4 DEPT</v>
      </c>
      <c r="AV321" s="1030">
        <f>IFERROR(INDEX(V321:AG321,1,MATCH(Parametres!$B$3,V$1:AG$1,0)-1)*IF(OR(C321="L",C321="S",C321="I"),-1,1),"")</f>
        <v>0</v>
      </c>
      <c r="AW321" s="1030">
        <f t="shared" si="29"/>
        <v>0</v>
      </c>
      <c r="AX321" s="1030">
        <f>INDEX(V321:AG321,1,MATCH(Parametres!$B$3,V$1:AG$1,0))*IF(OR(C321="L",C321="S",C321="I"),-1,1)</f>
        <v>0</v>
      </c>
      <c r="AY321" s="598" t="s">
        <v>337</v>
      </c>
      <c r="AZ321" s="598" t="e">
        <f>+VLOOKUP($AJ321,Data_Validation!$A:$E,5,0)</f>
        <v>#N/A</v>
      </c>
    </row>
    <row r="322" spans="1:52" ht="15.75" customHeight="1">
      <c r="A322" s="832" t="s">
        <v>1150</v>
      </c>
      <c r="B322" s="832">
        <v>2025</v>
      </c>
      <c r="C322" s="832" t="s">
        <v>1789</v>
      </c>
      <c r="D322" s="832" t="s">
        <v>1790</v>
      </c>
      <c r="E322" s="832" t="s">
        <v>333</v>
      </c>
      <c r="F322" s="832" t="s">
        <v>1119</v>
      </c>
      <c r="G322" s="832">
        <v>0</v>
      </c>
      <c r="H322" s="832">
        <v>0</v>
      </c>
      <c r="I322" s="832">
        <v>0</v>
      </c>
      <c r="J322" s="832">
        <v>0</v>
      </c>
      <c r="K322" s="832">
        <v>0</v>
      </c>
      <c r="L322" s="832">
        <v>0</v>
      </c>
      <c r="M322" s="832">
        <v>0</v>
      </c>
      <c r="N322" s="832">
        <v>0</v>
      </c>
      <c r="O322" s="832">
        <v>0</v>
      </c>
      <c r="P322" s="832">
        <v>0</v>
      </c>
      <c r="Q322" s="832">
        <v>0</v>
      </c>
      <c r="R322" s="832">
        <v>0</v>
      </c>
      <c r="S322" s="832">
        <v>0</v>
      </c>
      <c r="T322" s="832">
        <v>0</v>
      </c>
      <c r="U322" s="832">
        <v>0</v>
      </c>
      <c r="V322" s="832">
        <v>0</v>
      </c>
      <c r="W322" s="832">
        <v>0</v>
      </c>
      <c r="X322" s="832">
        <v>0</v>
      </c>
      <c r="Y322" s="832">
        <v>0</v>
      </c>
      <c r="Z322" s="832">
        <v>0</v>
      </c>
      <c r="AA322" s="832">
        <v>0</v>
      </c>
      <c r="AB322" s="832">
        <v>0</v>
      </c>
      <c r="AC322" s="832">
        <v>0</v>
      </c>
      <c r="AD322" s="832">
        <v>0</v>
      </c>
      <c r="AE322" s="832">
        <v>0</v>
      </c>
      <c r="AF322" s="832">
        <v>0</v>
      </c>
      <c r="AG322" s="832">
        <v>0</v>
      </c>
      <c r="AH322" s="832">
        <v>0</v>
      </c>
      <c r="AI322" s="832">
        <v>0</v>
      </c>
      <c r="AJ322" s="1030" t="str">
        <f t="shared" si="24"/>
        <v>H02974</v>
      </c>
      <c r="AK322" s="1030" t="str">
        <f t="shared" si="25"/>
        <v>ELECT. GAZ METRO 4 DEPT</v>
      </c>
      <c r="AL322" s="1030">
        <f>IFERROR(INDEX(G322:R322,1,MATCH(Parametres!$B$3,G$1:R$1,0)-1)*IF(OR(F322="L",F322="S",F322="I"),-1,1),"")</f>
        <v>0</v>
      </c>
      <c r="AM322" s="1030">
        <f t="shared" si="26"/>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t="str">
        <f t="shared" si="27"/>
        <v>H02974</v>
      </c>
      <c r="AU322" s="599" t="str">
        <f t="shared" si="28"/>
        <v>ELECT. GAZ METRO 4 DEPT</v>
      </c>
      <c r="AV322" s="1030">
        <f>IFERROR(INDEX(V322:AG322,1,MATCH(Parametres!$B$3,V$1:AG$1,0)-1)*IF(OR(C322="L",C322="S",C322="I"),-1,1),"")</f>
        <v>0</v>
      </c>
      <c r="AW322" s="1030">
        <f t="shared" si="29"/>
        <v>0</v>
      </c>
      <c r="AX322" s="1030">
        <f>INDEX(V322:AG322,1,MATCH(Parametres!$B$3,V$1:AG$1,0))*IF(OR(C322="L",C322="S",C322="I"),-1,1)</f>
        <v>0</v>
      </c>
      <c r="AY322" s="598" t="s">
        <v>337</v>
      </c>
      <c r="AZ322" s="598" t="e">
        <f>+VLOOKUP($AJ322,Data_Validation!$A:$E,5,0)</f>
        <v>#N/A</v>
      </c>
    </row>
    <row r="323" spans="1:52" ht="15" customHeight="1">
      <c r="A323" s="832" t="s">
        <v>1150</v>
      </c>
      <c r="B323" s="832">
        <v>2025</v>
      </c>
      <c r="C323" s="832" t="s">
        <v>1791</v>
      </c>
      <c r="D323" s="832" t="s">
        <v>647</v>
      </c>
      <c r="E323" s="832" t="s">
        <v>333</v>
      </c>
      <c r="F323" s="832" t="s">
        <v>1792</v>
      </c>
      <c r="G323" s="832">
        <v>1300</v>
      </c>
      <c r="H323" s="832">
        <v>1200</v>
      </c>
      <c r="I323" s="832">
        <v>1200</v>
      </c>
      <c r="J323" s="832">
        <v>1200</v>
      </c>
      <c r="K323" s="832">
        <v>1200</v>
      </c>
      <c r="L323" s="832">
        <v>1200</v>
      </c>
      <c r="M323" s="832">
        <v>1100</v>
      </c>
      <c r="N323" s="832">
        <v>1220</v>
      </c>
      <c r="O323" s="832">
        <v>1220</v>
      </c>
      <c r="P323" s="832">
        <v>1220</v>
      </c>
      <c r="Q323" s="832">
        <v>1220</v>
      </c>
      <c r="R323" s="832">
        <v>1220</v>
      </c>
      <c r="S323" s="832">
        <v>0</v>
      </c>
      <c r="T323" s="832">
        <v>0</v>
      </c>
      <c r="U323" s="832">
        <v>0</v>
      </c>
      <c r="V323" s="832">
        <v>0</v>
      </c>
      <c r="W323" s="832">
        <v>0</v>
      </c>
      <c r="X323" s="832">
        <v>0</v>
      </c>
      <c r="Y323" s="832">
        <v>0</v>
      </c>
      <c r="Z323" s="832">
        <v>0</v>
      </c>
      <c r="AA323" s="832">
        <v>0</v>
      </c>
      <c r="AB323" s="832">
        <v>0</v>
      </c>
      <c r="AC323" s="832">
        <v>0</v>
      </c>
      <c r="AD323" s="832">
        <v>0</v>
      </c>
      <c r="AE323" s="832">
        <v>0</v>
      </c>
      <c r="AF323" s="832">
        <v>0</v>
      </c>
      <c r="AG323" s="832">
        <v>0</v>
      </c>
      <c r="AH323" s="832">
        <v>0</v>
      </c>
      <c r="AI323" s="832">
        <v>0</v>
      </c>
      <c r="AJ323" s="1030" t="str">
        <f t="shared" si="24"/>
        <v>H10100</v>
      </c>
      <c r="AK323" s="1030" t="str">
        <f t="shared" si="25"/>
        <v>PETITE CAISSE</v>
      </c>
      <c r="AL323" s="1030">
        <f>IFERROR(INDEX(G323:R323,1,MATCH(Parametres!$B$3,G$1:R$1,0)-1)*IF(OR(F323="L",F323="S",F323="I"),-1,1),"")</f>
        <v>1200</v>
      </c>
      <c r="AM323" s="1030">
        <f t="shared" si="26"/>
        <v>0</v>
      </c>
      <c r="AN323" s="1030">
        <f>INDEX(G323:R323,1,MATCH(Parametres!$B$3,G$1:R$1,0))*IF(OR(F323="L",F323="S",F323="I"),-1,1)</f>
        <v>1200</v>
      </c>
      <c r="AO323" s="598" t="str">
        <f>+VLOOKUP($AJ323,Data_Validation!$A:$D,1,0)</f>
        <v>H10100</v>
      </c>
      <c r="AP323" s="598" t="str">
        <f>+VLOOKUP($AJ323,Data_Validation!$A:$D,3,0)</f>
        <v>Bilan</v>
      </c>
      <c r="AQ323" s="598" t="str">
        <f>+VLOOKUP($AJ323,Data_Validation!$A:$D,4,0)</f>
        <v>Encaisse</v>
      </c>
      <c r="AR323" s="598" t="s">
        <v>299</v>
      </c>
      <c r="AS323" s="598">
        <f>+VLOOKUP($AJ323,Data_Validation!$A:$E,5,0)</f>
        <v>0</v>
      </c>
      <c r="AT323" s="1036" t="str">
        <f t="shared" si="27"/>
        <v>H10100</v>
      </c>
      <c r="AU323" s="599" t="str">
        <f t="shared" si="28"/>
        <v>PETITE CAISSE</v>
      </c>
      <c r="AV323" s="1030">
        <f>IFERROR(INDEX(V323:AG323,1,MATCH(Parametres!$B$3,V$1:AG$1,0)-1)*IF(OR(C323="L",C323="S",C323="I"),-1,1),"")</f>
        <v>0</v>
      </c>
      <c r="AW323" s="1030">
        <f t="shared" si="29"/>
        <v>0</v>
      </c>
      <c r="AX323" s="1030">
        <f>INDEX(V323:AG323,1,MATCH(Parametres!$B$3,V$1:AG$1,0))*IF(OR(C323="L",C323="S",C323="I"),-1,1)</f>
        <v>0</v>
      </c>
      <c r="AY323" s="598" t="s">
        <v>337</v>
      </c>
      <c r="AZ323" s="598">
        <f>+VLOOKUP($AJ323,Data_Validation!$A:$E,5,0)</f>
        <v>0</v>
      </c>
    </row>
    <row r="324" spans="1:52" ht="15" customHeight="1">
      <c r="A324" s="832" t="s">
        <v>1150</v>
      </c>
      <c r="B324" s="832">
        <v>2025</v>
      </c>
      <c r="C324" s="832" t="s">
        <v>1793</v>
      </c>
      <c r="D324" s="832" t="s">
        <v>647</v>
      </c>
      <c r="E324" s="832" t="s">
        <v>333</v>
      </c>
      <c r="F324" s="832" t="s">
        <v>1792</v>
      </c>
      <c r="G324" s="832">
        <v>0</v>
      </c>
      <c r="H324" s="832">
        <v>0</v>
      </c>
      <c r="I324" s="832">
        <v>0</v>
      </c>
      <c r="J324" s="832">
        <v>0</v>
      </c>
      <c r="K324" s="832">
        <v>0</v>
      </c>
      <c r="L324" s="832">
        <v>0</v>
      </c>
      <c r="M324" s="832">
        <v>0</v>
      </c>
      <c r="N324" s="832">
        <v>0</v>
      </c>
      <c r="O324" s="832">
        <v>0</v>
      </c>
      <c r="P324" s="832">
        <v>0</v>
      </c>
      <c r="Q324" s="832">
        <v>0</v>
      </c>
      <c r="R324" s="832">
        <v>0</v>
      </c>
      <c r="S324" s="832">
        <v>0</v>
      </c>
      <c r="T324" s="832">
        <v>0</v>
      </c>
      <c r="U324" s="832">
        <v>0</v>
      </c>
      <c r="V324" s="832">
        <v>0</v>
      </c>
      <c r="W324" s="832">
        <v>0</v>
      </c>
      <c r="X324" s="832">
        <v>0</v>
      </c>
      <c r="Y324" s="832">
        <v>0</v>
      </c>
      <c r="Z324" s="832">
        <v>0</v>
      </c>
      <c r="AA324" s="832">
        <v>0</v>
      </c>
      <c r="AB324" s="832">
        <v>0</v>
      </c>
      <c r="AC324" s="832">
        <v>0</v>
      </c>
      <c r="AD324" s="832">
        <v>0</v>
      </c>
      <c r="AE324" s="832">
        <v>0</v>
      </c>
      <c r="AF324" s="832">
        <v>0</v>
      </c>
      <c r="AG324" s="832">
        <v>0</v>
      </c>
      <c r="AH324" s="832">
        <v>0</v>
      </c>
      <c r="AI324" s="832">
        <v>0</v>
      </c>
      <c r="AJ324" s="1030" t="str">
        <f t="shared" ref="AJ324:AJ387" si="30">C324</f>
        <v>H10110</v>
      </c>
      <c r="AK324" s="1030" t="str">
        <f t="shared" ref="AK324:AK387" si="31">D324</f>
        <v>PETITE CAISSE</v>
      </c>
      <c r="AL324" s="1030">
        <f>IFERROR(INDEX(G324:R324,1,MATCH(Parametres!$B$3,G$1:R$1,0)-1)*IF(OR(F324="L",F324="S",F324="I"),-1,1),"")</f>
        <v>0</v>
      </c>
      <c r="AM324" s="1030">
        <f t="shared" ref="AM324:AM387" si="32">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t="str">
        <f t="shared" ref="AT324:AT387" si="33">C324</f>
        <v>H10110</v>
      </c>
      <c r="AU324" s="599" t="str">
        <f t="shared" ref="AU324:AU387" si="34">D324</f>
        <v>PETITE CAISSE</v>
      </c>
      <c r="AV324" s="1030">
        <f>IFERROR(INDEX(V324:AG324,1,MATCH(Parametres!$B$3,V$1:AG$1,0)-1)*IF(OR(C324="L",C324="S",C324="I"),-1,1),"")</f>
        <v>0</v>
      </c>
      <c r="AW324" s="1030">
        <f t="shared" ref="AW324:AW387" si="35">AX324-N(AV324)</f>
        <v>0</v>
      </c>
      <c r="AX324" s="1030">
        <f>INDEX(V324:AG324,1,MATCH(Parametres!$B$3,V$1:AG$1,0))*IF(OR(C324="L",C324="S",C324="I"),-1,1)</f>
        <v>0</v>
      </c>
      <c r="AY324" s="598" t="s">
        <v>337</v>
      </c>
      <c r="AZ324" s="598" t="e">
        <f>+VLOOKUP($AJ324,Data_Validation!$A:$E,5,0)</f>
        <v>#N/A</v>
      </c>
    </row>
    <row r="325" spans="1:52" ht="15" customHeight="1">
      <c r="A325" s="832" t="s">
        <v>1150</v>
      </c>
      <c r="B325" s="832">
        <v>2025</v>
      </c>
      <c r="C325" s="832" t="s">
        <v>1794</v>
      </c>
      <c r="D325" s="832" t="s">
        <v>1795</v>
      </c>
      <c r="E325" s="832" t="s">
        <v>333</v>
      </c>
      <c r="F325" s="832" t="s">
        <v>1792</v>
      </c>
      <c r="G325" s="832">
        <v>0</v>
      </c>
      <c r="H325" s="832">
        <v>0</v>
      </c>
      <c r="I325" s="832">
        <v>0</v>
      </c>
      <c r="J325" s="832">
        <v>0</v>
      </c>
      <c r="K325" s="832">
        <v>0</v>
      </c>
      <c r="L325" s="832">
        <v>0</v>
      </c>
      <c r="M325" s="832">
        <v>0</v>
      </c>
      <c r="N325" s="832">
        <v>0</v>
      </c>
      <c r="O325" s="832">
        <v>0</v>
      </c>
      <c r="P325" s="832">
        <v>0</v>
      </c>
      <c r="Q325" s="832">
        <v>0</v>
      </c>
      <c r="R325" s="832">
        <v>0</v>
      </c>
      <c r="S325" s="832">
        <v>0</v>
      </c>
      <c r="T325" s="832">
        <v>0</v>
      </c>
      <c r="U325" s="832">
        <v>0</v>
      </c>
      <c r="V325" s="832">
        <v>0</v>
      </c>
      <c r="W325" s="832">
        <v>0</v>
      </c>
      <c r="X325" s="832">
        <v>0</v>
      </c>
      <c r="Y325" s="832">
        <v>0</v>
      </c>
      <c r="Z325" s="832">
        <v>0</v>
      </c>
      <c r="AA325" s="832">
        <v>0</v>
      </c>
      <c r="AB325" s="832">
        <v>0</v>
      </c>
      <c r="AC325" s="832">
        <v>0</v>
      </c>
      <c r="AD325" s="832">
        <v>0</v>
      </c>
      <c r="AE325" s="832">
        <v>0</v>
      </c>
      <c r="AF325" s="832">
        <v>0</v>
      </c>
      <c r="AG325" s="832">
        <v>0</v>
      </c>
      <c r="AH325" s="832">
        <v>0</v>
      </c>
      <c r="AI325" s="832">
        <v>0</v>
      </c>
      <c r="AJ325" s="1030" t="str">
        <f t="shared" si="30"/>
        <v>H10120</v>
      </c>
      <c r="AK325" s="1030" t="str">
        <f t="shared" si="31"/>
        <v>PETITE CAISSE SERVICE</v>
      </c>
      <c r="AL325" s="1030">
        <f>IFERROR(INDEX(G325:R325,1,MATCH(Parametres!$B$3,G$1:R$1,0)-1)*IF(OR(F325="L",F325="S",F325="I"),-1,1),"")</f>
        <v>0</v>
      </c>
      <c r="AM325" s="1030">
        <f t="shared" si="32"/>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t="str">
        <f t="shared" si="33"/>
        <v>H10120</v>
      </c>
      <c r="AU325" s="599" t="str">
        <f t="shared" si="34"/>
        <v>PETITE CAISSE SERVICE</v>
      </c>
      <c r="AV325" s="1030">
        <f>IFERROR(INDEX(V325:AG325,1,MATCH(Parametres!$B$3,V$1:AG$1,0)-1)*IF(OR(C325="L",C325="S",C325="I"),-1,1),"")</f>
        <v>0</v>
      </c>
      <c r="AW325" s="1030">
        <f t="shared" si="35"/>
        <v>0</v>
      </c>
      <c r="AX325" s="1030">
        <f>INDEX(V325:AG325,1,MATCH(Parametres!$B$3,V$1:AG$1,0))*IF(OR(C325="L",C325="S",C325="I"),-1,1)</f>
        <v>0</v>
      </c>
      <c r="AY325" s="598" t="s">
        <v>337</v>
      </c>
      <c r="AZ325" s="598" t="e">
        <f>+VLOOKUP($AJ325,Data_Validation!$A:$E,5,0)</f>
        <v>#N/A</v>
      </c>
    </row>
    <row r="326" spans="1:52" ht="15" customHeight="1">
      <c r="A326" s="832" t="s">
        <v>1150</v>
      </c>
      <c r="B326" s="832">
        <v>2025</v>
      </c>
      <c r="C326" s="832" t="s">
        <v>1796</v>
      </c>
      <c r="D326" s="832" t="s">
        <v>1797</v>
      </c>
      <c r="E326" s="832" t="s">
        <v>333</v>
      </c>
      <c r="F326" s="832" t="s">
        <v>1792</v>
      </c>
      <c r="G326" s="832">
        <v>0</v>
      </c>
      <c r="H326" s="832">
        <v>0</v>
      </c>
      <c r="I326" s="832">
        <v>0</v>
      </c>
      <c r="J326" s="832">
        <v>0</v>
      </c>
      <c r="K326" s="832">
        <v>0</v>
      </c>
      <c r="L326" s="832">
        <v>0</v>
      </c>
      <c r="M326" s="832">
        <v>0</v>
      </c>
      <c r="N326" s="832">
        <v>0</v>
      </c>
      <c r="O326" s="832">
        <v>0</v>
      </c>
      <c r="P326" s="832">
        <v>0</v>
      </c>
      <c r="Q326" s="832">
        <v>0</v>
      </c>
      <c r="R326" s="832">
        <v>0</v>
      </c>
      <c r="S326" s="832">
        <v>0</v>
      </c>
      <c r="T326" s="832">
        <v>0</v>
      </c>
      <c r="U326" s="832">
        <v>0</v>
      </c>
      <c r="V326" s="832">
        <v>0</v>
      </c>
      <c r="W326" s="832">
        <v>0</v>
      </c>
      <c r="X326" s="832">
        <v>0</v>
      </c>
      <c r="Y326" s="832">
        <v>0</v>
      </c>
      <c r="Z326" s="832">
        <v>0</v>
      </c>
      <c r="AA326" s="832">
        <v>0</v>
      </c>
      <c r="AB326" s="832">
        <v>0</v>
      </c>
      <c r="AC326" s="832">
        <v>0</v>
      </c>
      <c r="AD326" s="832">
        <v>0</v>
      </c>
      <c r="AE326" s="832">
        <v>0</v>
      </c>
      <c r="AF326" s="832">
        <v>0</v>
      </c>
      <c r="AG326" s="832">
        <v>0</v>
      </c>
      <c r="AH326" s="832">
        <v>0</v>
      </c>
      <c r="AI326" s="832">
        <v>0</v>
      </c>
      <c r="AJ326" s="1030" t="str">
        <f t="shared" si="30"/>
        <v>H10200</v>
      </c>
      <c r="AK326" s="1030" t="str">
        <f t="shared" si="31"/>
        <v>ENCAISSE</v>
      </c>
      <c r="AL326" s="1030">
        <f>IFERROR(INDEX(G326:R326,1,MATCH(Parametres!$B$3,G$1:R$1,0)-1)*IF(OR(F326="L",F326="S",F326="I"),-1,1),"")</f>
        <v>0</v>
      </c>
      <c r="AM326" s="1030">
        <f t="shared" si="32"/>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t="str">
        <f t="shared" si="33"/>
        <v>H10200</v>
      </c>
      <c r="AU326" s="599" t="str">
        <f t="shared" si="34"/>
        <v>ENCAISSE</v>
      </c>
      <c r="AV326" s="1030">
        <f>IFERROR(INDEX(V326:AG326,1,MATCH(Parametres!$B$3,V$1:AG$1,0)-1)*IF(OR(C326="L",C326="S",C326="I"),-1,1),"")</f>
        <v>0</v>
      </c>
      <c r="AW326" s="1030">
        <f t="shared" si="35"/>
        <v>0</v>
      </c>
      <c r="AX326" s="1030">
        <f>INDEX(V326:AG326,1,MATCH(Parametres!$B$3,V$1:AG$1,0))*IF(OR(C326="L",C326="S",C326="I"),-1,1)</f>
        <v>0</v>
      </c>
      <c r="AY326" s="598" t="s">
        <v>337</v>
      </c>
      <c r="AZ326" s="598" t="e">
        <f>+VLOOKUP($AJ326,Data_Validation!$A:$E,5,0)</f>
        <v>#N/A</v>
      </c>
    </row>
    <row r="327" spans="1:52" ht="15.75" customHeight="1">
      <c r="A327" s="832" t="s">
        <v>1150</v>
      </c>
      <c r="B327" s="832">
        <v>2025</v>
      </c>
      <c r="C327" s="832" t="s">
        <v>1798</v>
      </c>
      <c r="D327" s="832" t="s">
        <v>1799</v>
      </c>
      <c r="E327" s="832" t="s">
        <v>333</v>
      </c>
      <c r="F327" s="832" t="s">
        <v>1792</v>
      </c>
      <c r="G327" s="832">
        <v>0</v>
      </c>
      <c r="H327" s="832">
        <v>0</v>
      </c>
      <c r="I327" s="832">
        <v>0</v>
      </c>
      <c r="J327" s="832">
        <v>0</v>
      </c>
      <c r="K327" s="832">
        <v>0</v>
      </c>
      <c r="L327" s="832">
        <v>0</v>
      </c>
      <c r="M327" s="832">
        <v>0</v>
      </c>
      <c r="N327" s="832">
        <v>0</v>
      </c>
      <c r="O327" s="832">
        <v>0</v>
      </c>
      <c r="P327" s="832">
        <v>0</v>
      </c>
      <c r="Q327" s="832">
        <v>0</v>
      </c>
      <c r="R327" s="832">
        <v>0</v>
      </c>
      <c r="S327" s="832">
        <v>0</v>
      </c>
      <c r="T327" s="832">
        <v>0</v>
      </c>
      <c r="U327" s="832">
        <v>0</v>
      </c>
      <c r="V327" s="832">
        <v>0</v>
      </c>
      <c r="W327" s="832">
        <v>0</v>
      </c>
      <c r="X327" s="832">
        <v>0</v>
      </c>
      <c r="Y327" s="832">
        <v>0</v>
      </c>
      <c r="Z327" s="832">
        <v>0</v>
      </c>
      <c r="AA327" s="832">
        <v>0</v>
      </c>
      <c r="AB327" s="832">
        <v>0</v>
      </c>
      <c r="AC327" s="832">
        <v>0</v>
      </c>
      <c r="AD327" s="832">
        <v>0</v>
      </c>
      <c r="AE327" s="832">
        <v>0</v>
      </c>
      <c r="AF327" s="832">
        <v>0</v>
      </c>
      <c r="AG327" s="832">
        <v>0</v>
      </c>
      <c r="AH327" s="832">
        <v>0</v>
      </c>
      <c r="AI327" s="832">
        <v>0</v>
      </c>
      <c r="AJ327" s="1030" t="str">
        <f t="shared" si="30"/>
        <v>H10256</v>
      </c>
      <c r="AK327" s="1030" t="str">
        <f t="shared" si="31"/>
        <v>TEMPO GL POUR CRE</v>
      </c>
      <c r="AL327" s="1030">
        <f>IFERROR(INDEX(G327:R327,1,MATCH(Parametres!$B$3,G$1:R$1,0)-1)*IF(OR(F327="L",F327="S",F327="I"),-1,1),"")</f>
        <v>0</v>
      </c>
      <c r="AM327" s="1030">
        <f t="shared" si="32"/>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t="str">
        <f t="shared" si="33"/>
        <v>H10256</v>
      </c>
      <c r="AU327" s="599" t="str">
        <f t="shared" si="34"/>
        <v>TEMPO GL POUR CRE</v>
      </c>
      <c r="AV327" s="1030">
        <f>IFERROR(INDEX(V327:AG327,1,MATCH(Parametres!$B$3,V$1:AG$1,0)-1)*IF(OR(C327="L",C327="S",C327="I"),-1,1),"")</f>
        <v>0</v>
      </c>
      <c r="AW327" s="1030">
        <f t="shared" si="35"/>
        <v>0</v>
      </c>
      <c r="AX327" s="1030">
        <f>INDEX(V327:AG327,1,MATCH(Parametres!$B$3,V$1:AG$1,0))*IF(OR(C327="L",C327="S",C327="I"),-1,1)</f>
        <v>0</v>
      </c>
      <c r="AY327" s="598" t="s">
        <v>337</v>
      </c>
      <c r="AZ327" s="598" t="e">
        <f>+VLOOKUP($AJ327,Data_Validation!$A:$E,5,0)</f>
        <v>#N/A</v>
      </c>
    </row>
    <row r="328" spans="1:52" ht="15" customHeight="1">
      <c r="A328" s="832" t="s">
        <v>1150</v>
      </c>
      <c r="B328" s="832">
        <v>2025</v>
      </c>
      <c r="C328" s="832" t="s">
        <v>1800</v>
      </c>
      <c r="D328" s="832" t="s">
        <v>1801</v>
      </c>
      <c r="E328" s="832" t="s">
        <v>333</v>
      </c>
      <c r="F328" s="832" t="s">
        <v>1792</v>
      </c>
      <c r="G328" s="832">
        <v>0</v>
      </c>
      <c r="H328" s="832">
        <v>0</v>
      </c>
      <c r="I328" s="832">
        <v>0</v>
      </c>
      <c r="J328" s="832">
        <v>0</v>
      </c>
      <c r="K328" s="832">
        <v>0</v>
      </c>
      <c r="L328" s="832">
        <v>0</v>
      </c>
      <c r="M328" s="832">
        <v>0</v>
      </c>
      <c r="N328" s="832">
        <v>0</v>
      </c>
      <c r="O328" s="832">
        <v>0</v>
      </c>
      <c r="P328" s="832">
        <v>0</v>
      </c>
      <c r="Q328" s="832">
        <v>0</v>
      </c>
      <c r="R328" s="832">
        <v>0</v>
      </c>
      <c r="S328" s="832">
        <v>0</v>
      </c>
      <c r="T328" s="832">
        <v>0</v>
      </c>
      <c r="U328" s="832">
        <v>0</v>
      </c>
      <c r="V328" s="832">
        <v>0</v>
      </c>
      <c r="W328" s="832">
        <v>0</v>
      </c>
      <c r="X328" s="832">
        <v>0</v>
      </c>
      <c r="Y328" s="832">
        <v>0</v>
      </c>
      <c r="Z328" s="832">
        <v>0</v>
      </c>
      <c r="AA328" s="832">
        <v>0</v>
      </c>
      <c r="AB328" s="832">
        <v>0</v>
      </c>
      <c r="AC328" s="832">
        <v>0</v>
      </c>
      <c r="AD328" s="832">
        <v>0</v>
      </c>
      <c r="AE328" s="832">
        <v>0</v>
      </c>
      <c r="AF328" s="832">
        <v>0</v>
      </c>
      <c r="AG328" s="832">
        <v>0</v>
      </c>
      <c r="AH328" s="832">
        <v>0</v>
      </c>
      <c r="AI328" s="832">
        <v>0</v>
      </c>
      <c r="AJ328" s="1030" t="str">
        <f t="shared" si="30"/>
        <v>H10257</v>
      </c>
      <c r="AK328" s="1030" t="str">
        <f t="shared" si="31"/>
        <v>TEMPO GL POUR CAP</v>
      </c>
      <c r="AL328" s="1030">
        <f>IFERROR(INDEX(G328:R328,1,MATCH(Parametres!$B$3,G$1:R$1,0)-1)*IF(OR(F328="L",F328="S",F328="I"),-1,1),"")</f>
        <v>0</v>
      </c>
      <c r="AM328" s="1030">
        <f t="shared" si="32"/>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t="str">
        <f t="shared" si="33"/>
        <v>H10257</v>
      </c>
      <c r="AU328" s="599" t="str">
        <f t="shared" si="34"/>
        <v>TEMPO GL POUR CAP</v>
      </c>
      <c r="AV328" s="1030">
        <f>IFERROR(INDEX(V328:AG328,1,MATCH(Parametres!$B$3,V$1:AG$1,0)-1)*IF(OR(C328="L",C328="S",C328="I"),-1,1),"")</f>
        <v>0</v>
      </c>
      <c r="AW328" s="1030">
        <f t="shared" si="35"/>
        <v>0</v>
      </c>
      <c r="AX328" s="1030">
        <f>INDEX(V328:AG328,1,MATCH(Parametres!$B$3,V$1:AG$1,0))*IF(OR(C328="L",C328="S",C328="I"),-1,1)</f>
        <v>0</v>
      </c>
      <c r="AY328" s="598" t="s">
        <v>337</v>
      </c>
      <c r="AZ328" s="598" t="e">
        <f>+VLOOKUP($AJ328,Data_Validation!$A:$E,5,0)</f>
        <v>#N/A</v>
      </c>
    </row>
    <row r="329" spans="1:52" ht="15" customHeight="1">
      <c r="A329" s="832" t="s">
        <v>1150</v>
      </c>
      <c r="B329" s="832">
        <v>2025</v>
      </c>
      <c r="C329" s="832" t="s">
        <v>1802</v>
      </c>
      <c r="D329" s="832" t="s">
        <v>1803</v>
      </c>
      <c r="E329" s="832" t="s">
        <v>1804</v>
      </c>
      <c r="F329" s="832" t="s">
        <v>1792</v>
      </c>
      <c r="G329" s="832">
        <v>0</v>
      </c>
      <c r="H329" s="832">
        <v>0</v>
      </c>
      <c r="I329" s="832">
        <v>0</v>
      </c>
      <c r="J329" s="832">
        <v>0</v>
      </c>
      <c r="K329" s="832">
        <v>0</v>
      </c>
      <c r="L329" s="832">
        <v>0</v>
      </c>
      <c r="M329" s="832">
        <v>0</v>
      </c>
      <c r="N329" s="832">
        <v>0</v>
      </c>
      <c r="O329" s="832">
        <v>0</v>
      </c>
      <c r="P329" s="832">
        <v>1600000</v>
      </c>
      <c r="Q329" s="832">
        <v>5500000</v>
      </c>
      <c r="R329" s="832">
        <v>3500000</v>
      </c>
      <c r="S329" s="832">
        <v>0</v>
      </c>
      <c r="T329" s="832">
        <v>0</v>
      </c>
      <c r="U329" s="832">
        <v>0</v>
      </c>
      <c r="V329" s="832">
        <v>0</v>
      </c>
      <c r="W329" s="832">
        <v>0</v>
      </c>
      <c r="X329" s="832">
        <v>0</v>
      </c>
      <c r="Y329" s="832">
        <v>0</v>
      </c>
      <c r="Z329" s="832">
        <v>0</v>
      </c>
      <c r="AA329" s="832">
        <v>0</v>
      </c>
      <c r="AB329" s="832">
        <v>0</v>
      </c>
      <c r="AC329" s="832">
        <v>0</v>
      </c>
      <c r="AD329" s="832">
        <v>0</v>
      </c>
      <c r="AE329" s="832">
        <v>0</v>
      </c>
      <c r="AF329" s="832">
        <v>0</v>
      </c>
      <c r="AG329" s="832">
        <v>0</v>
      </c>
      <c r="AH329" s="832">
        <v>0</v>
      </c>
      <c r="AI329" s="832">
        <v>0</v>
      </c>
      <c r="AJ329" s="1030" t="str">
        <f t="shared" si="30"/>
        <v>H10300</v>
      </c>
      <c r="AK329" s="1030" t="str">
        <f t="shared" si="31"/>
        <v>BULK</v>
      </c>
      <c r="AL329" s="1030">
        <f>IFERROR(INDEX(G329:R329,1,MATCH(Parametres!$B$3,G$1:R$1,0)-1)*IF(OR(F329="L",F329="S",F329="I"),-1,1),"")</f>
        <v>0</v>
      </c>
      <c r="AM329" s="1030">
        <f t="shared" si="32"/>
        <v>0</v>
      </c>
      <c r="AN329" s="1030">
        <f>INDEX(G329:R329,1,MATCH(Parametres!$B$3,G$1:R$1,0))*IF(OR(F329="L",F329="S",F329="I"),-1,1)</f>
        <v>0</v>
      </c>
      <c r="AO329" s="598" t="str">
        <f>+VLOOKUP($AJ329,Data_Validation!$A:$D,1,0)</f>
        <v>H10300</v>
      </c>
      <c r="AP329" s="598" t="str">
        <f>+VLOOKUP($AJ329,Data_Validation!$A:$D,3,0)</f>
        <v>Bilan</v>
      </c>
      <c r="AQ329" s="598" t="str">
        <f>+VLOOKUP($AJ329,Data_Validation!$A:$D,4,0)</f>
        <v>Encaisse</v>
      </c>
      <c r="AR329" s="598" t="s">
        <v>299</v>
      </c>
      <c r="AS329" s="598">
        <f>+VLOOKUP($AJ329,Data_Validation!$A:$E,5,0)</f>
        <v>0</v>
      </c>
      <c r="AT329" s="1036" t="str">
        <f t="shared" si="33"/>
        <v>H10300</v>
      </c>
      <c r="AU329" s="599" t="str">
        <f t="shared" si="34"/>
        <v>BULK</v>
      </c>
      <c r="AV329" s="1030">
        <f>IFERROR(INDEX(V329:AG329,1,MATCH(Parametres!$B$3,V$1:AG$1,0)-1)*IF(OR(C329="L",C329="S",C329="I"),-1,1),"")</f>
        <v>0</v>
      </c>
      <c r="AW329" s="1030">
        <f t="shared" si="35"/>
        <v>0</v>
      </c>
      <c r="AX329" s="1030">
        <f>INDEX(V329:AG329,1,MATCH(Parametres!$B$3,V$1:AG$1,0))*IF(OR(C329="L",C329="S",C329="I"),-1,1)</f>
        <v>0</v>
      </c>
      <c r="AY329" s="598" t="s">
        <v>337</v>
      </c>
      <c r="AZ329" s="598">
        <f>+VLOOKUP($AJ329,Data_Validation!$A:$E,5,0)</f>
        <v>0</v>
      </c>
    </row>
    <row r="330" spans="1:52" ht="15" customHeight="1">
      <c r="A330" s="832" t="s">
        <v>1150</v>
      </c>
      <c r="B330" s="832">
        <v>2025</v>
      </c>
      <c r="C330" s="832" t="s">
        <v>1805</v>
      </c>
      <c r="D330" s="832" t="s">
        <v>1806</v>
      </c>
      <c r="E330" s="832" t="s">
        <v>1804</v>
      </c>
      <c r="F330" s="832" t="s">
        <v>1792</v>
      </c>
      <c r="G330" s="832">
        <v>2268121.8199999998</v>
      </c>
      <c r="H330" s="832">
        <v>1789234.37</v>
      </c>
      <c r="I330" s="832">
        <v>625676.9</v>
      </c>
      <c r="J330" s="832">
        <v>891151.16</v>
      </c>
      <c r="K330" s="832">
        <v>1463695.03</v>
      </c>
      <c r="L330" s="832">
        <v>906805.77</v>
      </c>
      <c r="M330" s="832">
        <v>984270.73</v>
      </c>
      <c r="N330" s="832">
        <v>1488808.68</v>
      </c>
      <c r="O330" s="832">
        <v>1644258.89</v>
      </c>
      <c r="P330" s="832">
        <v>1830150.03</v>
      </c>
      <c r="Q330" s="832">
        <v>1629708.15</v>
      </c>
      <c r="R330" s="832">
        <v>734639.11</v>
      </c>
      <c r="S330" s="832">
        <v>0</v>
      </c>
      <c r="T330" s="832">
        <v>0</v>
      </c>
      <c r="U330" s="832">
        <v>0</v>
      </c>
      <c r="V330" s="832">
        <v>0</v>
      </c>
      <c r="W330" s="832">
        <v>0</v>
      </c>
      <c r="X330" s="832">
        <v>0</v>
      </c>
      <c r="Y330" s="832">
        <v>0</v>
      </c>
      <c r="Z330" s="832">
        <v>0</v>
      </c>
      <c r="AA330" s="832">
        <v>0</v>
      </c>
      <c r="AB330" s="832">
        <v>0</v>
      </c>
      <c r="AC330" s="832">
        <v>0</v>
      </c>
      <c r="AD330" s="832">
        <v>0</v>
      </c>
      <c r="AE330" s="832">
        <v>0</v>
      </c>
      <c r="AF330" s="832">
        <v>0</v>
      </c>
      <c r="AG330" s="832">
        <v>0</v>
      </c>
      <c r="AH330" s="832">
        <v>0</v>
      </c>
      <c r="AI330" s="832">
        <v>0</v>
      </c>
      <c r="AJ330" s="1030" t="str">
        <f t="shared" si="30"/>
        <v>H10400</v>
      </c>
      <c r="AK330" s="1030" t="str">
        <f t="shared" si="31"/>
        <v>BANQUE TD CANADA TRUST</v>
      </c>
      <c r="AL330" s="1030">
        <f>IFERROR(INDEX(G330:R330,1,MATCH(Parametres!$B$3,G$1:R$1,0)-1)*IF(OR(F330="L",F330="S",F330="I"),-1,1),"")</f>
        <v>891151.16</v>
      </c>
      <c r="AM330" s="1030">
        <f t="shared" si="32"/>
        <v>572543.87</v>
      </c>
      <c r="AN330" s="1030">
        <f>INDEX(G330:R330,1,MATCH(Parametres!$B$3,G$1:R$1,0))*IF(OR(F330="L",F330="S",F330="I"),-1,1)</f>
        <v>1463695.03</v>
      </c>
      <c r="AO330" s="598" t="str">
        <f>+VLOOKUP($AJ330,Data_Validation!$A:$D,1,0)</f>
        <v>H10400</v>
      </c>
      <c r="AP330" s="598" t="str">
        <f>+VLOOKUP($AJ330,Data_Validation!$A:$D,3,0)</f>
        <v>Bilan</v>
      </c>
      <c r="AQ330" s="598" t="str">
        <f>+VLOOKUP($AJ330,Data_Validation!$A:$D,4,0)</f>
        <v>Encaisse</v>
      </c>
      <c r="AR330" s="598" t="s">
        <v>299</v>
      </c>
      <c r="AS330" s="598">
        <f>+VLOOKUP($AJ330,Data_Validation!$A:$E,5,0)</f>
        <v>0</v>
      </c>
      <c r="AT330" s="1036" t="str">
        <f t="shared" si="33"/>
        <v>H10400</v>
      </c>
      <c r="AU330" s="599" t="str">
        <f t="shared" si="34"/>
        <v>BANQUE TD CANADA TRUST</v>
      </c>
      <c r="AV330" s="1030">
        <f>IFERROR(INDEX(V330:AG330,1,MATCH(Parametres!$B$3,V$1:AG$1,0)-1)*IF(OR(C330="L",C330="S",C330="I"),-1,1),"")</f>
        <v>0</v>
      </c>
      <c r="AW330" s="1030">
        <f t="shared" si="35"/>
        <v>0</v>
      </c>
      <c r="AX330" s="1030">
        <f>INDEX(V330:AG330,1,MATCH(Parametres!$B$3,V$1:AG$1,0))*IF(OR(C330="L",C330="S",C330="I"),-1,1)</f>
        <v>0</v>
      </c>
      <c r="AY330" s="598" t="s">
        <v>337</v>
      </c>
      <c r="AZ330" s="598">
        <f>+VLOOKUP($AJ330,Data_Validation!$A:$E,5,0)</f>
        <v>0</v>
      </c>
    </row>
    <row r="331" spans="1:52" ht="15" customHeight="1">
      <c r="A331" s="832" t="s">
        <v>1150</v>
      </c>
      <c r="B331" s="832">
        <v>2025</v>
      </c>
      <c r="C331" s="832" t="s">
        <v>1807</v>
      </c>
      <c r="D331" s="832" t="s">
        <v>1808</v>
      </c>
      <c r="E331" s="832" t="s">
        <v>1804</v>
      </c>
      <c r="F331" s="832" t="s">
        <v>1792</v>
      </c>
      <c r="G331" s="832">
        <v>64.97</v>
      </c>
      <c r="H331" s="832">
        <v>64.97</v>
      </c>
      <c r="I331" s="832">
        <v>64.97</v>
      </c>
      <c r="J331" s="832">
        <v>64.97</v>
      </c>
      <c r="K331" s="832">
        <v>64.97</v>
      </c>
      <c r="L331" s="832">
        <v>64.97</v>
      </c>
      <c r="M331" s="832">
        <v>64.97</v>
      </c>
      <c r="N331" s="832">
        <v>0</v>
      </c>
      <c r="O331" s="832">
        <v>0</v>
      </c>
      <c r="P331" s="832">
        <v>0</v>
      </c>
      <c r="Q331" s="832">
        <v>0</v>
      </c>
      <c r="R331" s="832">
        <v>0</v>
      </c>
      <c r="S331" s="832">
        <v>0</v>
      </c>
      <c r="T331" s="832">
        <v>0</v>
      </c>
      <c r="U331" s="832">
        <v>0</v>
      </c>
      <c r="V331" s="832">
        <v>0</v>
      </c>
      <c r="W331" s="832">
        <v>0</v>
      </c>
      <c r="X331" s="832">
        <v>0</v>
      </c>
      <c r="Y331" s="832">
        <v>0</v>
      </c>
      <c r="Z331" s="832">
        <v>0</v>
      </c>
      <c r="AA331" s="832">
        <v>0</v>
      </c>
      <c r="AB331" s="832">
        <v>0</v>
      </c>
      <c r="AC331" s="832">
        <v>0</v>
      </c>
      <c r="AD331" s="832">
        <v>0</v>
      </c>
      <c r="AE331" s="832">
        <v>0</v>
      </c>
      <c r="AF331" s="832">
        <v>0</v>
      </c>
      <c r="AG331" s="832">
        <v>0</v>
      </c>
      <c r="AH331" s="832">
        <v>0</v>
      </c>
      <c r="AI331" s="832">
        <v>0</v>
      </c>
      <c r="AJ331" s="1030" t="str">
        <f t="shared" si="30"/>
        <v>H10500</v>
      </c>
      <c r="AK331" s="1030" t="str">
        <f t="shared" si="31"/>
        <v>RBC NO 2</v>
      </c>
      <c r="AL331" s="1030">
        <f>IFERROR(INDEX(G331:R331,1,MATCH(Parametres!$B$3,G$1:R$1,0)-1)*IF(OR(F331="L",F331="S",F331="I"),-1,1),"")</f>
        <v>64.97</v>
      </c>
      <c r="AM331" s="1030">
        <f t="shared" si="32"/>
        <v>0</v>
      </c>
      <c r="AN331" s="1030">
        <f>INDEX(G331:R331,1,MATCH(Parametres!$B$3,G$1:R$1,0))*IF(OR(F331="L",F331="S",F331="I"),-1,1)</f>
        <v>64.97</v>
      </c>
      <c r="AO331" s="598" t="str">
        <f>+VLOOKUP($AJ331,Data_Validation!$A:$D,1,0)</f>
        <v>H10500</v>
      </c>
      <c r="AP331" s="598" t="str">
        <f>+VLOOKUP($AJ331,Data_Validation!$A:$D,3,0)</f>
        <v>Bilan</v>
      </c>
      <c r="AQ331" s="598" t="str">
        <f>+VLOOKUP($AJ331,Data_Validation!$A:$D,4,0)</f>
        <v>Encaisse</v>
      </c>
      <c r="AR331" s="598" t="s">
        <v>299</v>
      </c>
      <c r="AS331" s="598">
        <f>+VLOOKUP($AJ331,Data_Validation!$A:$E,5,0)</f>
        <v>0</v>
      </c>
      <c r="AT331" s="1036" t="str">
        <f t="shared" si="33"/>
        <v>H10500</v>
      </c>
      <c r="AU331" s="599" t="str">
        <f t="shared" si="34"/>
        <v>RBC NO 2</v>
      </c>
      <c r="AV331" s="1030">
        <f>IFERROR(INDEX(V331:AG331,1,MATCH(Parametres!$B$3,V$1:AG$1,0)-1)*IF(OR(C331="L",C331="S",C331="I"),-1,1),"")</f>
        <v>0</v>
      </c>
      <c r="AW331" s="1030">
        <f t="shared" si="35"/>
        <v>0</v>
      </c>
      <c r="AX331" s="1030">
        <f>INDEX(V331:AG331,1,MATCH(Parametres!$B$3,V$1:AG$1,0))*IF(OR(C331="L",C331="S",C331="I"),-1,1)</f>
        <v>0</v>
      </c>
      <c r="AY331" s="598" t="s">
        <v>337</v>
      </c>
      <c r="AZ331" s="598">
        <f>+VLOOKUP($AJ331,Data_Validation!$A:$E,5,0)</f>
        <v>0</v>
      </c>
    </row>
    <row r="332" spans="1:52" ht="15" customHeight="1">
      <c r="A332" s="832" t="s">
        <v>1150</v>
      </c>
      <c r="B332" s="832">
        <v>2025</v>
      </c>
      <c r="C332" s="832" t="s">
        <v>1809</v>
      </c>
      <c r="D332" s="832" t="s">
        <v>1810</v>
      </c>
      <c r="E332" s="832" t="s">
        <v>1804</v>
      </c>
      <c r="F332" s="832" t="s">
        <v>1792</v>
      </c>
      <c r="G332" s="832">
        <v>0</v>
      </c>
      <c r="H332" s="832">
        <v>0</v>
      </c>
      <c r="I332" s="832">
        <v>0</v>
      </c>
      <c r="J332" s="832">
        <v>0</v>
      </c>
      <c r="K332" s="832">
        <v>0</v>
      </c>
      <c r="L332" s="832">
        <v>0</v>
      </c>
      <c r="M332" s="832">
        <v>0</v>
      </c>
      <c r="N332" s="832">
        <v>0</v>
      </c>
      <c r="O332" s="832">
        <v>0</v>
      </c>
      <c r="P332" s="832">
        <v>0</v>
      </c>
      <c r="Q332" s="832">
        <v>0</v>
      </c>
      <c r="R332" s="832">
        <v>0</v>
      </c>
      <c r="S332" s="832">
        <v>0</v>
      </c>
      <c r="T332" s="832">
        <v>0</v>
      </c>
      <c r="U332" s="832">
        <v>0</v>
      </c>
      <c r="V332" s="832">
        <v>0</v>
      </c>
      <c r="W332" s="832">
        <v>0</v>
      </c>
      <c r="X332" s="832">
        <v>0</v>
      </c>
      <c r="Y332" s="832">
        <v>0</v>
      </c>
      <c r="Z332" s="832">
        <v>0</v>
      </c>
      <c r="AA332" s="832">
        <v>0</v>
      </c>
      <c r="AB332" s="832">
        <v>0</v>
      </c>
      <c r="AC332" s="832">
        <v>0</v>
      </c>
      <c r="AD332" s="832">
        <v>0</v>
      </c>
      <c r="AE332" s="832">
        <v>0</v>
      </c>
      <c r="AF332" s="832">
        <v>0</v>
      </c>
      <c r="AG332" s="832">
        <v>0</v>
      </c>
      <c r="AH332" s="832">
        <v>0</v>
      </c>
      <c r="AI332" s="832">
        <v>0</v>
      </c>
      <c r="AJ332" s="1030" t="str">
        <f t="shared" si="30"/>
        <v>H10600</v>
      </c>
      <c r="AK332" s="1030" t="str">
        <f t="shared" si="31"/>
        <v>BANQUE RBC</v>
      </c>
      <c r="AL332" s="1030">
        <f>IFERROR(INDEX(G332:R332,1,MATCH(Parametres!$B$3,G$1:R$1,0)-1)*IF(OR(F332="L",F332="S",F332="I"),-1,1),"")</f>
        <v>0</v>
      </c>
      <c r="AM332" s="1030">
        <f t="shared" si="32"/>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t="str">
        <f t="shared" si="33"/>
        <v>H10600</v>
      </c>
      <c r="AU332" s="599" t="str">
        <f t="shared" si="34"/>
        <v>BANQUE RBC</v>
      </c>
      <c r="AV332" s="1030">
        <f>IFERROR(INDEX(V332:AG332,1,MATCH(Parametres!$B$3,V$1:AG$1,0)-1)*IF(OR(C332="L",C332="S",C332="I"),-1,1),"")</f>
        <v>0</v>
      </c>
      <c r="AW332" s="1030">
        <f t="shared" si="35"/>
        <v>0</v>
      </c>
      <c r="AX332" s="1030">
        <f>INDEX(V332:AG332,1,MATCH(Parametres!$B$3,V$1:AG$1,0))*IF(OR(C332="L",C332="S",C332="I"),-1,1)</f>
        <v>0</v>
      </c>
      <c r="AY332" s="598" t="s">
        <v>337</v>
      </c>
      <c r="AZ332" s="598" t="e">
        <f>+VLOOKUP($AJ332,Data_Validation!$A:$E,5,0)</f>
        <v>#N/A</v>
      </c>
    </row>
    <row r="333" spans="1:52" ht="15.75" customHeight="1">
      <c r="A333" s="832" t="s">
        <v>1150</v>
      </c>
      <c r="B333" s="832">
        <v>2025</v>
      </c>
      <c r="C333" s="832" t="s">
        <v>1811</v>
      </c>
      <c r="D333" s="832" t="s">
        <v>1812</v>
      </c>
      <c r="E333" s="832" t="s">
        <v>1813</v>
      </c>
      <c r="F333" s="832" t="s">
        <v>1792</v>
      </c>
      <c r="G333" s="832">
        <v>316201.5</v>
      </c>
      <c r="H333" s="832">
        <v>153463.25</v>
      </c>
      <c r="I333" s="832">
        <v>217629.85</v>
      </c>
      <c r="J333" s="832">
        <v>375361.37</v>
      </c>
      <c r="K333" s="832">
        <v>0</v>
      </c>
      <c r="L333" s="832">
        <v>170565.67</v>
      </c>
      <c r="M333" s="832">
        <v>145104.42000000001</v>
      </c>
      <c r="N333" s="832">
        <v>36264.07</v>
      </c>
      <c r="O333" s="832">
        <v>0</v>
      </c>
      <c r="P333" s="832">
        <v>198870.6</v>
      </c>
      <c r="Q333" s="832">
        <v>71310.070000000007</v>
      </c>
      <c r="R333" s="832">
        <v>308078.31</v>
      </c>
      <c r="S333" s="832">
        <v>0</v>
      </c>
      <c r="T333" s="832">
        <v>0</v>
      </c>
      <c r="U333" s="832">
        <v>0</v>
      </c>
      <c r="V333" s="832">
        <v>0</v>
      </c>
      <c r="W333" s="832">
        <v>0</v>
      </c>
      <c r="X333" s="832">
        <v>0</v>
      </c>
      <c r="Y333" s="832">
        <v>0</v>
      </c>
      <c r="Z333" s="832">
        <v>0</v>
      </c>
      <c r="AA333" s="832">
        <v>0</v>
      </c>
      <c r="AB333" s="832">
        <v>0</v>
      </c>
      <c r="AC333" s="832">
        <v>0</v>
      </c>
      <c r="AD333" s="832">
        <v>0</v>
      </c>
      <c r="AE333" s="832">
        <v>0</v>
      </c>
      <c r="AF333" s="832">
        <v>0</v>
      </c>
      <c r="AG333" s="832">
        <v>0</v>
      </c>
      <c r="AH333" s="832">
        <v>0</v>
      </c>
      <c r="AI333" s="832">
        <v>0</v>
      </c>
      <c r="AJ333" s="1030" t="str">
        <f t="shared" si="30"/>
        <v>H10700</v>
      </c>
      <c r="AK333" s="1030" t="str">
        <f t="shared" si="31"/>
        <v>CONTRAT FINANCE TRASIT</v>
      </c>
      <c r="AL333" s="1030">
        <f>IFERROR(INDEX(G333:R333,1,MATCH(Parametres!$B$3,G$1:R$1,0)-1)*IF(OR(F333="L",F333="S",F333="I"),-1,1),"")</f>
        <v>375361.37</v>
      </c>
      <c r="AM333" s="1030">
        <f t="shared" si="32"/>
        <v>-375361.37</v>
      </c>
      <c r="AN333" s="1030">
        <f>INDEX(G333:R333,1,MATCH(Parametres!$B$3,G$1:R$1,0))*IF(OR(F333="L",F333="S",F333="I"),-1,1)</f>
        <v>0</v>
      </c>
      <c r="AO333" s="598" t="str">
        <f>+VLOOKUP($AJ333,Data_Validation!$A:$D,1,0)</f>
        <v>H10700</v>
      </c>
      <c r="AP333" s="598" t="str">
        <f>+VLOOKUP($AJ333,Data_Validation!$A:$D,3,0)</f>
        <v>Bilan</v>
      </c>
      <c r="AQ333" s="598" t="str">
        <f>+VLOOKUP($AJ333,Data_Validation!$A:$D,4,0)</f>
        <v>Recevables Contrats en Transit</v>
      </c>
      <c r="AR333" s="598" t="s">
        <v>299</v>
      </c>
      <c r="AS333" s="598">
        <f>+VLOOKUP($AJ333,Data_Validation!$A:$E,5,0)</f>
        <v>0</v>
      </c>
      <c r="AT333" s="1036" t="str">
        <f t="shared" si="33"/>
        <v>H10700</v>
      </c>
      <c r="AU333" s="599" t="str">
        <f t="shared" si="34"/>
        <v>CONTRAT FINANCE TRASIT</v>
      </c>
      <c r="AV333" s="1030">
        <f>IFERROR(INDEX(V333:AG333,1,MATCH(Parametres!$B$3,V$1:AG$1,0)-1)*IF(OR(C333="L",C333="S",C333="I"),-1,1),"")</f>
        <v>0</v>
      </c>
      <c r="AW333" s="1030">
        <f t="shared" si="35"/>
        <v>0</v>
      </c>
      <c r="AX333" s="1030">
        <f>INDEX(V333:AG333,1,MATCH(Parametres!$B$3,V$1:AG$1,0))*IF(OR(C333="L",C333="S",C333="I"),-1,1)</f>
        <v>0</v>
      </c>
      <c r="AY333" s="598" t="s">
        <v>337</v>
      </c>
      <c r="AZ333" s="598">
        <f>+VLOOKUP($AJ333,Data_Validation!$A:$E,5,0)</f>
        <v>0</v>
      </c>
    </row>
    <row r="334" spans="1:52" ht="15.75" customHeight="1">
      <c r="A334" s="832" t="s">
        <v>1150</v>
      </c>
      <c r="B334" s="832">
        <v>2025</v>
      </c>
      <c r="C334" s="832" t="s">
        <v>1814</v>
      </c>
      <c r="D334" s="832" t="s">
        <v>1815</v>
      </c>
      <c r="E334" s="832" t="s">
        <v>333</v>
      </c>
      <c r="F334" s="832" t="s">
        <v>1792</v>
      </c>
      <c r="G334" s="832">
        <v>0</v>
      </c>
      <c r="H334" s="832">
        <v>0</v>
      </c>
      <c r="I334" s="832">
        <v>0</v>
      </c>
      <c r="J334" s="832">
        <v>0</v>
      </c>
      <c r="K334" s="832">
        <v>0</v>
      </c>
      <c r="L334" s="832">
        <v>0</v>
      </c>
      <c r="M334" s="832">
        <v>0</v>
      </c>
      <c r="N334" s="832">
        <v>0</v>
      </c>
      <c r="O334" s="832">
        <v>0</v>
      </c>
      <c r="P334" s="832">
        <v>0</v>
      </c>
      <c r="Q334" s="832">
        <v>0</v>
      </c>
      <c r="R334" s="832">
        <v>0</v>
      </c>
      <c r="S334" s="832">
        <v>0</v>
      </c>
      <c r="T334" s="832">
        <v>0</v>
      </c>
      <c r="U334" s="832">
        <v>0</v>
      </c>
      <c r="V334" s="832">
        <v>0</v>
      </c>
      <c r="W334" s="832">
        <v>0</v>
      </c>
      <c r="X334" s="832">
        <v>0</v>
      </c>
      <c r="Y334" s="832">
        <v>0</v>
      </c>
      <c r="Z334" s="832">
        <v>0</v>
      </c>
      <c r="AA334" s="832">
        <v>0</v>
      </c>
      <c r="AB334" s="832">
        <v>0</v>
      </c>
      <c r="AC334" s="832">
        <v>0</v>
      </c>
      <c r="AD334" s="832">
        <v>0</v>
      </c>
      <c r="AE334" s="832">
        <v>0</v>
      </c>
      <c r="AF334" s="832">
        <v>0</v>
      </c>
      <c r="AG334" s="832">
        <v>0</v>
      </c>
      <c r="AH334" s="832">
        <v>0</v>
      </c>
      <c r="AI334" s="832">
        <v>0</v>
      </c>
      <c r="AJ334" s="1030" t="str">
        <f t="shared" si="30"/>
        <v>H10800</v>
      </c>
      <c r="AK334" s="1030" t="str">
        <f t="shared" si="31"/>
        <v>TITRES NEGOCIABLES</v>
      </c>
      <c r="AL334" s="1030">
        <f>IFERROR(INDEX(G334:R334,1,MATCH(Parametres!$B$3,G$1:R$1,0)-1)*IF(OR(F334="L",F334="S",F334="I"),-1,1),"")</f>
        <v>0</v>
      </c>
      <c r="AM334" s="1030">
        <f t="shared" si="32"/>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t="str">
        <f t="shared" si="33"/>
        <v>H10800</v>
      </c>
      <c r="AU334" s="599" t="str">
        <f t="shared" si="34"/>
        <v>TITRES NEGOCIABLES</v>
      </c>
      <c r="AV334" s="1030">
        <f>IFERROR(INDEX(V334:AG334,1,MATCH(Parametres!$B$3,V$1:AG$1,0)-1)*IF(OR(C334="L",C334="S",C334="I"),-1,1),"")</f>
        <v>0</v>
      </c>
      <c r="AW334" s="1030">
        <f t="shared" si="35"/>
        <v>0</v>
      </c>
      <c r="AX334" s="1030">
        <f>INDEX(V334:AG334,1,MATCH(Parametres!$B$3,V$1:AG$1,0))*IF(OR(C334="L",C334="S",C334="I"),-1,1)</f>
        <v>0</v>
      </c>
      <c r="AY334" s="598" t="s">
        <v>337</v>
      </c>
      <c r="AZ334" s="598" t="e">
        <f>+VLOOKUP($AJ334,Data_Validation!$A:$E,5,0)</f>
        <v>#N/A</v>
      </c>
    </row>
    <row r="335" spans="1:52" ht="15" customHeight="1">
      <c r="A335" s="832" t="s">
        <v>1150</v>
      </c>
      <c r="B335" s="832">
        <v>2025</v>
      </c>
      <c r="C335" s="832" t="s">
        <v>1816</v>
      </c>
      <c r="D335" s="832" t="s">
        <v>1817</v>
      </c>
      <c r="E335" s="832" t="s">
        <v>1792</v>
      </c>
      <c r="F335" s="832" t="s">
        <v>1792</v>
      </c>
      <c r="G335" s="832">
        <v>137.21</v>
      </c>
      <c r="H335" s="832">
        <v>-55.09</v>
      </c>
      <c r="I335" s="832">
        <v>-1012.92</v>
      </c>
      <c r="J335" s="832">
        <v>670.81</v>
      </c>
      <c r="K335" s="832">
        <v>-1239.82</v>
      </c>
      <c r="L335" s="832">
        <v>-2528.0300000000002</v>
      </c>
      <c r="M335" s="832">
        <v>-586.20000000000005</v>
      </c>
      <c r="N335" s="832">
        <v>1262.22</v>
      </c>
      <c r="O335" s="832">
        <v>-802.24</v>
      </c>
      <c r="P335" s="832">
        <v>-82.67</v>
      </c>
      <c r="Q335" s="832">
        <v>1026.72</v>
      </c>
      <c r="R335" s="832">
        <v>-354.22</v>
      </c>
      <c r="S335" s="832">
        <v>0</v>
      </c>
      <c r="T335" s="832">
        <v>0</v>
      </c>
      <c r="U335" s="832">
        <v>0</v>
      </c>
      <c r="V335" s="832">
        <v>0</v>
      </c>
      <c r="W335" s="832">
        <v>0</v>
      </c>
      <c r="X335" s="832">
        <v>0</v>
      </c>
      <c r="Y335" s="832">
        <v>0</v>
      </c>
      <c r="Z335" s="832">
        <v>0</v>
      </c>
      <c r="AA335" s="832">
        <v>0</v>
      </c>
      <c r="AB335" s="832">
        <v>0</v>
      </c>
      <c r="AC335" s="832">
        <v>0</v>
      </c>
      <c r="AD335" s="832">
        <v>0</v>
      </c>
      <c r="AE335" s="832">
        <v>0</v>
      </c>
      <c r="AF335" s="832">
        <v>0</v>
      </c>
      <c r="AG335" s="832">
        <v>0</v>
      </c>
      <c r="AH335" s="832">
        <v>0</v>
      </c>
      <c r="AI335" s="832">
        <v>0</v>
      </c>
      <c r="AJ335" s="1030" t="str">
        <f t="shared" si="30"/>
        <v>H10900</v>
      </c>
      <c r="AK335" s="1030" t="str">
        <f t="shared" si="31"/>
        <v>VENTES AU COMPTANT</v>
      </c>
      <c r="AL335" s="1030">
        <f>IFERROR(INDEX(G335:R335,1,MATCH(Parametres!$B$3,G$1:R$1,0)-1)*IF(OR(F335="L",F335="S",F335="I"),-1,1),"")</f>
        <v>670.81</v>
      </c>
      <c r="AM335" s="1030">
        <f t="shared" si="32"/>
        <v>-1910.6299999999999</v>
      </c>
      <c r="AN335" s="1030">
        <f>INDEX(G335:R335,1,MATCH(Parametres!$B$3,G$1:R$1,0))*IF(OR(F335="L",F335="S",F335="I"),-1,1)</f>
        <v>-1239.82</v>
      </c>
      <c r="AO335" s="598" t="str">
        <f>+VLOOKUP($AJ335,Data_Validation!$A:$D,1,0)</f>
        <v>H10900</v>
      </c>
      <c r="AP335" s="598" t="str">
        <f>+VLOOKUP($AJ335,Data_Validation!$A:$D,3,0)</f>
        <v>Bilan</v>
      </c>
      <c r="AQ335" s="598" t="str">
        <f>+VLOOKUP($AJ335,Data_Validation!$A:$D,4,0)</f>
        <v>Encaisse</v>
      </c>
      <c r="AR335" s="598" t="s">
        <v>299</v>
      </c>
      <c r="AS335" s="598">
        <f>+VLOOKUP($AJ335,Data_Validation!$A:$E,5,0)</f>
        <v>0</v>
      </c>
      <c r="AT335" s="1036" t="str">
        <f t="shared" si="33"/>
        <v>H10900</v>
      </c>
      <c r="AU335" s="599" t="str">
        <f t="shared" si="34"/>
        <v>VENTES AU COMPTANT</v>
      </c>
      <c r="AV335" s="1030">
        <f>IFERROR(INDEX(V335:AG335,1,MATCH(Parametres!$B$3,V$1:AG$1,0)-1)*IF(OR(C335="L",C335="S",C335="I"),-1,1),"")</f>
        <v>0</v>
      </c>
      <c r="AW335" s="1030">
        <f t="shared" si="35"/>
        <v>0</v>
      </c>
      <c r="AX335" s="1030">
        <f>INDEX(V335:AG335,1,MATCH(Parametres!$B$3,V$1:AG$1,0))*IF(OR(C335="L",C335="S",C335="I"),-1,1)</f>
        <v>0</v>
      </c>
      <c r="AY335" s="598" t="s">
        <v>337</v>
      </c>
      <c r="AZ335" s="598">
        <f>+VLOOKUP($AJ335,Data_Validation!$A:$E,5,0)</f>
        <v>0</v>
      </c>
    </row>
    <row r="336" spans="1:52" ht="15" customHeight="1">
      <c r="A336" s="832" t="s">
        <v>1150</v>
      </c>
      <c r="B336" s="832">
        <v>2025</v>
      </c>
      <c r="C336" s="832" t="s">
        <v>1818</v>
      </c>
      <c r="D336" s="832" t="s">
        <v>1819</v>
      </c>
      <c r="E336" s="832" t="s">
        <v>333</v>
      </c>
      <c r="F336" s="832" t="s">
        <v>1792</v>
      </c>
      <c r="G336" s="832">
        <v>257.58999999999997</v>
      </c>
      <c r="H336" s="832">
        <v>257.58999999999997</v>
      </c>
      <c r="I336" s="832">
        <v>257.58999999999997</v>
      </c>
      <c r="J336" s="832">
        <v>257.58999999999997</v>
      </c>
      <c r="K336" s="832">
        <v>257.58999999999997</v>
      </c>
      <c r="L336" s="832">
        <v>257.58999999999997</v>
      </c>
      <c r="M336" s="832">
        <v>257.58999999999997</v>
      </c>
      <c r="N336" s="832">
        <v>257.58999999999997</v>
      </c>
      <c r="O336" s="832">
        <v>257.58999999999997</v>
      </c>
      <c r="P336" s="832">
        <v>257.58999999999997</v>
      </c>
      <c r="Q336" s="832">
        <v>257.58999999999997</v>
      </c>
      <c r="R336" s="832">
        <v>257.58999999999997</v>
      </c>
      <c r="S336" s="832">
        <v>0</v>
      </c>
      <c r="T336" s="832">
        <v>0</v>
      </c>
      <c r="U336" s="832">
        <v>0</v>
      </c>
      <c r="V336" s="832">
        <v>0</v>
      </c>
      <c r="W336" s="832">
        <v>0</v>
      </c>
      <c r="X336" s="832">
        <v>0</v>
      </c>
      <c r="Y336" s="832">
        <v>0</v>
      </c>
      <c r="Z336" s="832">
        <v>0</v>
      </c>
      <c r="AA336" s="832">
        <v>0</v>
      </c>
      <c r="AB336" s="832">
        <v>0</v>
      </c>
      <c r="AC336" s="832">
        <v>0</v>
      </c>
      <c r="AD336" s="832">
        <v>0</v>
      </c>
      <c r="AE336" s="832">
        <v>0</v>
      </c>
      <c r="AF336" s="832">
        <v>0</v>
      </c>
      <c r="AG336" s="832">
        <v>0</v>
      </c>
      <c r="AH336" s="832">
        <v>0</v>
      </c>
      <c r="AI336" s="832">
        <v>0</v>
      </c>
      <c r="AJ336" s="1030" t="str">
        <f t="shared" si="30"/>
        <v>H11000</v>
      </c>
      <c r="AK336" s="1030" t="str">
        <f t="shared" si="31"/>
        <v>COMPTE PROV. IMM.</v>
      </c>
      <c r="AL336" s="1030">
        <f>IFERROR(INDEX(G336:R336,1,MATCH(Parametres!$B$3,G$1:R$1,0)-1)*IF(OR(F336="L",F336="S",F336="I"),-1,1),"")</f>
        <v>257.58999999999997</v>
      </c>
      <c r="AM336" s="1030">
        <f t="shared" si="32"/>
        <v>0</v>
      </c>
      <c r="AN336" s="1030">
        <f>INDEX(G336:R336,1,MATCH(Parametres!$B$3,G$1:R$1,0))*IF(OR(F336="L",F336="S",F336="I"),-1,1)</f>
        <v>257.58999999999997</v>
      </c>
      <c r="AO336" s="598" t="str">
        <f>+VLOOKUP($AJ336,Data_Validation!$A:$D,1,0)</f>
        <v>H11000</v>
      </c>
      <c r="AP336" s="598" t="str">
        <f>+VLOOKUP($AJ336,Data_Validation!$A:$D,3,0)</f>
        <v>Bilan</v>
      </c>
      <c r="AQ336" s="598" t="str">
        <f>+VLOOKUP($AJ336,Data_Validation!$A:$D,4,0)</f>
        <v>Frais Payés d'Avance</v>
      </c>
      <c r="AR336" s="598" t="s">
        <v>299</v>
      </c>
      <c r="AS336" s="598">
        <f>+VLOOKUP($AJ336,Data_Validation!$A:$E,5,0)</f>
        <v>0</v>
      </c>
      <c r="AT336" s="1036" t="str">
        <f t="shared" si="33"/>
        <v>H11000</v>
      </c>
      <c r="AU336" s="599" t="str">
        <f t="shared" si="34"/>
        <v>COMPTE PROV. IMM.</v>
      </c>
      <c r="AV336" s="1030">
        <f>IFERROR(INDEX(V336:AG336,1,MATCH(Parametres!$B$3,V$1:AG$1,0)-1)*IF(OR(C336="L",C336="S",C336="I"),-1,1),"")</f>
        <v>0</v>
      </c>
      <c r="AW336" s="1030">
        <f t="shared" si="35"/>
        <v>0</v>
      </c>
      <c r="AX336" s="1030">
        <f>INDEX(V336:AG336,1,MATCH(Parametres!$B$3,V$1:AG$1,0))*IF(OR(C336="L",C336="S",C336="I"),-1,1)</f>
        <v>0</v>
      </c>
      <c r="AY336" s="598" t="s">
        <v>337</v>
      </c>
      <c r="AZ336" s="598">
        <f>+VLOOKUP($AJ336,Data_Validation!$A:$E,5,0)</f>
        <v>0</v>
      </c>
    </row>
    <row r="337" spans="1:52" ht="15" customHeight="1">
      <c r="A337" s="832" t="s">
        <v>1150</v>
      </c>
      <c r="B337" s="832">
        <v>2025</v>
      </c>
      <c r="C337" s="832" t="s">
        <v>1820</v>
      </c>
      <c r="D337" s="832" t="s">
        <v>1821</v>
      </c>
      <c r="E337" s="832" t="s">
        <v>333</v>
      </c>
      <c r="F337" s="832" t="s">
        <v>1792</v>
      </c>
      <c r="G337" s="832">
        <v>0</v>
      </c>
      <c r="H337" s="832">
        <v>0</v>
      </c>
      <c r="I337" s="832">
        <v>0</v>
      </c>
      <c r="J337" s="832">
        <v>0</v>
      </c>
      <c r="K337" s="832">
        <v>0</v>
      </c>
      <c r="L337" s="832">
        <v>0</v>
      </c>
      <c r="M337" s="832">
        <v>0</v>
      </c>
      <c r="N337" s="832">
        <v>0</v>
      </c>
      <c r="O337" s="832">
        <v>0</v>
      </c>
      <c r="P337" s="832">
        <v>0</v>
      </c>
      <c r="Q337" s="832">
        <v>0</v>
      </c>
      <c r="R337" s="832">
        <v>0</v>
      </c>
      <c r="S337" s="832">
        <v>0</v>
      </c>
      <c r="T337" s="832">
        <v>0</v>
      </c>
      <c r="U337" s="832">
        <v>0</v>
      </c>
      <c r="V337" s="832">
        <v>0</v>
      </c>
      <c r="W337" s="832">
        <v>0</v>
      </c>
      <c r="X337" s="832">
        <v>0</v>
      </c>
      <c r="Y337" s="832">
        <v>0</v>
      </c>
      <c r="Z337" s="832">
        <v>0</v>
      </c>
      <c r="AA337" s="832">
        <v>0</v>
      </c>
      <c r="AB337" s="832">
        <v>0</v>
      </c>
      <c r="AC337" s="832">
        <v>0</v>
      </c>
      <c r="AD337" s="832">
        <v>0</v>
      </c>
      <c r="AE337" s="832">
        <v>0</v>
      </c>
      <c r="AF337" s="832">
        <v>0</v>
      </c>
      <c r="AG337" s="832">
        <v>0</v>
      </c>
      <c r="AH337" s="832">
        <v>0</v>
      </c>
      <c r="AI337" s="832">
        <v>0</v>
      </c>
      <c r="AJ337" s="1030" t="str">
        <f t="shared" si="30"/>
        <v>H11100</v>
      </c>
      <c r="AK337" s="1030" t="str">
        <f t="shared" si="31"/>
        <v>AUTRES</v>
      </c>
      <c r="AL337" s="1030">
        <f>IFERROR(INDEX(G337:R337,1,MATCH(Parametres!$B$3,G$1:R$1,0)-1)*IF(OR(F337="L",F337="S",F337="I"),-1,1),"")</f>
        <v>0</v>
      </c>
      <c r="AM337" s="1030">
        <f t="shared" si="32"/>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t="str">
        <f t="shared" si="33"/>
        <v>H11100</v>
      </c>
      <c r="AU337" s="599" t="str">
        <f t="shared" si="34"/>
        <v>AUTRES</v>
      </c>
      <c r="AV337" s="1030">
        <f>IFERROR(INDEX(V337:AG337,1,MATCH(Parametres!$B$3,V$1:AG$1,0)-1)*IF(OR(C337="L",C337="S",C337="I"),-1,1),"")</f>
        <v>0</v>
      </c>
      <c r="AW337" s="1030">
        <f t="shared" si="35"/>
        <v>0</v>
      </c>
      <c r="AX337" s="1030">
        <f>INDEX(V337:AG337,1,MATCH(Parametres!$B$3,V$1:AG$1,0))*IF(OR(C337="L",C337="S",C337="I"),-1,1)</f>
        <v>0</v>
      </c>
      <c r="AY337" s="598" t="s">
        <v>337</v>
      </c>
      <c r="AZ337" s="598" t="e">
        <f>+VLOOKUP($AJ337,Data_Validation!$A:$E,5,0)</f>
        <v>#N/A</v>
      </c>
    </row>
    <row r="338" spans="1:52" ht="15.75" customHeight="1">
      <c r="A338" s="832" t="s">
        <v>1150</v>
      </c>
      <c r="B338" s="832">
        <v>2025</v>
      </c>
      <c r="C338" s="832" t="s">
        <v>1822</v>
      </c>
      <c r="D338" s="832" t="s">
        <v>1823</v>
      </c>
      <c r="E338" s="832" t="s">
        <v>336</v>
      </c>
      <c r="F338" s="832" t="s">
        <v>1792</v>
      </c>
      <c r="G338" s="832">
        <v>0</v>
      </c>
      <c r="H338" s="832">
        <v>0</v>
      </c>
      <c r="I338" s="832">
        <v>0</v>
      </c>
      <c r="J338" s="832">
        <v>0</v>
      </c>
      <c r="K338" s="832">
        <v>0</v>
      </c>
      <c r="L338" s="832">
        <v>0</v>
      </c>
      <c r="M338" s="832">
        <v>0</v>
      </c>
      <c r="N338" s="832">
        <v>0</v>
      </c>
      <c r="O338" s="832">
        <v>0</v>
      </c>
      <c r="P338" s="832">
        <v>0</v>
      </c>
      <c r="Q338" s="832">
        <v>0</v>
      </c>
      <c r="R338" s="832">
        <v>0</v>
      </c>
      <c r="S338" s="832">
        <v>0</v>
      </c>
      <c r="T338" s="832">
        <v>0</v>
      </c>
      <c r="U338" s="832">
        <v>0</v>
      </c>
      <c r="V338" s="832">
        <v>0</v>
      </c>
      <c r="W338" s="832">
        <v>0</v>
      </c>
      <c r="X338" s="832">
        <v>0</v>
      </c>
      <c r="Y338" s="832">
        <v>0</v>
      </c>
      <c r="Z338" s="832">
        <v>0</v>
      </c>
      <c r="AA338" s="832">
        <v>0</v>
      </c>
      <c r="AB338" s="832">
        <v>0</v>
      </c>
      <c r="AC338" s="832">
        <v>0</v>
      </c>
      <c r="AD338" s="832">
        <v>0</v>
      </c>
      <c r="AE338" s="832">
        <v>0</v>
      </c>
      <c r="AF338" s="832">
        <v>0</v>
      </c>
      <c r="AG338" s="832">
        <v>0</v>
      </c>
      <c r="AH338" s="832">
        <v>0</v>
      </c>
      <c r="AI338" s="832">
        <v>0</v>
      </c>
      <c r="AJ338" s="1030" t="str">
        <f t="shared" si="30"/>
        <v>H11300</v>
      </c>
      <c r="AK338" s="1030" t="str">
        <f t="shared" si="31"/>
        <v>RECEVABLES DE CIBC</v>
      </c>
      <c r="AL338" s="1030">
        <f>IFERROR(INDEX(G338:R338,1,MATCH(Parametres!$B$3,G$1:R$1,0)-1)*IF(OR(F338="L",F338="S",F338="I"),-1,1),"")</f>
        <v>0</v>
      </c>
      <c r="AM338" s="1030">
        <f t="shared" si="32"/>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t="str">
        <f t="shared" si="33"/>
        <v>H11300</v>
      </c>
      <c r="AU338" s="599" t="str">
        <f t="shared" si="34"/>
        <v>RECEVABLES DE CIBC</v>
      </c>
      <c r="AV338" s="1030">
        <f>IFERROR(INDEX(V338:AG338,1,MATCH(Parametres!$B$3,V$1:AG$1,0)-1)*IF(OR(C338="L",C338="S",C338="I"),-1,1),"")</f>
        <v>0</v>
      </c>
      <c r="AW338" s="1030">
        <f t="shared" si="35"/>
        <v>0</v>
      </c>
      <c r="AX338" s="1030">
        <f>INDEX(V338:AG338,1,MATCH(Parametres!$B$3,V$1:AG$1,0))*IF(OR(C338="L",C338="S",C338="I"),-1,1)</f>
        <v>0</v>
      </c>
      <c r="AY338" s="598" t="s">
        <v>337</v>
      </c>
      <c r="AZ338" s="598" t="e">
        <f>+VLOOKUP($AJ338,Data_Validation!$A:$E,5,0)</f>
        <v>#N/A</v>
      </c>
    </row>
    <row r="339" spans="1:52" ht="15" customHeight="1">
      <c r="A339" s="832" t="s">
        <v>1150</v>
      </c>
      <c r="B339" s="832">
        <v>2025</v>
      </c>
      <c r="C339" s="832" t="s">
        <v>1824</v>
      </c>
      <c r="D339" s="832" t="s">
        <v>1825</v>
      </c>
      <c r="E339" s="832" t="s">
        <v>333</v>
      </c>
      <c r="F339" s="832" t="s">
        <v>1792</v>
      </c>
      <c r="G339" s="832">
        <v>0</v>
      </c>
      <c r="H339" s="832">
        <v>0</v>
      </c>
      <c r="I339" s="832">
        <v>0</v>
      </c>
      <c r="J339" s="832">
        <v>0</v>
      </c>
      <c r="K339" s="832">
        <v>0</v>
      </c>
      <c r="L339" s="832">
        <v>0</v>
      </c>
      <c r="M339" s="832">
        <v>0</v>
      </c>
      <c r="N339" s="832">
        <v>0</v>
      </c>
      <c r="O339" s="832">
        <v>0</v>
      </c>
      <c r="P339" s="832">
        <v>0</v>
      </c>
      <c r="Q339" s="832">
        <v>0</v>
      </c>
      <c r="R339" s="832">
        <v>0</v>
      </c>
      <c r="S339" s="832">
        <v>0</v>
      </c>
      <c r="T339" s="832">
        <v>0</v>
      </c>
      <c r="U339" s="832">
        <v>0</v>
      </c>
      <c r="V339" s="832">
        <v>0</v>
      </c>
      <c r="W339" s="832">
        <v>0</v>
      </c>
      <c r="X339" s="832">
        <v>0</v>
      </c>
      <c r="Y339" s="832">
        <v>0</v>
      </c>
      <c r="Z339" s="832">
        <v>0</v>
      </c>
      <c r="AA339" s="832">
        <v>0</v>
      </c>
      <c r="AB339" s="832">
        <v>0</v>
      </c>
      <c r="AC339" s="832">
        <v>0</v>
      </c>
      <c r="AD339" s="832">
        <v>0</v>
      </c>
      <c r="AE339" s="832">
        <v>0</v>
      </c>
      <c r="AF339" s="832">
        <v>0</v>
      </c>
      <c r="AG339" s="832">
        <v>0</v>
      </c>
      <c r="AH339" s="832">
        <v>0</v>
      </c>
      <c r="AI339" s="832">
        <v>0</v>
      </c>
      <c r="AJ339" s="1030" t="str">
        <f t="shared" si="30"/>
        <v>H11400</v>
      </c>
      <c r="AK339" s="1030" t="str">
        <f t="shared" si="31"/>
        <v>RECEVABLES NETS - LOC.</v>
      </c>
      <c r="AL339" s="1030">
        <f>IFERROR(INDEX(G339:R339,1,MATCH(Parametres!$B$3,G$1:R$1,0)-1)*IF(OR(F339="L",F339="S",F339="I"),-1,1),"")</f>
        <v>0</v>
      </c>
      <c r="AM339" s="1030">
        <f t="shared" si="32"/>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t="str">
        <f t="shared" si="33"/>
        <v>H11400</v>
      </c>
      <c r="AU339" s="599" t="str">
        <f t="shared" si="34"/>
        <v>RECEVABLES NETS - LOC.</v>
      </c>
      <c r="AV339" s="1030">
        <f>IFERROR(INDEX(V339:AG339,1,MATCH(Parametres!$B$3,V$1:AG$1,0)-1)*IF(OR(C339="L",C339="S",C339="I"),-1,1),"")</f>
        <v>0</v>
      </c>
      <c r="AW339" s="1030">
        <f t="shared" si="35"/>
        <v>0</v>
      </c>
      <c r="AX339" s="1030">
        <f>INDEX(V339:AG339,1,MATCH(Parametres!$B$3,V$1:AG$1,0))*IF(OR(C339="L",C339="S",C339="I"),-1,1)</f>
        <v>0</v>
      </c>
      <c r="AY339" s="598" t="s">
        <v>337</v>
      </c>
      <c r="AZ339" s="598" t="e">
        <f>+VLOOKUP($AJ339,Data_Validation!$A:$E,5,0)</f>
        <v>#N/A</v>
      </c>
    </row>
    <row r="340" spans="1:52" ht="15" customHeight="1">
      <c r="A340" s="832" t="s">
        <v>1150</v>
      </c>
      <c r="B340" s="832">
        <v>2025</v>
      </c>
      <c r="C340" s="832" t="s">
        <v>1826</v>
      </c>
      <c r="D340" s="832" t="s">
        <v>1827</v>
      </c>
      <c r="E340" s="832" t="s">
        <v>1792</v>
      </c>
      <c r="F340" s="832" t="s">
        <v>1792</v>
      </c>
      <c r="G340" s="832">
        <v>595371.59</v>
      </c>
      <c r="H340" s="832">
        <v>532340.6</v>
      </c>
      <c r="I340" s="832">
        <v>553439.01</v>
      </c>
      <c r="J340" s="832">
        <v>486867.89</v>
      </c>
      <c r="K340" s="832">
        <v>449150.82</v>
      </c>
      <c r="L340" s="832">
        <v>386986.32</v>
      </c>
      <c r="M340" s="832">
        <v>435429.66</v>
      </c>
      <c r="N340" s="832">
        <v>472055.05</v>
      </c>
      <c r="O340" s="832">
        <v>546070.72</v>
      </c>
      <c r="P340" s="832">
        <v>462397.83</v>
      </c>
      <c r="Q340" s="832">
        <v>453222.24</v>
      </c>
      <c r="R340" s="832">
        <v>515656.45</v>
      </c>
      <c r="S340" s="832">
        <v>0</v>
      </c>
      <c r="T340" s="832">
        <v>0</v>
      </c>
      <c r="U340" s="832">
        <v>0</v>
      </c>
      <c r="V340" s="832">
        <v>0</v>
      </c>
      <c r="W340" s="832">
        <v>0</v>
      </c>
      <c r="X340" s="832">
        <v>0</v>
      </c>
      <c r="Y340" s="832">
        <v>0</v>
      </c>
      <c r="Z340" s="832">
        <v>0</v>
      </c>
      <c r="AA340" s="832">
        <v>0</v>
      </c>
      <c r="AB340" s="832">
        <v>0</v>
      </c>
      <c r="AC340" s="832">
        <v>0</v>
      </c>
      <c r="AD340" s="832">
        <v>0</v>
      </c>
      <c r="AE340" s="832">
        <v>0</v>
      </c>
      <c r="AF340" s="832">
        <v>0</v>
      </c>
      <c r="AG340" s="832">
        <v>0</v>
      </c>
      <c r="AH340" s="832">
        <v>0</v>
      </c>
      <c r="AI340" s="832">
        <v>0</v>
      </c>
      <c r="AJ340" s="1030" t="str">
        <f t="shared" si="30"/>
        <v>H11500</v>
      </c>
      <c r="AK340" s="1030" t="str">
        <f t="shared" si="31"/>
        <v>A/R PIECE &amp; SERVICE</v>
      </c>
      <c r="AL340" s="1030">
        <f>IFERROR(INDEX(G340:R340,1,MATCH(Parametres!$B$3,G$1:R$1,0)-1)*IF(OR(F340="L",F340="S",F340="I"),-1,1),"")</f>
        <v>486867.89</v>
      </c>
      <c r="AM340" s="1030">
        <f t="shared" si="32"/>
        <v>-37717.070000000007</v>
      </c>
      <c r="AN340" s="1030">
        <f>INDEX(G340:R340,1,MATCH(Parametres!$B$3,G$1:R$1,0))*IF(OR(F340="L",F340="S",F340="I"),-1,1)</f>
        <v>449150.82</v>
      </c>
      <c r="AO340" s="598" t="str">
        <f>+VLOOKUP($AJ340,Data_Validation!$A:$D,1,0)</f>
        <v>H11500</v>
      </c>
      <c r="AP340" s="598" t="str">
        <f>+VLOOKUP($AJ340,Data_Validation!$A:$D,3,0)</f>
        <v>Bilan</v>
      </c>
      <c r="AQ340" s="598" t="str">
        <f>+VLOOKUP($AJ340,Data_Validation!$A:$D,4,0)</f>
        <v>Recevables Pièces et Service</v>
      </c>
      <c r="AR340" s="598" t="s">
        <v>299</v>
      </c>
      <c r="AS340" s="598">
        <f>+VLOOKUP($AJ340,Data_Validation!$A:$E,5,0)</f>
        <v>0</v>
      </c>
      <c r="AT340" s="1036" t="str">
        <f t="shared" si="33"/>
        <v>H11500</v>
      </c>
      <c r="AU340" s="599" t="str">
        <f t="shared" si="34"/>
        <v>A/R PIECE &amp; SERVICE</v>
      </c>
      <c r="AV340" s="1030">
        <f>IFERROR(INDEX(V340:AG340,1,MATCH(Parametres!$B$3,V$1:AG$1,0)-1)*IF(OR(C340="L",C340="S",C340="I"),-1,1),"")</f>
        <v>0</v>
      </c>
      <c r="AW340" s="1030">
        <f t="shared" si="35"/>
        <v>0</v>
      </c>
      <c r="AX340" s="1030">
        <f>INDEX(V340:AG340,1,MATCH(Parametres!$B$3,V$1:AG$1,0))*IF(OR(C340="L",C340="S",C340="I"),-1,1)</f>
        <v>0</v>
      </c>
      <c r="AY340" s="598" t="s">
        <v>337</v>
      </c>
      <c r="AZ340" s="598">
        <f>+VLOOKUP($AJ340,Data_Validation!$A:$E,5,0)</f>
        <v>0</v>
      </c>
    </row>
    <row r="341" spans="1:52" ht="15" customHeight="1">
      <c r="A341" s="832" t="s">
        <v>1150</v>
      </c>
      <c r="B341" s="832">
        <v>2025</v>
      </c>
      <c r="C341" s="832" t="s">
        <v>1828</v>
      </c>
      <c r="D341" s="832" t="s">
        <v>1829</v>
      </c>
      <c r="E341" s="832" t="s">
        <v>1792</v>
      </c>
      <c r="F341" s="832" t="s">
        <v>1792</v>
      </c>
      <c r="G341" s="832">
        <v>0</v>
      </c>
      <c r="H341" s="832">
        <v>0</v>
      </c>
      <c r="I341" s="832">
        <v>0</v>
      </c>
      <c r="J341" s="832">
        <v>0</v>
      </c>
      <c r="K341" s="832">
        <v>0</v>
      </c>
      <c r="L341" s="832">
        <v>0</v>
      </c>
      <c r="M341" s="832">
        <v>0</v>
      </c>
      <c r="N341" s="832">
        <v>0</v>
      </c>
      <c r="O341" s="832">
        <v>0</v>
      </c>
      <c r="P341" s="832">
        <v>0</v>
      </c>
      <c r="Q341" s="832">
        <v>0</v>
      </c>
      <c r="R341" s="832">
        <v>0</v>
      </c>
      <c r="S341" s="832">
        <v>0</v>
      </c>
      <c r="T341" s="832">
        <v>0</v>
      </c>
      <c r="U341" s="832">
        <v>0</v>
      </c>
      <c r="V341" s="832">
        <v>0</v>
      </c>
      <c r="W341" s="832">
        <v>0</v>
      </c>
      <c r="X341" s="832">
        <v>0</v>
      </c>
      <c r="Y341" s="832">
        <v>0</v>
      </c>
      <c r="Z341" s="832">
        <v>0</v>
      </c>
      <c r="AA341" s="832">
        <v>0</v>
      </c>
      <c r="AB341" s="832">
        <v>0</v>
      </c>
      <c r="AC341" s="832">
        <v>0</v>
      </c>
      <c r="AD341" s="832">
        <v>0</v>
      </c>
      <c r="AE341" s="832">
        <v>0</v>
      </c>
      <c r="AF341" s="832">
        <v>0</v>
      </c>
      <c r="AG341" s="832">
        <v>0</v>
      </c>
      <c r="AH341" s="832">
        <v>0</v>
      </c>
      <c r="AI341" s="832">
        <v>0</v>
      </c>
      <c r="AJ341" s="1030" t="str">
        <f t="shared" si="30"/>
        <v>H11510</v>
      </c>
      <c r="AK341" s="1030" t="str">
        <f t="shared" si="31"/>
        <v>A/R FORTUNE</v>
      </c>
      <c r="AL341" s="1030">
        <f>IFERROR(INDEX(G341:R341,1,MATCH(Parametres!$B$3,G$1:R$1,0)-1)*IF(OR(F341="L",F341="S",F341="I"),-1,1),"")</f>
        <v>0</v>
      </c>
      <c r="AM341" s="1030">
        <f t="shared" si="32"/>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t="str">
        <f t="shared" si="33"/>
        <v>H11510</v>
      </c>
      <c r="AU341" s="599" t="str">
        <f t="shared" si="34"/>
        <v>A/R FORTUNE</v>
      </c>
      <c r="AV341" s="1030">
        <f>IFERROR(INDEX(V341:AG341,1,MATCH(Parametres!$B$3,V$1:AG$1,0)-1)*IF(OR(C341="L",C341="S",C341="I"),-1,1),"")</f>
        <v>0</v>
      </c>
      <c r="AW341" s="1030">
        <f t="shared" si="35"/>
        <v>0</v>
      </c>
      <c r="AX341" s="1030">
        <f>INDEX(V341:AG341,1,MATCH(Parametres!$B$3,V$1:AG$1,0))*IF(OR(C341="L",C341="S",C341="I"),-1,1)</f>
        <v>0</v>
      </c>
      <c r="AY341" s="598" t="s">
        <v>337</v>
      </c>
      <c r="AZ341" s="598" t="e">
        <f>+VLOOKUP($AJ341,Data_Validation!$A:$E,5,0)</f>
        <v>#N/A</v>
      </c>
    </row>
    <row r="342" spans="1:52" ht="15" customHeight="1">
      <c r="A342" s="832" t="s">
        <v>1150</v>
      </c>
      <c r="B342" s="832">
        <v>2025</v>
      </c>
      <c r="C342" s="832" t="s">
        <v>1830</v>
      </c>
      <c r="D342" s="832" t="s">
        <v>1831</v>
      </c>
      <c r="E342" s="832" t="s">
        <v>1792</v>
      </c>
      <c r="F342" s="832" t="s">
        <v>1792</v>
      </c>
      <c r="G342" s="832">
        <v>-17765.98</v>
      </c>
      <c r="H342" s="832">
        <v>-17665.98</v>
      </c>
      <c r="I342" s="832">
        <v>-17643.27</v>
      </c>
      <c r="J342" s="832">
        <v>-18143.27</v>
      </c>
      <c r="K342" s="832">
        <v>-3050.52</v>
      </c>
      <c r="L342" s="832">
        <v>-2415.41</v>
      </c>
      <c r="M342" s="832">
        <v>-2545.41</v>
      </c>
      <c r="N342" s="832">
        <v>-2098.4</v>
      </c>
      <c r="O342" s="832">
        <v>-3239.83</v>
      </c>
      <c r="P342" s="832">
        <v>-5474.19</v>
      </c>
      <c r="Q342" s="832">
        <v>-5873.2</v>
      </c>
      <c r="R342" s="832">
        <v>-6151.42</v>
      </c>
      <c r="S342" s="832">
        <v>0</v>
      </c>
      <c r="T342" s="832">
        <v>0</v>
      </c>
      <c r="U342" s="832">
        <v>0</v>
      </c>
      <c r="V342" s="832">
        <v>0</v>
      </c>
      <c r="W342" s="832">
        <v>0</v>
      </c>
      <c r="X342" s="832">
        <v>0</v>
      </c>
      <c r="Y342" s="832">
        <v>0</v>
      </c>
      <c r="Z342" s="832">
        <v>0</v>
      </c>
      <c r="AA342" s="832">
        <v>0</v>
      </c>
      <c r="AB342" s="832">
        <v>0</v>
      </c>
      <c r="AC342" s="832">
        <v>0</v>
      </c>
      <c r="AD342" s="832">
        <v>0</v>
      </c>
      <c r="AE342" s="832">
        <v>0</v>
      </c>
      <c r="AF342" s="832">
        <v>0</v>
      </c>
      <c r="AG342" s="832">
        <v>0</v>
      </c>
      <c r="AH342" s="832">
        <v>0</v>
      </c>
      <c r="AI342" s="832">
        <v>0</v>
      </c>
      <c r="AJ342" s="1030" t="str">
        <f t="shared" si="30"/>
        <v>H11520</v>
      </c>
      <c r="AK342" s="1030" t="str">
        <f t="shared" si="31"/>
        <v>RABAIS VENTE ENT SERVICE</v>
      </c>
      <c r="AL342" s="1030">
        <f>IFERROR(INDEX(G342:R342,1,MATCH(Parametres!$B$3,G$1:R$1,0)-1)*IF(OR(F342="L",F342="S",F342="I"),-1,1),"")</f>
        <v>-18143.27</v>
      </c>
      <c r="AM342" s="1030">
        <f t="shared" si="32"/>
        <v>15092.75</v>
      </c>
      <c r="AN342" s="1030">
        <f>INDEX(G342:R342,1,MATCH(Parametres!$B$3,G$1:R$1,0))*IF(OR(F342="L",F342="S",F342="I"),-1,1)</f>
        <v>-3050.52</v>
      </c>
      <c r="AO342" s="598" t="str">
        <f>+VLOOKUP($AJ342,Data_Validation!$A:$D,1,0)</f>
        <v>H11520</v>
      </c>
      <c r="AP342" s="598" t="str">
        <f>+VLOOKUP($AJ342,Data_Validation!$A:$D,3,0)</f>
        <v>Bilan</v>
      </c>
      <c r="AQ342" s="598" t="str">
        <f>+VLOOKUP($AJ342,Data_Validation!$A:$D,4,0)</f>
        <v>Recevables Pièces et Service</v>
      </c>
      <c r="AR342" s="598" t="s">
        <v>299</v>
      </c>
      <c r="AS342" s="598">
        <f>+VLOOKUP($AJ342,Data_Validation!$A:$E,5,0)</f>
        <v>0</v>
      </c>
      <c r="AT342" s="1036" t="str">
        <f t="shared" si="33"/>
        <v>H11520</v>
      </c>
      <c r="AU342" s="599" t="str">
        <f t="shared" si="34"/>
        <v>RABAIS VENTE ENT SERVICE</v>
      </c>
      <c r="AV342" s="1030">
        <f>IFERROR(INDEX(V342:AG342,1,MATCH(Parametres!$B$3,V$1:AG$1,0)-1)*IF(OR(C342="L",C342="S",C342="I"),-1,1),"")</f>
        <v>0</v>
      </c>
      <c r="AW342" s="1030">
        <f t="shared" si="35"/>
        <v>0</v>
      </c>
      <c r="AX342" s="1030">
        <f>INDEX(V342:AG342,1,MATCH(Parametres!$B$3,V$1:AG$1,0))*IF(OR(C342="L",C342="S",C342="I"),-1,1)</f>
        <v>0</v>
      </c>
      <c r="AY342" s="598" t="s">
        <v>337</v>
      </c>
      <c r="AZ342" s="598">
        <f>+VLOOKUP($AJ342,Data_Validation!$A:$E,5,0)</f>
        <v>0</v>
      </c>
    </row>
    <row r="343" spans="1:52" ht="15.75" customHeight="1">
      <c r="A343" s="832" t="s">
        <v>1150</v>
      </c>
      <c r="B343" s="832">
        <v>2025</v>
      </c>
      <c r="C343" s="832" t="s">
        <v>1832</v>
      </c>
      <c r="D343" s="832" t="s">
        <v>1833</v>
      </c>
      <c r="E343" s="832" t="s">
        <v>1792</v>
      </c>
      <c r="F343" s="832" t="s">
        <v>1792</v>
      </c>
      <c r="G343" s="832">
        <v>0</v>
      </c>
      <c r="H343" s="832">
        <v>0</v>
      </c>
      <c r="I343" s="832">
        <v>0</v>
      </c>
      <c r="J343" s="832">
        <v>0</v>
      </c>
      <c r="K343" s="832">
        <v>0</v>
      </c>
      <c r="L343" s="832">
        <v>0</v>
      </c>
      <c r="M343" s="832">
        <v>0</v>
      </c>
      <c r="N343" s="832">
        <v>0</v>
      </c>
      <c r="O343" s="832">
        <v>0</v>
      </c>
      <c r="P343" s="832">
        <v>0</v>
      </c>
      <c r="Q343" s="832">
        <v>0</v>
      </c>
      <c r="R343" s="832">
        <v>0</v>
      </c>
      <c r="S343" s="832">
        <v>0</v>
      </c>
      <c r="T343" s="832">
        <v>0</v>
      </c>
      <c r="U343" s="832">
        <v>0</v>
      </c>
      <c r="V343" s="832">
        <v>0</v>
      </c>
      <c r="W343" s="832">
        <v>0</v>
      </c>
      <c r="X343" s="832">
        <v>0</v>
      </c>
      <c r="Y343" s="832">
        <v>0</v>
      </c>
      <c r="Z343" s="832">
        <v>0</v>
      </c>
      <c r="AA343" s="832">
        <v>0</v>
      </c>
      <c r="AB343" s="832">
        <v>0</v>
      </c>
      <c r="AC343" s="832">
        <v>0</v>
      </c>
      <c r="AD343" s="832">
        <v>0</v>
      </c>
      <c r="AE343" s="832">
        <v>0</v>
      </c>
      <c r="AF343" s="832">
        <v>0</v>
      </c>
      <c r="AG343" s="832">
        <v>0</v>
      </c>
      <c r="AH343" s="832">
        <v>0</v>
      </c>
      <c r="AI343" s="832">
        <v>0</v>
      </c>
      <c r="AJ343" s="1030" t="str">
        <f t="shared" si="30"/>
        <v>H11530</v>
      </c>
      <c r="AK343" s="1030" t="str">
        <f t="shared" si="31"/>
        <v>RABAIS CHANG HUILE GRAT</v>
      </c>
      <c r="AL343" s="1030">
        <f>IFERROR(INDEX(G343:R343,1,MATCH(Parametres!$B$3,G$1:R$1,0)-1)*IF(OR(F343="L",F343="S",F343="I"),-1,1),"")</f>
        <v>0</v>
      </c>
      <c r="AM343" s="1030">
        <f t="shared" si="32"/>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t="str">
        <f t="shared" si="33"/>
        <v>H11530</v>
      </c>
      <c r="AU343" s="599" t="str">
        <f t="shared" si="34"/>
        <v>RABAIS CHANG HUILE GRAT</v>
      </c>
      <c r="AV343" s="1030">
        <f>IFERROR(INDEX(V343:AG343,1,MATCH(Parametres!$B$3,V$1:AG$1,0)-1)*IF(OR(C343="L",C343="S",C343="I"),-1,1),"")</f>
        <v>0</v>
      </c>
      <c r="AW343" s="1030">
        <f t="shared" si="35"/>
        <v>0</v>
      </c>
      <c r="AX343" s="1030">
        <f>INDEX(V343:AG343,1,MATCH(Parametres!$B$3,V$1:AG$1,0))*IF(OR(C343="L",C343="S",C343="I"),-1,1)</f>
        <v>0</v>
      </c>
      <c r="AY343" s="598" t="s">
        <v>337</v>
      </c>
      <c r="AZ343" s="598" t="e">
        <f>+VLOOKUP($AJ343,Data_Validation!$A:$E,5,0)</f>
        <v>#N/A</v>
      </c>
    </row>
    <row r="344" spans="1:52" ht="15" customHeight="1">
      <c r="A344" s="832" t="s">
        <v>1150</v>
      </c>
      <c r="B344" s="832">
        <v>2025</v>
      </c>
      <c r="C344" s="832" t="s">
        <v>1834</v>
      </c>
      <c r="D344" s="832" t="s">
        <v>1835</v>
      </c>
      <c r="E344" s="832" t="s">
        <v>1792</v>
      </c>
      <c r="F344" s="832" t="s">
        <v>1792</v>
      </c>
      <c r="G344" s="832">
        <v>-7724.09</v>
      </c>
      <c r="H344" s="832">
        <v>-7620.65</v>
      </c>
      <c r="I344" s="832">
        <v>-7620.65</v>
      </c>
      <c r="J344" s="832">
        <v>-7620.65</v>
      </c>
      <c r="K344" s="832">
        <v>-1465.74</v>
      </c>
      <c r="L344" s="832">
        <v>-1427.37</v>
      </c>
      <c r="M344" s="832">
        <v>-1427.37</v>
      </c>
      <c r="N344" s="832">
        <v>-1377.37</v>
      </c>
      <c r="O344" s="832">
        <v>-1358.42</v>
      </c>
      <c r="P344" s="832">
        <v>-1358.42</v>
      </c>
      <c r="Q344" s="832">
        <v>-958.42</v>
      </c>
      <c r="R344" s="832">
        <v>-1008.42</v>
      </c>
      <c r="S344" s="832">
        <v>0</v>
      </c>
      <c r="T344" s="832">
        <v>0</v>
      </c>
      <c r="U344" s="832">
        <v>0</v>
      </c>
      <c r="V344" s="832">
        <v>0</v>
      </c>
      <c r="W344" s="832">
        <v>0</v>
      </c>
      <c r="X344" s="832">
        <v>0</v>
      </c>
      <c r="Y344" s="832">
        <v>0</v>
      </c>
      <c r="Z344" s="832">
        <v>0</v>
      </c>
      <c r="AA344" s="832">
        <v>0</v>
      </c>
      <c r="AB344" s="832">
        <v>0</v>
      </c>
      <c r="AC344" s="832">
        <v>0</v>
      </c>
      <c r="AD344" s="832">
        <v>0</v>
      </c>
      <c r="AE344" s="832">
        <v>0</v>
      </c>
      <c r="AF344" s="832">
        <v>0</v>
      </c>
      <c r="AG344" s="832">
        <v>0</v>
      </c>
      <c r="AH344" s="832">
        <v>0</v>
      </c>
      <c r="AI344" s="832">
        <v>0</v>
      </c>
      <c r="AJ344" s="1030" t="str">
        <f t="shared" si="30"/>
        <v>H11540</v>
      </c>
      <c r="AK344" s="1030" t="str">
        <f t="shared" si="31"/>
        <v>CREDIT PIECE ET SERVICE</v>
      </c>
      <c r="AL344" s="1030">
        <f>IFERROR(INDEX(G344:R344,1,MATCH(Parametres!$B$3,G$1:R$1,0)-1)*IF(OR(F344="L",F344="S",F344="I"),-1,1),"")</f>
        <v>-7620.65</v>
      </c>
      <c r="AM344" s="1030">
        <f t="shared" si="32"/>
        <v>6154.91</v>
      </c>
      <c r="AN344" s="1030">
        <f>INDEX(G344:R344,1,MATCH(Parametres!$B$3,G$1:R$1,0))*IF(OR(F344="L",F344="S",F344="I"),-1,1)</f>
        <v>-1465.74</v>
      </c>
      <c r="AO344" s="598" t="str">
        <f>+VLOOKUP($AJ344,Data_Validation!$A:$D,1,0)</f>
        <v>H11540</v>
      </c>
      <c r="AP344" s="598" t="str">
        <f>+VLOOKUP($AJ344,Data_Validation!$A:$D,3,0)</f>
        <v>Bilan</v>
      </c>
      <c r="AQ344" s="598" t="str">
        <f>+VLOOKUP($AJ344,Data_Validation!$A:$D,4,0)</f>
        <v>Recevables Pièces et Service</v>
      </c>
      <c r="AR344" s="598" t="s">
        <v>299</v>
      </c>
      <c r="AS344" s="598">
        <f>+VLOOKUP($AJ344,Data_Validation!$A:$E,5,0)</f>
        <v>0</v>
      </c>
      <c r="AT344" s="1036" t="str">
        <f t="shared" si="33"/>
        <v>H11540</v>
      </c>
      <c r="AU344" s="599" t="str">
        <f t="shared" si="34"/>
        <v>CREDIT PIECE ET SERVICE</v>
      </c>
      <c r="AV344" s="1030">
        <f>IFERROR(INDEX(V344:AG344,1,MATCH(Parametres!$B$3,V$1:AG$1,0)-1)*IF(OR(C344="L",C344="S",C344="I"),-1,1),"")</f>
        <v>0</v>
      </c>
      <c r="AW344" s="1030">
        <f t="shared" si="35"/>
        <v>0</v>
      </c>
      <c r="AX344" s="1030">
        <f>INDEX(V344:AG344,1,MATCH(Parametres!$B$3,V$1:AG$1,0))*IF(OR(C344="L",C344="S",C344="I"),-1,1)</f>
        <v>0</v>
      </c>
      <c r="AY344" s="598" t="s">
        <v>337</v>
      </c>
      <c r="AZ344" s="598">
        <f>+VLOOKUP($AJ344,Data_Validation!$A:$E,5,0)</f>
        <v>0</v>
      </c>
    </row>
    <row r="345" spans="1:52" ht="15" customHeight="1">
      <c r="A345" s="832" t="s">
        <v>1150</v>
      </c>
      <c r="B345" s="832">
        <v>2025</v>
      </c>
      <c r="C345" s="832" t="s">
        <v>1836</v>
      </c>
      <c r="D345" s="832" t="s">
        <v>1837</v>
      </c>
      <c r="E345" s="832" t="s">
        <v>1792</v>
      </c>
      <c r="F345" s="832" t="s">
        <v>1792</v>
      </c>
      <c r="G345" s="832">
        <v>0</v>
      </c>
      <c r="H345" s="832">
        <v>0</v>
      </c>
      <c r="I345" s="832">
        <v>0</v>
      </c>
      <c r="J345" s="832">
        <v>0</v>
      </c>
      <c r="K345" s="832">
        <v>0</v>
      </c>
      <c r="L345" s="832">
        <v>0</v>
      </c>
      <c r="M345" s="832">
        <v>0</v>
      </c>
      <c r="N345" s="832">
        <v>0</v>
      </c>
      <c r="O345" s="832">
        <v>0</v>
      </c>
      <c r="P345" s="832">
        <v>0</v>
      </c>
      <c r="Q345" s="832">
        <v>0</v>
      </c>
      <c r="R345" s="832">
        <v>0</v>
      </c>
      <c r="S345" s="832">
        <v>0</v>
      </c>
      <c r="T345" s="832">
        <v>0</v>
      </c>
      <c r="U345" s="832">
        <v>0</v>
      </c>
      <c r="V345" s="832">
        <v>0</v>
      </c>
      <c r="W345" s="832">
        <v>0</v>
      </c>
      <c r="X345" s="832">
        <v>0</v>
      </c>
      <c r="Y345" s="832">
        <v>0</v>
      </c>
      <c r="Z345" s="832">
        <v>0</v>
      </c>
      <c r="AA345" s="832">
        <v>0</v>
      </c>
      <c r="AB345" s="832">
        <v>0</v>
      </c>
      <c r="AC345" s="832">
        <v>0</v>
      </c>
      <c r="AD345" s="832">
        <v>0</v>
      </c>
      <c r="AE345" s="832">
        <v>0</v>
      </c>
      <c r="AF345" s="832">
        <v>0</v>
      </c>
      <c r="AG345" s="832">
        <v>0</v>
      </c>
      <c r="AH345" s="832">
        <v>0</v>
      </c>
      <c r="AI345" s="832">
        <v>0</v>
      </c>
      <c r="AJ345" s="1030" t="str">
        <f t="shared" si="30"/>
        <v>H11550</v>
      </c>
      <c r="AK345" s="1030" t="str">
        <f t="shared" si="31"/>
        <v>COMPTE RSV CREDIT FUTUR</v>
      </c>
      <c r="AL345" s="1030">
        <f>IFERROR(INDEX(G345:R345,1,MATCH(Parametres!$B$3,G$1:R$1,0)-1)*IF(OR(F345="L",F345="S",F345="I"),-1,1),"")</f>
        <v>0</v>
      </c>
      <c r="AM345" s="1030">
        <f t="shared" si="32"/>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t="str">
        <f t="shared" si="33"/>
        <v>H11550</v>
      </c>
      <c r="AU345" s="599" t="str">
        <f t="shared" si="34"/>
        <v>COMPTE RSV CREDIT FUTUR</v>
      </c>
      <c r="AV345" s="1030">
        <f>IFERROR(INDEX(V345:AG345,1,MATCH(Parametres!$B$3,V$1:AG$1,0)-1)*IF(OR(C345="L",C345="S",C345="I"),-1,1),"")</f>
        <v>0</v>
      </c>
      <c r="AW345" s="1030">
        <f t="shared" si="35"/>
        <v>0</v>
      </c>
      <c r="AX345" s="1030">
        <f>INDEX(V345:AG345,1,MATCH(Parametres!$B$3,V$1:AG$1,0))*IF(OR(C345="L",C345="S",C345="I"),-1,1)</f>
        <v>0</v>
      </c>
      <c r="AY345" s="598" t="s">
        <v>337</v>
      </c>
      <c r="AZ345" s="598" t="e">
        <f>+VLOOKUP($AJ345,Data_Validation!$A:$E,5,0)</f>
        <v>#N/A</v>
      </c>
    </row>
    <row r="346" spans="1:52" ht="15" customHeight="1">
      <c r="A346" s="832" t="s">
        <v>1150</v>
      </c>
      <c r="B346" s="832">
        <v>2025</v>
      </c>
      <c r="C346" s="832" t="s">
        <v>1838</v>
      </c>
      <c r="D346" s="832" t="s">
        <v>1839</v>
      </c>
      <c r="E346" s="832" t="s">
        <v>1813</v>
      </c>
      <c r="F346" s="832" t="s">
        <v>1792</v>
      </c>
      <c r="G346" s="832">
        <v>-45192.28</v>
      </c>
      <c r="H346" s="832">
        <v>32358.080000000002</v>
      </c>
      <c r="I346" s="832">
        <v>-99097.9</v>
      </c>
      <c r="J346" s="832">
        <v>167936.94</v>
      </c>
      <c r="K346" s="832">
        <v>-35994.92</v>
      </c>
      <c r="L346" s="832">
        <v>24249.32</v>
      </c>
      <c r="M346" s="832">
        <v>-27288.59</v>
      </c>
      <c r="N346" s="832">
        <v>-16803.27</v>
      </c>
      <c r="O346" s="832">
        <v>226058.34</v>
      </c>
      <c r="P346" s="832">
        <v>197301.91</v>
      </c>
      <c r="Q346" s="832">
        <v>-18087.66</v>
      </c>
      <c r="R346" s="832">
        <v>75289.490000000005</v>
      </c>
      <c r="S346" s="832">
        <v>0</v>
      </c>
      <c r="T346" s="832">
        <v>0</v>
      </c>
      <c r="U346" s="832">
        <v>0</v>
      </c>
      <c r="V346" s="832">
        <v>0</v>
      </c>
      <c r="W346" s="832">
        <v>0</v>
      </c>
      <c r="X346" s="832">
        <v>0</v>
      </c>
      <c r="Y346" s="832">
        <v>0</v>
      </c>
      <c r="Z346" s="832">
        <v>0</v>
      </c>
      <c r="AA346" s="832">
        <v>0</v>
      </c>
      <c r="AB346" s="832">
        <v>0</v>
      </c>
      <c r="AC346" s="832">
        <v>0</v>
      </c>
      <c r="AD346" s="832">
        <v>0</v>
      </c>
      <c r="AE346" s="832">
        <v>0</v>
      </c>
      <c r="AF346" s="832">
        <v>0</v>
      </c>
      <c r="AG346" s="832">
        <v>0</v>
      </c>
      <c r="AH346" s="832">
        <v>0</v>
      </c>
      <c r="AI346" s="832">
        <v>0</v>
      </c>
      <c r="AJ346" s="1030" t="str">
        <f t="shared" si="30"/>
        <v>H11600</v>
      </c>
      <c r="AK346" s="1030" t="str">
        <f t="shared" si="31"/>
        <v>COMPTES VEHICULE A REC.</v>
      </c>
      <c r="AL346" s="1030">
        <f>IFERROR(INDEX(G346:R346,1,MATCH(Parametres!$B$3,G$1:R$1,0)-1)*IF(OR(F346="L",F346="S",F346="I"),-1,1),"")</f>
        <v>167936.94</v>
      </c>
      <c r="AM346" s="1030">
        <f t="shared" si="32"/>
        <v>-203931.86</v>
      </c>
      <c r="AN346" s="1030">
        <f>INDEX(G346:R346,1,MATCH(Parametres!$B$3,G$1:R$1,0))*IF(OR(F346="L",F346="S",F346="I"),-1,1)</f>
        <v>-35994.92</v>
      </c>
      <c r="AO346" s="598" t="str">
        <f>+VLOOKUP($AJ346,Data_Validation!$A:$D,1,0)</f>
        <v>H11600</v>
      </c>
      <c r="AP346" s="598" t="str">
        <f>+VLOOKUP($AJ346,Data_Validation!$A:$D,3,0)</f>
        <v>Bilan</v>
      </c>
      <c r="AQ346" s="598" t="str">
        <f>+VLOOKUP($AJ346,Data_Validation!$A:$D,4,0)</f>
        <v>Recevables Véhicules</v>
      </c>
      <c r="AR346" s="598" t="s">
        <v>299</v>
      </c>
      <c r="AS346" s="598">
        <f>+VLOOKUP($AJ346,Data_Validation!$A:$E,5,0)</f>
        <v>0</v>
      </c>
      <c r="AT346" s="1036" t="str">
        <f t="shared" si="33"/>
        <v>H11600</v>
      </c>
      <c r="AU346" s="599" t="str">
        <f t="shared" si="34"/>
        <v>COMPTES VEHICULE A REC.</v>
      </c>
      <c r="AV346" s="1030">
        <f>IFERROR(INDEX(V346:AG346,1,MATCH(Parametres!$B$3,V$1:AG$1,0)-1)*IF(OR(C346="L",C346="S",C346="I"),-1,1),"")</f>
        <v>0</v>
      </c>
      <c r="AW346" s="1030">
        <f t="shared" si="35"/>
        <v>0</v>
      </c>
      <c r="AX346" s="1030">
        <f>INDEX(V346:AG346,1,MATCH(Parametres!$B$3,V$1:AG$1,0))*IF(OR(C346="L",C346="S",C346="I"),-1,1)</f>
        <v>0</v>
      </c>
      <c r="AY346" s="598" t="s">
        <v>337</v>
      </c>
      <c r="AZ346" s="598">
        <f>+VLOOKUP($AJ346,Data_Validation!$A:$E,5,0)</f>
        <v>0</v>
      </c>
    </row>
    <row r="347" spans="1:52" ht="15.75" customHeight="1">
      <c r="A347" s="832" t="s">
        <v>1150</v>
      </c>
      <c r="B347" s="832">
        <v>2025</v>
      </c>
      <c r="C347" s="832" t="s">
        <v>1840</v>
      </c>
      <c r="D347" s="832" t="s">
        <v>1841</v>
      </c>
      <c r="E347" s="832" t="s">
        <v>1842</v>
      </c>
      <c r="F347" s="832" t="s">
        <v>1792</v>
      </c>
      <c r="G347" s="832">
        <v>0</v>
      </c>
      <c r="H347" s="832">
        <v>0</v>
      </c>
      <c r="I347" s="832">
        <v>0</v>
      </c>
      <c r="J347" s="832">
        <v>0</v>
      </c>
      <c r="K347" s="832">
        <v>1711.67</v>
      </c>
      <c r="L347" s="832">
        <v>1711.67</v>
      </c>
      <c r="M347" s="832">
        <v>1711.67</v>
      </c>
      <c r="N347" s="832">
        <v>26857.38</v>
      </c>
      <c r="O347" s="832">
        <v>26857.38</v>
      </c>
      <c r="P347" s="832">
        <v>26857.38</v>
      </c>
      <c r="Q347" s="832">
        <v>26857.38</v>
      </c>
      <c r="R347" s="832">
        <v>26857.38</v>
      </c>
      <c r="S347" s="832">
        <v>0</v>
      </c>
      <c r="T347" s="832">
        <v>0</v>
      </c>
      <c r="U347" s="832">
        <v>0</v>
      </c>
      <c r="V347" s="832">
        <v>0</v>
      </c>
      <c r="W347" s="832">
        <v>0</v>
      </c>
      <c r="X347" s="832">
        <v>0</v>
      </c>
      <c r="Y347" s="832">
        <v>0</v>
      </c>
      <c r="Z347" s="832">
        <v>0</v>
      </c>
      <c r="AA347" s="832">
        <v>0</v>
      </c>
      <c r="AB347" s="832">
        <v>0</v>
      </c>
      <c r="AC347" s="832">
        <v>0</v>
      </c>
      <c r="AD347" s="832">
        <v>0</v>
      </c>
      <c r="AE347" s="832">
        <v>0</v>
      </c>
      <c r="AF347" s="832">
        <v>0</v>
      </c>
      <c r="AG347" s="832">
        <v>0</v>
      </c>
      <c r="AH347" s="832">
        <v>0</v>
      </c>
      <c r="AI347" s="832">
        <v>0</v>
      </c>
      <c r="AJ347" s="1030" t="str">
        <f t="shared" si="30"/>
        <v>H11601</v>
      </c>
      <c r="AK347" s="1030" t="str">
        <f t="shared" si="31"/>
        <v>A RECEVOIR VENDEUR</v>
      </c>
      <c r="AL347" s="1030">
        <f>IFERROR(INDEX(G347:R347,1,MATCH(Parametres!$B$3,G$1:R$1,0)-1)*IF(OR(F347="L",F347="S",F347="I"),-1,1),"")</f>
        <v>0</v>
      </c>
      <c r="AM347" s="1030">
        <f t="shared" si="32"/>
        <v>1711.67</v>
      </c>
      <c r="AN347" s="1030">
        <f>INDEX(G347:R347,1,MATCH(Parametres!$B$3,G$1:R$1,0))*IF(OR(F347="L",F347="S",F347="I"),-1,1)</f>
        <v>1711.67</v>
      </c>
      <c r="AO347" s="598" t="str">
        <f>+VLOOKUP($AJ347,Data_Validation!$A:$D,1,0)</f>
        <v>H11601</v>
      </c>
      <c r="AP347" s="598" t="str">
        <f>+VLOOKUP($AJ347,Data_Validation!$A:$D,3,0)</f>
        <v>Bilan</v>
      </c>
      <c r="AQ347" s="598" t="str">
        <f>+VLOOKUP($AJ347,Data_Validation!$A:$D,4,0)</f>
        <v>Recevables Autres</v>
      </c>
      <c r="AR347" s="598" t="s">
        <v>299</v>
      </c>
      <c r="AS347" s="598">
        <f>+VLOOKUP($AJ347,Data_Validation!$A:$E,5,0)</f>
        <v>0</v>
      </c>
      <c r="AT347" s="1036" t="str">
        <f t="shared" si="33"/>
        <v>H11601</v>
      </c>
      <c r="AU347" s="599" t="str">
        <f t="shared" si="34"/>
        <v>A RECEVOIR VENDEUR</v>
      </c>
      <c r="AV347" s="1030">
        <f>IFERROR(INDEX(V347:AG347,1,MATCH(Parametres!$B$3,V$1:AG$1,0)-1)*IF(OR(C347="L",C347="S",C347="I"),-1,1),"")</f>
        <v>0</v>
      </c>
      <c r="AW347" s="1030">
        <f t="shared" si="35"/>
        <v>0</v>
      </c>
      <c r="AX347" s="1030">
        <f>INDEX(V347:AG347,1,MATCH(Parametres!$B$3,V$1:AG$1,0))*IF(OR(C347="L",C347="S",C347="I"),-1,1)</f>
        <v>0</v>
      </c>
      <c r="AY347" s="598" t="s">
        <v>337</v>
      </c>
      <c r="AZ347" s="598">
        <f>+VLOOKUP($AJ347,Data_Validation!$A:$E,5,0)</f>
        <v>0</v>
      </c>
    </row>
    <row r="348" spans="1:52" ht="15" customHeight="1">
      <c r="A348" s="832" t="s">
        <v>1150</v>
      </c>
      <c r="B348" s="832">
        <v>2025</v>
      </c>
      <c r="C348" s="832" t="s">
        <v>1843</v>
      </c>
      <c r="D348" s="832" t="s">
        <v>1839</v>
      </c>
      <c r="E348" s="832" t="s">
        <v>1813</v>
      </c>
      <c r="F348" s="832" t="s">
        <v>1792</v>
      </c>
      <c r="G348" s="832">
        <v>0</v>
      </c>
      <c r="H348" s="832">
        <v>0</v>
      </c>
      <c r="I348" s="832">
        <v>0</v>
      </c>
      <c r="J348" s="832">
        <v>0</v>
      </c>
      <c r="K348" s="832">
        <v>0</v>
      </c>
      <c r="L348" s="832">
        <v>0</v>
      </c>
      <c r="M348" s="832">
        <v>0</v>
      </c>
      <c r="N348" s="832">
        <v>0</v>
      </c>
      <c r="O348" s="832">
        <v>0</v>
      </c>
      <c r="P348" s="832">
        <v>0</v>
      </c>
      <c r="Q348" s="832">
        <v>0</v>
      </c>
      <c r="R348" s="832">
        <v>0</v>
      </c>
      <c r="S348" s="832">
        <v>0</v>
      </c>
      <c r="T348" s="832">
        <v>0</v>
      </c>
      <c r="U348" s="832">
        <v>0</v>
      </c>
      <c r="V348" s="832">
        <v>0</v>
      </c>
      <c r="W348" s="832">
        <v>0</v>
      </c>
      <c r="X348" s="832">
        <v>0</v>
      </c>
      <c r="Y348" s="832">
        <v>0</v>
      </c>
      <c r="Z348" s="832">
        <v>0</v>
      </c>
      <c r="AA348" s="832">
        <v>0</v>
      </c>
      <c r="AB348" s="832">
        <v>0</v>
      </c>
      <c r="AC348" s="832">
        <v>0</v>
      </c>
      <c r="AD348" s="832">
        <v>0</v>
      </c>
      <c r="AE348" s="832">
        <v>0</v>
      </c>
      <c r="AF348" s="832">
        <v>0</v>
      </c>
      <c r="AG348" s="832">
        <v>0</v>
      </c>
      <c r="AH348" s="832">
        <v>0</v>
      </c>
      <c r="AI348" s="832">
        <v>0</v>
      </c>
      <c r="AJ348" s="1030" t="str">
        <f t="shared" si="30"/>
        <v>H11610</v>
      </c>
      <c r="AK348" s="1030" t="str">
        <f t="shared" si="31"/>
        <v>COMPTES VEHICULE A REC.</v>
      </c>
      <c r="AL348" s="1030">
        <f>IFERROR(INDEX(G348:R348,1,MATCH(Parametres!$B$3,G$1:R$1,0)-1)*IF(OR(F348="L",F348="S",F348="I"),-1,1),"")</f>
        <v>0</v>
      </c>
      <c r="AM348" s="1030">
        <f t="shared" si="32"/>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t="str">
        <f t="shared" si="33"/>
        <v>H11610</v>
      </c>
      <c r="AU348" s="599" t="str">
        <f t="shared" si="34"/>
        <v>COMPTES VEHICULE A REC.</v>
      </c>
      <c r="AV348" s="1030">
        <f>IFERROR(INDEX(V348:AG348,1,MATCH(Parametres!$B$3,V$1:AG$1,0)-1)*IF(OR(C348="L",C348="S",C348="I"),-1,1),"")</f>
        <v>0</v>
      </c>
      <c r="AW348" s="1030">
        <f t="shared" si="35"/>
        <v>0</v>
      </c>
      <c r="AX348" s="1030">
        <f>INDEX(V348:AG348,1,MATCH(Parametres!$B$3,V$1:AG$1,0))*IF(OR(C348="L",C348="S",C348="I"),-1,1)</f>
        <v>0</v>
      </c>
      <c r="AY348" s="598" t="s">
        <v>337</v>
      </c>
      <c r="AZ348" s="598" t="e">
        <f>+VLOOKUP($AJ348,Data_Validation!$A:$E,5,0)</f>
        <v>#N/A</v>
      </c>
    </row>
    <row r="349" spans="1:52" ht="15" customHeight="1">
      <c r="A349" s="832" t="s">
        <v>1150</v>
      </c>
      <c r="B349" s="832">
        <v>2025</v>
      </c>
      <c r="C349" s="832" t="s">
        <v>1844</v>
      </c>
      <c r="D349" s="832" t="s">
        <v>1845</v>
      </c>
      <c r="E349" s="832" t="s">
        <v>1813</v>
      </c>
      <c r="F349" s="832" t="s">
        <v>1792</v>
      </c>
      <c r="G349" s="832">
        <v>1185722.3500000001</v>
      </c>
      <c r="H349" s="832">
        <v>470342.57</v>
      </c>
      <c r="I349" s="832">
        <v>135321.59</v>
      </c>
      <c r="J349" s="832">
        <v>330597.45</v>
      </c>
      <c r="K349" s="832">
        <v>283207.51</v>
      </c>
      <c r="L349" s="832">
        <v>235483.7</v>
      </c>
      <c r="M349" s="832">
        <v>233167.94</v>
      </c>
      <c r="N349" s="832">
        <v>185979.46</v>
      </c>
      <c r="O349" s="832">
        <v>121666.46</v>
      </c>
      <c r="P349" s="832">
        <v>176261.63</v>
      </c>
      <c r="Q349" s="832">
        <v>148590.18</v>
      </c>
      <c r="R349" s="832">
        <v>114891.25</v>
      </c>
      <c r="S349" s="832">
        <v>0</v>
      </c>
      <c r="T349" s="832">
        <v>0</v>
      </c>
      <c r="U349" s="832">
        <v>0</v>
      </c>
      <c r="V349" s="832">
        <v>0</v>
      </c>
      <c r="W349" s="832">
        <v>0</v>
      </c>
      <c r="X349" s="832">
        <v>0</v>
      </c>
      <c r="Y349" s="832">
        <v>0</v>
      </c>
      <c r="Z349" s="832">
        <v>0</v>
      </c>
      <c r="AA349" s="832">
        <v>0</v>
      </c>
      <c r="AB349" s="832">
        <v>0</v>
      </c>
      <c r="AC349" s="832">
        <v>0</v>
      </c>
      <c r="AD349" s="832">
        <v>0</v>
      </c>
      <c r="AE349" s="832">
        <v>0</v>
      </c>
      <c r="AF349" s="832">
        <v>0</v>
      </c>
      <c r="AG349" s="832">
        <v>0</v>
      </c>
      <c r="AH349" s="832">
        <v>0</v>
      </c>
      <c r="AI349" s="832">
        <v>0</v>
      </c>
      <c r="AJ349" s="1030" t="str">
        <f t="shared" si="30"/>
        <v>H11700</v>
      </c>
      <c r="AK349" s="1030" t="str">
        <f t="shared" si="31"/>
        <v>COMPTE A RECEVOIR  H.A.C.</v>
      </c>
      <c r="AL349" s="1030">
        <f>IFERROR(INDEX(G349:R349,1,MATCH(Parametres!$B$3,G$1:R$1,0)-1)*IF(OR(F349="L",F349="S",F349="I"),-1,1),"")</f>
        <v>330597.45</v>
      </c>
      <c r="AM349" s="1030">
        <f t="shared" si="32"/>
        <v>-47389.94</v>
      </c>
      <c r="AN349" s="1030">
        <f>INDEX(G349:R349,1,MATCH(Parametres!$B$3,G$1:R$1,0))*IF(OR(F349="L",F349="S",F349="I"),-1,1)</f>
        <v>283207.51</v>
      </c>
      <c r="AO349" s="598" t="str">
        <f>+VLOOKUP($AJ349,Data_Validation!$A:$D,1,0)</f>
        <v>H11700</v>
      </c>
      <c r="AP349" s="598" t="str">
        <f>+VLOOKUP($AJ349,Data_Validation!$A:$D,3,0)</f>
        <v>Bilan</v>
      </c>
      <c r="AQ349" s="598" t="str">
        <f>+VLOOKUP($AJ349,Data_Validation!$A:$D,4,0)</f>
        <v>Recevables Manufacturier</v>
      </c>
      <c r="AR349" s="598" t="s">
        <v>299</v>
      </c>
      <c r="AS349" s="598">
        <f>+VLOOKUP($AJ349,Data_Validation!$A:$E,5,0)</f>
        <v>0</v>
      </c>
      <c r="AT349" s="1036" t="str">
        <f t="shared" si="33"/>
        <v>H11700</v>
      </c>
      <c r="AU349" s="599" t="str">
        <f t="shared" si="34"/>
        <v>COMPTE A RECEVOIR  H.A.C.</v>
      </c>
      <c r="AV349" s="1030">
        <f>IFERROR(INDEX(V349:AG349,1,MATCH(Parametres!$B$3,V$1:AG$1,0)-1)*IF(OR(C349="L",C349="S",C349="I"),-1,1),"")</f>
        <v>0</v>
      </c>
      <c r="AW349" s="1030">
        <f t="shared" si="35"/>
        <v>0</v>
      </c>
      <c r="AX349" s="1030">
        <f>INDEX(V349:AG349,1,MATCH(Parametres!$B$3,V$1:AG$1,0))*IF(OR(C349="L",C349="S",C349="I"),-1,1)</f>
        <v>0</v>
      </c>
      <c r="AY349" s="598" t="s">
        <v>337</v>
      </c>
      <c r="AZ349" s="598">
        <f>+VLOOKUP($AJ349,Data_Validation!$A:$E,5,0)</f>
        <v>0</v>
      </c>
    </row>
    <row r="350" spans="1:52" ht="15" customHeight="1">
      <c r="A350" s="832" t="s">
        <v>1150</v>
      </c>
      <c r="B350" s="832">
        <v>2025</v>
      </c>
      <c r="C350" s="832" t="s">
        <v>1846</v>
      </c>
      <c r="D350" s="832" t="s">
        <v>1847</v>
      </c>
      <c r="E350" s="832" t="s">
        <v>1813</v>
      </c>
      <c r="F350" s="832" t="s">
        <v>1792</v>
      </c>
      <c r="G350" s="832">
        <v>0</v>
      </c>
      <c r="H350" s="832">
        <v>-24382</v>
      </c>
      <c r="I350" s="832">
        <v>-21877</v>
      </c>
      <c r="J350" s="832">
        <v>-31062</v>
      </c>
      <c r="K350" s="832">
        <v>-39245</v>
      </c>
      <c r="L350" s="832">
        <v>-30895</v>
      </c>
      <c r="M350" s="832">
        <v>-29392</v>
      </c>
      <c r="N350" s="832">
        <v>-19372</v>
      </c>
      <c r="O350" s="832">
        <v>-24883</v>
      </c>
      <c r="P350" s="832">
        <v>-22879</v>
      </c>
      <c r="Q350" s="832">
        <v>-20875</v>
      </c>
      <c r="R350" s="832">
        <v>-8684</v>
      </c>
      <c r="S350" s="832">
        <v>0</v>
      </c>
      <c r="T350" s="832">
        <v>0</v>
      </c>
      <c r="U350" s="832">
        <v>0</v>
      </c>
      <c r="V350" s="832">
        <v>0</v>
      </c>
      <c r="W350" s="832">
        <v>0</v>
      </c>
      <c r="X350" s="832">
        <v>0</v>
      </c>
      <c r="Y350" s="832">
        <v>0</v>
      </c>
      <c r="Z350" s="832">
        <v>0</v>
      </c>
      <c r="AA350" s="832">
        <v>0</v>
      </c>
      <c r="AB350" s="832">
        <v>0</v>
      </c>
      <c r="AC350" s="832">
        <v>0</v>
      </c>
      <c r="AD350" s="832">
        <v>0</v>
      </c>
      <c r="AE350" s="832">
        <v>0</v>
      </c>
      <c r="AF350" s="832">
        <v>0</v>
      </c>
      <c r="AG350" s="832">
        <v>0</v>
      </c>
      <c r="AH350" s="832">
        <v>0</v>
      </c>
      <c r="AI350" s="832">
        <v>0</v>
      </c>
      <c r="AJ350" s="1030" t="str">
        <f t="shared" si="30"/>
        <v>H11701</v>
      </c>
      <c r="AK350" s="1030" t="str">
        <f t="shared" si="31"/>
        <v>CONTRIBUTION DEALER H.A.C</v>
      </c>
      <c r="AL350" s="1030">
        <f>IFERROR(INDEX(G350:R350,1,MATCH(Parametres!$B$3,G$1:R$1,0)-1)*IF(OR(F350="L",F350="S",F350="I"),-1,1),"")</f>
        <v>-31062</v>
      </c>
      <c r="AM350" s="1030">
        <f t="shared" si="32"/>
        <v>-8183</v>
      </c>
      <c r="AN350" s="1030">
        <f>INDEX(G350:R350,1,MATCH(Parametres!$B$3,G$1:R$1,0))*IF(OR(F350="L",F350="S",F350="I"),-1,1)</f>
        <v>-39245</v>
      </c>
      <c r="AO350" s="598" t="str">
        <f>+VLOOKUP($AJ350,Data_Validation!$A:$D,1,0)</f>
        <v>H11701</v>
      </c>
      <c r="AP350" s="598" t="str">
        <f>+VLOOKUP($AJ350,Data_Validation!$A:$D,3,0)</f>
        <v>Bilan</v>
      </c>
      <c r="AQ350" s="598" t="str">
        <f>+VLOOKUP($AJ350,Data_Validation!$A:$D,4,0)</f>
        <v>Recevables Manufacturier</v>
      </c>
      <c r="AR350" s="598" t="s">
        <v>299</v>
      </c>
      <c r="AS350" s="598">
        <f>+VLOOKUP($AJ350,Data_Validation!$A:$E,5,0)</f>
        <v>0</v>
      </c>
      <c r="AT350" s="1036" t="str">
        <f t="shared" si="33"/>
        <v>H11701</v>
      </c>
      <c r="AU350" s="599" t="str">
        <f t="shared" si="34"/>
        <v>CONTRIBUTION DEALER H.A.C</v>
      </c>
      <c r="AV350" s="1030">
        <f>IFERROR(INDEX(V350:AG350,1,MATCH(Parametres!$B$3,V$1:AG$1,0)-1)*IF(OR(C350="L",C350="S",C350="I"),-1,1),"")</f>
        <v>0</v>
      </c>
      <c r="AW350" s="1030">
        <f t="shared" si="35"/>
        <v>0</v>
      </c>
      <c r="AX350" s="1030">
        <f>INDEX(V350:AG350,1,MATCH(Parametres!$B$3,V$1:AG$1,0))*IF(OR(C350="L",C350="S",C350="I"),-1,1)</f>
        <v>0</v>
      </c>
      <c r="AY350" s="598" t="s">
        <v>337</v>
      </c>
      <c r="AZ350" s="598">
        <f>+VLOOKUP($AJ350,Data_Validation!$A:$E,5,0)</f>
        <v>0</v>
      </c>
    </row>
    <row r="351" spans="1:52" ht="15" customHeight="1">
      <c r="A351" s="832" t="s">
        <v>1150</v>
      </c>
      <c r="B351" s="832">
        <v>2025</v>
      </c>
      <c r="C351" s="832" t="s">
        <v>1848</v>
      </c>
      <c r="D351" s="832" t="s">
        <v>1849</v>
      </c>
      <c r="E351" s="832" t="s">
        <v>1813</v>
      </c>
      <c r="F351" s="832" t="s">
        <v>1792</v>
      </c>
      <c r="G351" s="832">
        <v>0</v>
      </c>
      <c r="H351" s="832">
        <v>0</v>
      </c>
      <c r="I351" s="832">
        <v>-4395</v>
      </c>
      <c r="J351" s="832">
        <v>-4395</v>
      </c>
      <c r="K351" s="832">
        <v>-4395</v>
      </c>
      <c r="L351" s="832">
        <v>-9434</v>
      </c>
      <c r="M351" s="832">
        <v>-52961</v>
      </c>
      <c r="N351" s="832">
        <v>-63604</v>
      </c>
      <c r="O351" s="832">
        <v>-62990</v>
      </c>
      <c r="P351" s="832">
        <v>-76471</v>
      </c>
      <c r="Q351" s="832">
        <v>-80923</v>
      </c>
      <c r="R351" s="832">
        <v>-84422</v>
      </c>
      <c r="S351" s="832">
        <v>0</v>
      </c>
      <c r="T351" s="832">
        <v>0</v>
      </c>
      <c r="U351" s="832">
        <v>0</v>
      </c>
      <c r="V351" s="832">
        <v>0</v>
      </c>
      <c r="W351" s="832">
        <v>0</v>
      </c>
      <c r="X351" s="832">
        <v>0</v>
      </c>
      <c r="Y351" s="832">
        <v>0</v>
      </c>
      <c r="Z351" s="832">
        <v>0</v>
      </c>
      <c r="AA351" s="832">
        <v>0</v>
      </c>
      <c r="AB351" s="832">
        <v>0</v>
      </c>
      <c r="AC351" s="832">
        <v>0</v>
      </c>
      <c r="AD351" s="832">
        <v>0</v>
      </c>
      <c r="AE351" s="832">
        <v>0</v>
      </c>
      <c r="AF351" s="832">
        <v>0</v>
      </c>
      <c r="AG351" s="832">
        <v>0</v>
      </c>
      <c r="AH351" s="832">
        <v>0</v>
      </c>
      <c r="AI351" s="832">
        <v>0</v>
      </c>
      <c r="AJ351" s="1030" t="str">
        <f t="shared" si="30"/>
        <v>H11702</v>
      </c>
      <c r="AK351" s="1030" t="str">
        <f t="shared" si="31"/>
        <v>HOLDBACK A RECEVOIR</v>
      </c>
      <c r="AL351" s="1030">
        <f>IFERROR(INDEX(G351:R351,1,MATCH(Parametres!$B$3,G$1:R$1,0)-1)*IF(OR(F351="L",F351="S",F351="I"),-1,1),"")</f>
        <v>-4395</v>
      </c>
      <c r="AM351" s="1030">
        <f t="shared" si="32"/>
        <v>0</v>
      </c>
      <c r="AN351" s="1030">
        <f>INDEX(G351:R351,1,MATCH(Parametres!$B$3,G$1:R$1,0))*IF(OR(F351="L",F351="S",F351="I"),-1,1)</f>
        <v>-4395</v>
      </c>
      <c r="AO351" s="598" t="str">
        <f>+VLOOKUP($AJ351,Data_Validation!$A:$D,1,0)</f>
        <v>H11702</v>
      </c>
      <c r="AP351" s="598" t="str">
        <f>+VLOOKUP($AJ351,Data_Validation!$A:$D,3,0)</f>
        <v>Bilan</v>
      </c>
      <c r="AQ351" s="598" t="str">
        <f>+VLOOKUP($AJ351,Data_Validation!$A:$D,4,0)</f>
        <v>Recevables Manufacturier</v>
      </c>
      <c r="AR351" s="598" t="s">
        <v>299</v>
      </c>
      <c r="AS351" s="598">
        <f>+VLOOKUP($AJ351,Data_Validation!$A:$E,5,0)</f>
        <v>0</v>
      </c>
      <c r="AT351" s="1036" t="str">
        <f t="shared" si="33"/>
        <v>H11702</v>
      </c>
      <c r="AU351" s="599" t="str">
        <f t="shared" si="34"/>
        <v>HOLDBACK A RECEVOIR</v>
      </c>
      <c r="AV351" s="1030">
        <f>IFERROR(INDEX(V351:AG351,1,MATCH(Parametres!$B$3,V$1:AG$1,0)-1)*IF(OR(C351="L",C351="S",C351="I"),-1,1),"")</f>
        <v>0</v>
      </c>
      <c r="AW351" s="1030">
        <f t="shared" si="35"/>
        <v>0</v>
      </c>
      <c r="AX351" s="1030">
        <f>INDEX(V351:AG351,1,MATCH(Parametres!$B$3,V$1:AG$1,0))*IF(OR(C351="L",C351="S",C351="I"),-1,1)</f>
        <v>0</v>
      </c>
      <c r="AY351" s="598" t="s">
        <v>337</v>
      </c>
      <c r="AZ351" s="598">
        <f>+VLOOKUP($AJ351,Data_Validation!$A:$E,5,0)</f>
        <v>0</v>
      </c>
    </row>
    <row r="352" spans="1:52" ht="15.75" customHeight="1">
      <c r="A352" s="832" t="s">
        <v>1150</v>
      </c>
      <c r="B352" s="832">
        <v>2025</v>
      </c>
      <c r="C352" s="832" t="s">
        <v>1850</v>
      </c>
      <c r="D352" s="832" t="s">
        <v>1851</v>
      </c>
      <c r="E352" s="832" t="s">
        <v>1813</v>
      </c>
      <c r="F352" s="832" t="s">
        <v>1792</v>
      </c>
      <c r="G352" s="832">
        <v>1939.96</v>
      </c>
      <c r="H352" s="832">
        <v>212.67</v>
      </c>
      <c r="I352" s="832">
        <v>1771.94</v>
      </c>
      <c r="J352" s="832">
        <v>7355.99</v>
      </c>
      <c r="K352" s="832">
        <v>5007.18</v>
      </c>
      <c r="L352" s="832">
        <v>2445.36</v>
      </c>
      <c r="M352" s="832">
        <v>3804.15</v>
      </c>
      <c r="N352" s="832">
        <v>5997.34</v>
      </c>
      <c r="O352" s="832">
        <v>9850.83</v>
      </c>
      <c r="P352" s="832">
        <v>9378.6299999999992</v>
      </c>
      <c r="Q352" s="832">
        <v>10780.24</v>
      </c>
      <c r="R352" s="832">
        <v>-4962.22</v>
      </c>
      <c r="S352" s="832">
        <v>0</v>
      </c>
      <c r="T352" s="832">
        <v>0</v>
      </c>
      <c r="U352" s="832">
        <v>0</v>
      </c>
      <c r="V352" s="832">
        <v>0</v>
      </c>
      <c r="W352" s="832">
        <v>0</v>
      </c>
      <c r="X352" s="832">
        <v>0</v>
      </c>
      <c r="Y352" s="832">
        <v>0</v>
      </c>
      <c r="Z352" s="832">
        <v>0</v>
      </c>
      <c r="AA352" s="832">
        <v>0</v>
      </c>
      <c r="AB352" s="832">
        <v>0</v>
      </c>
      <c r="AC352" s="832">
        <v>0</v>
      </c>
      <c r="AD352" s="832">
        <v>0</v>
      </c>
      <c r="AE352" s="832">
        <v>0</v>
      </c>
      <c r="AF352" s="832">
        <v>0</v>
      </c>
      <c r="AG352" s="832">
        <v>0</v>
      </c>
      <c r="AH352" s="832">
        <v>0</v>
      </c>
      <c r="AI352" s="832">
        <v>0</v>
      </c>
      <c r="AJ352" s="1030" t="str">
        <f t="shared" si="30"/>
        <v>H11710</v>
      </c>
      <c r="AK352" s="1030" t="str">
        <f t="shared" si="31"/>
        <v>PDI A VENIR</v>
      </c>
      <c r="AL352" s="1030">
        <f>IFERROR(INDEX(G352:R352,1,MATCH(Parametres!$B$3,G$1:R$1,0)-1)*IF(OR(F352="L",F352="S",F352="I"),-1,1),"")</f>
        <v>7355.99</v>
      </c>
      <c r="AM352" s="1030">
        <f t="shared" si="32"/>
        <v>-2348.8099999999995</v>
      </c>
      <c r="AN352" s="1030">
        <f>INDEX(G352:R352,1,MATCH(Parametres!$B$3,G$1:R$1,0))*IF(OR(F352="L",F352="S",F352="I"),-1,1)</f>
        <v>5007.18</v>
      </c>
      <c r="AO352" s="598" t="str">
        <f>+VLOOKUP($AJ352,Data_Validation!$A:$D,1,0)</f>
        <v>H11710</v>
      </c>
      <c r="AP352" s="598" t="str">
        <f>+VLOOKUP($AJ352,Data_Validation!$A:$D,3,0)</f>
        <v>Bilan</v>
      </c>
      <c r="AQ352" s="598" t="str">
        <f>+VLOOKUP($AJ352,Data_Validation!$A:$D,4,0)</f>
        <v>Recevables Manufacturier</v>
      </c>
      <c r="AR352" s="598" t="s">
        <v>299</v>
      </c>
      <c r="AS352" s="598">
        <f>+VLOOKUP($AJ352,Data_Validation!$A:$E,5,0)</f>
        <v>0</v>
      </c>
      <c r="AT352" s="1036" t="str">
        <f t="shared" si="33"/>
        <v>H11710</v>
      </c>
      <c r="AU352" s="599" t="str">
        <f t="shared" si="34"/>
        <v>PDI A VENIR</v>
      </c>
      <c r="AV352" s="1030">
        <f>IFERROR(INDEX(V352:AG352,1,MATCH(Parametres!$B$3,V$1:AG$1,0)-1)*IF(OR(C352="L",C352="S",C352="I"),-1,1),"")</f>
        <v>0</v>
      </c>
      <c r="AW352" s="1030">
        <f t="shared" si="35"/>
        <v>0</v>
      </c>
      <c r="AX352" s="1030">
        <f>INDEX(V352:AG352,1,MATCH(Parametres!$B$3,V$1:AG$1,0))*IF(OR(C352="L",C352="S",C352="I"),-1,1)</f>
        <v>0</v>
      </c>
      <c r="AY352" s="598" t="s">
        <v>337</v>
      </c>
      <c r="AZ352" s="598">
        <f>+VLOOKUP($AJ352,Data_Validation!$A:$E,5,0)</f>
        <v>0</v>
      </c>
    </row>
    <row r="353" spans="1:52" ht="15" customHeight="1">
      <c r="A353" s="832" t="s">
        <v>1150</v>
      </c>
      <c r="B353" s="832">
        <v>2025</v>
      </c>
      <c r="C353" s="832" t="s">
        <v>1852</v>
      </c>
      <c r="D353" s="832" t="s">
        <v>1853</v>
      </c>
      <c r="E353" s="832" t="s">
        <v>1854</v>
      </c>
      <c r="F353" s="832" t="s">
        <v>1792</v>
      </c>
      <c r="G353" s="832">
        <v>0</v>
      </c>
      <c r="H353" s="832">
        <v>0</v>
      </c>
      <c r="I353" s="832">
        <v>0</v>
      </c>
      <c r="J353" s="832">
        <v>0</v>
      </c>
      <c r="K353" s="832">
        <v>0</v>
      </c>
      <c r="L353" s="832">
        <v>0</v>
      </c>
      <c r="M353" s="832">
        <v>0</v>
      </c>
      <c r="N353" s="832">
        <v>0</v>
      </c>
      <c r="O353" s="832">
        <v>0</v>
      </c>
      <c r="P353" s="832">
        <v>0</v>
      </c>
      <c r="Q353" s="832">
        <v>0</v>
      </c>
      <c r="R353" s="832">
        <v>0</v>
      </c>
      <c r="S353" s="832">
        <v>0</v>
      </c>
      <c r="T353" s="832">
        <v>0</v>
      </c>
      <c r="U353" s="832">
        <v>0</v>
      </c>
      <c r="V353" s="832">
        <v>0</v>
      </c>
      <c r="W353" s="832">
        <v>0</v>
      </c>
      <c r="X353" s="832">
        <v>0</v>
      </c>
      <c r="Y353" s="832">
        <v>0</v>
      </c>
      <c r="Z353" s="832">
        <v>0</v>
      </c>
      <c r="AA353" s="832">
        <v>0</v>
      </c>
      <c r="AB353" s="832">
        <v>0</v>
      </c>
      <c r="AC353" s="832">
        <v>0</v>
      </c>
      <c r="AD353" s="832">
        <v>0</v>
      </c>
      <c r="AE353" s="832">
        <v>0</v>
      </c>
      <c r="AF353" s="832">
        <v>0</v>
      </c>
      <c r="AG353" s="832">
        <v>0</v>
      </c>
      <c r="AH353" s="832">
        <v>0</v>
      </c>
      <c r="AI353" s="832">
        <v>0</v>
      </c>
      <c r="AJ353" s="1030" t="str">
        <f t="shared" si="30"/>
        <v>H11900</v>
      </c>
      <c r="AK353" s="1030" t="str">
        <f t="shared" si="31"/>
        <v>A/R INTER-SOCIETE</v>
      </c>
      <c r="AL353" s="1030">
        <f>IFERROR(INDEX(G353:R353,1,MATCH(Parametres!$B$3,G$1:R$1,0)-1)*IF(OR(F353="L",F353="S",F353="I"),-1,1),"")</f>
        <v>0</v>
      </c>
      <c r="AM353" s="1030">
        <f t="shared" si="32"/>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t="str">
        <f t="shared" si="33"/>
        <v>H11900</v>
      </c>
      <c r="AU353" s="599" t="str">
        <f t="shared" si="34"/>
        <v>A/R INTER-SOCIETE</v>
      </c>
      <c r="AV353" s="1030">
        <f>IFERROR(INDEX(V353:AG353,1,MATCH(Parametres!$B$3,V$1:AG$1,0)-1)*IF(OR(C353="L",C353="S",C353="I"),-1,1),"")</f>
        <v>0</v>
      </c>
      <c r="AW353" s="1030">
        <f t="shared" si="35"/>
        <v>0</v>
      </c>
      <c r="AX353" s="1030">
        <f>INDEX(V353:AG353,1,MATCH(Parametres!$B$3,V$1:AG$1,0))*IF(OR(C353="L",C353="S",C353="I"),-1,1)</f>
        <v>0</v>
      </c>
      <c r="AY353" s="598" t="s">
        <v>337</v>
      </c>
      <c r="AZ353" s="598" t="e">
        <f>+VLOOKUP($AJ353,Data_Validation!$A:$E,5,0)</f>
        <v>#N/A</v>
      </c>
    </row>
    <row r="354" spans="1:52" ht="15" customHeight="1">
      <c r="A354" s="832" t="s">
        <v>1150</v>
      </c>
      <c r="B354" s="832">
        <v>2025</v>
      </c>
      <c r="C354" s="832" t="s">
        <v>1855</v>
      </c>
      <c r="D354" s="832" t="s">
        <v>1856</v>
      </c>
      <c r="E354" s="832" t="s">
        <v>1854</v>
      </c>
      <c r="F354" s="832" t="s">
        <v>1792</v>
      </c>
      <c r="G354" s="832">
        <v>-3945596.4</v>
      </c>
      <c r="H354" s="832">
        <v>-3880237.4</v>
      </c>
      <c r="I354" s="832">
        <v>-3814645.7599999998</v>
      </c>
      <c r="J354" s="832">
        <v>-3494333.62</v>
      </c>
      <c r="K354" s="832">
        <v>-3427384.56</v>
      </c>
      <c r="L354" s="832">
        <v>-3361593.2</v>
      </c>
      <c r="M354" s="832">
        <v>-3296785.11</v>
      </c>
      <c r="N354" s="832">
        <v>-3511004.68</v>
      </c>
      <c r="O354" s="832">
        <v>-3700344.38</v>
      </c>
      <c r="P354" s="832">
        <v>-3633610.2</v>
      </c>
      <c r="Q354" s="832">
        <v>-3570253.16</v>
      </c>
      <c r="R354" s="832">
        <v>-3504910.21</v>
      </c>
      <c r="S354" s="832">
        <v>0</v>
      </c>
      <c r="T354" s="832">
        <v>0</v>
      </c>
      <c r="U354" s="832">
        <v>0</v>
      </c>
      <c r="V354" s="832">
        <v>0</v>
      </c>
      <c r="W354" s="832">
        <v>0</v>
      </c>
      <c r="X354" s="832">
        <v>0</v>
      </c>
      <c r="Y354" s="832">
        <v>0</v>
      </c>
      <c r="Z354" s="832">
        <v>0</v>
      </c>
      <c r="AA354" s="832">
        <v>0</v>
      </c>
      <c r="AB354" s="832">
        <v>0</v>
      </c>
      <c r="AC354" s="832">
        <v>0</v>
      </c>
      <c r="AD354" s="832">
        <v>0</v>
      </c>
      <c r="AE354" s="832">
        <v>0</v>
      </c>
      <c r="AF354" s="832">
        <v>0</v>
      </c>
      <c r="AG354" s="832">
        <v>0</v>
      </c>
      <c r="AH354" s="832">
        <v>0</v>
      </c>
      <c r="AI354" s="832">
        <v>0</v>
      </c>
      <c r="AJ354" s="1030" t="str">
        <f t="shared" si="30"/>
        <v>H11901</v>
      </c>
      <c r="AK354" s="1030" t="str">
        <f t="shared" si="31"/>
        <v>FIDUCIE MAXIME ALLARD</v>
      </c>
      <c r="AL354" s="1030">
        <f>IFERROR(INDEX(G354:R354,1,MATCH(Parametres!$B$3,G$1:R$1,0)-1)*IF(OR(F354="L",F354="S",F354="I"),-1,1),"")</f>
        <v>-3494333.62</v>
      </c>
      <c r="AM354" s="1030">
        <f t="shared" si="32"/>
        <v>66949.060000000056</v>
      </c>
      <c r="AN354" s="1030">
        <f>INDEX(G354:R354,1,MATCH(Parametres!$B$3,G$1:R$1,0))*IF(OR(F354="L",F354="S",F354="I"),-1,1)</f>
        <v>-3427384.56</v>
      </c>
      <c r="AO354" s="598" t="str">
        <f>+VLOOKUP($AJ354,Data_Validation!$A:$D,1,0)</f>
        <v>H11901</v>
      </c>
      <c r="AP354" s="598" t="str">
        <f>+VLOOKUP($AJ354,Data_Validation!$A:$D,3,0)</f>
        <v>Bilan</v>
      </c>
      <c r="AQ354" s="598" t="str">
        <f>+VLOOKUP($AJ354,Data_Validation!$A:$D,4,0)</f>
        <v>Dette à Long Terme</v>
      </c>
      <c r="AR354" s="598" t="s">
        <v>299</v>
      </c>
      <c r="AS354" s="598">
        <f>+VLOOKUP($AJ354,Data_Validation!$A:$E,5,0)</f>
        <v>0</v>
      </c>
      <c r="AT354" s="1036" t="str">
        <f t="shared" si="33"/>
        <v>H11901</v>
      </c>
      <c r="AU354" s="599" t="str">
        <f t="shared" si="34"/>
        <v>FIDUCIE MAXIME ALLARD</v>
      </c>
      <c r="AV354" s="1030">
        <f>IFERROR(INDEX(V354:AG354,1,MATCH(Parametres!$B$3,V$1:AG$1,0)-1)*IF(OR(C354="L",C354="S",C354="I"),-1,1),"")</f>
        <v>0</v>
      </c>
      <c r="AW354" s="1030">
        <f t="shared" si="35"/>
        <v>0</v>
      </c>
      <c r="AX354" s="1030">
        <f>INDEX(V354:AG354,1,MATCH(Parametres!$B$3,V$1:AG$1,0))*IF(OR(C354="L",C354="S",C354="I"),-1,1)</f>
        <v>0</v>
      </c>
      <c r="AY354" s="598" t="s">
        <v>337</v>
      </c>
      <c r="AZ354" s="598">
        <f>+VLOOKUP($AJ354,Data_Validation!$A:$E,5,0)</f>
        <v>0</v>
      </c>
    </row>
    <row r="355" spans="1:52" ht="15" customHeight="1">
      <c r="A355" s="832" t="s">
        <v>1150</v>
      </c>
      <c r="B355" s="832">
        <v>2025</v>
      </c>
      <c r="C355" s="832" t="s">
        <v>1857</v>
      </c>
      <c r="D355" s="832" t="s">
        <v>1858</v>
      </c>
      <c r="E355" s="832" t="s">
        <v>1854</v>
      </c>
      <c r="F355" s="832" t="s">
        <v>1792</v>
      </c>
      <c r="G355" s="832">
        <v>0</v>
      </c>
      <c r="H355" s="832">
        <v>0</v>
      </c>
      <c r="I355" s="832">
        <v>0</v>
      </c>
      <c r="J355" s="832">
        <v>0</v>
      </c>
      <c r="K355" s="832">
        <v>0</v>
      </c>
      <c r="L355" s="832">
        <v>0</v>
      </c>
      <c r="M355" s="832">
        <v>0</v>
      </c>
      <c r="N355" s="832">
        <v>0</v>
      </c>
      <c r="O355" s="832">
        <v>0</v>
      </c>
      <c r="P355" s="832">
        <v>0</v>
      </c>
      <c r="Q355" s="832">
        <v>0</v>
      </c>
      <c r="R355" s="832">
        <v>142595.93</v>
      </c>
      <c r="S355" s="832">
        <v>0</v>
      </c>
      <c r="T355" s="832">
        <v>0</v>
      </c>
      <c r="U355" s="832">
        <v>0</v>
      </c>
      <c r="V355" s="832">
        <v>0</v>
      </c>
      <c r="W355" s="832">
        <v>0</v>
      </c>
      <c r="X355" s="832">
        <v>0</v>
      </c>
      <c r="Y355" s="832">
        <v>0</v>
      </c>
      <c r="Z355" s="832">
        <v>0</v>
      </c>
      <c r="AA355" s="832">
        <v>0</v>
      </c>
      <c r="AB355" s="832">
        <v>0</v>
      </c>
      <c r="AC355" s="832">
        <v>0</v>
      </c>
      <c r="AD355" s="832">
        <v>0</v>
      </c>
      <c r="AE355" s="832">
        <v>0</v>
      </c>
      <c r="AF355" s="832">
        <v>0</v>
      </c>
      <c r="AG355" s="832">
        <v>0</v>
      </c>
      <c r="AH355" s="832">
        <v>0</v>
      </c>
      <c r="AI355" s="832">
        <v>0</v>
      </c>
      <c r="AJ355" s="1030" t="str">
        <f t="shared" si="30"/>
        <v>H11902</v>
      </c>
      <c r="AK355" s="1030" t="str">
        <f t="shared" si="31"/>
        <v>FIDUCIE ROZON</v>
      </c>
      <c r="AL355" s="1030">
        <f>IFERROR(INDEX(G355:R355,1,MATCH(Parametres!$B$3,G$1:R$1,0)-1)*IF(OR(F355="L",F355="S",F355="I"),-1,1),"")</f>
        <v>0</v>
      </c>
      <c r="AM355" s="1030">
        <f t="shared" si="32"/>
        <v>0</v>
      </c>
      <c r="AN355" s="1030">
        <f>INDEX(G355:R355,1,MATCH(Parametres!$B$3,G$1:R$1,0))*IF(OR(F355="L",F355="S",F355="I"),-1,1)</f>
        <v>0</v>
      </c>
      <c r="AO355" s="598" t="str">
        <f>+VLOOKUP($AJ355,Data_Validation!$A:$D,1,0)</f>
        <v>H11902</v>
      </c>
      <c r="AP355" s="598" t="str">
        <f>+VLOOKUP($AJ355,Data_Validation!$A:$D,3,0)</f>
        <v>Bilan</v>
      </c>
      <c r="AQ355" s="598" t="str">
        <f>+VLOOKUP($AJ355,Data_Validation!$A:$D,4,0)</f>
        <v>Recevables Intercos</v>
      </c>
      <c r="AR355" s="598" t="s">
        <v>299</v>
      </c>
      <c r="AS355" s="598">
        <f>+VLOOKUP($AJ355,Data_Validation!$A:$E,5,0)</f>
        <v>0</v>
      </c>
      <c r="AT355" s="1036" t="str">
        <f t="shared" si="33"/>
        <v>H11902</v>
      </c>
      <c r="AU355" s="599" t="str">
        <f t="shared" si="34"/>
        <v>FIDUCIE ROZON</v>
      </c>
      <c r="AV355" s="1030">
        <f>IFERROR(INDEX(V355:AG355,1,MATCH(Parametres!$B$3,V$1:AG$1,0)-1)*IF(OR(C355="L",C355="S",C355="I"),-1,1),"")</f>
        <v>0</v>
      </c>
      <c r="AW355" s="1030">
        <f t="shared" si="35"/>
        <v>0</v>
      </c>
      <c r="AX355" s="1030">
        <f>INDEX(V355:AG355,1,MATCH(Parametres!$B$3,V$1:AG$1,0))*IF(OR(C355="L",C355="S",C355="I"),-1,1)</f>
        <v>0</v>
      </c>
      <c r="AY355" s="598" t="s">
        <v>337</v>
      </c>
      <c r="AZ355" s="598">
        <f>+VLOOKUP($AJ355,Data_Validation!$A:$E,5,0)</f>
        <v>0</v>
      </c>
    </row>
    <row r="356" spans="1:52" ht="15" customHeight="1">
      <c r="A356" s="832" t="s">
        <v>1150</v>
      </c>
      <c r="B356" s="832">
        <v>2025</v>
      </c>
      <c r="C356" s="832" t="s">
        <v>1859</v>
      </c>
      <c r="D356" s="832" t="s">
        <v>1860</v>
      </c>
      <c r="E356" s="832" t="s">
        <v>1854</v>
      </c>
      <c r="F356" s="832" t="s">
        <v>1792</v>
      </c>
      <c r="G356" s="832">
        <v>-401894.5</v>
      </c>
      <c r="H356" s="832">
        <v>-401894.5</v>
      </c>
      <c r="I356" s="832">
        <v>-401894.5</v>
      </c>
      <c r="J356" s="832">
        <v>-401894.5</v>
      </c>
      <c r="K356" s="832">
        <v>-401894.5</v>
      </c>
      <c r="L356" s="832">
        <v>-401894.5</v>
      </c>
      <c r="M356" s="832">
        <v>-401894.5</v>
      </c>
      <c r="N356" s="832">
        <v>-242595.93</v>
      </c>
      <c r="O356" s="832">
        <v>-242595.93</v>
      </c>
      <c r="P356" s="832">
        <v>-242595.93</v>
      </c>
      <c r="Q356" s="832">
        <v>-242595.93</v>
      </c>
      <c r="R356" s="832">
        <v>-242595.93</v>
      </c>
      <c r="S356" s="832">
        <v>0</v>
      </c>
      <c r="T356" s="832">
        <v>0</v>
      </c>
      <c r="U356" s="832">
        <v>0</v>
      </c>
      <c r="V356" s="832">
        <v>0</v>
      </c>
      <c r="W356" s="832">
        <v>0</v>
      </c>
      <c r="X356" s="832">
        <v>0</v>
      </c>
      <c r="Y356" s="832">
        <v>0</v>
      </c>
      <c r="Z356" s="832">
        <v>0</v>
      </c>
      <c r="AA356" s="832">
        <v>0</v>
      </c>
      <c r="AB356" s="832">
        <v>0</v>
      </c>
      <c r="AC356" s="832">
        <v>0</v>
      </c>
      <c r="AD356" s="832">
        <v>0</v>
      </c>
      <c r="AE356" s="832">
        <v>0</v>
      </c>
      <c r="AF356" s="832">
        <v>0</v>
      </c>
      <c r="AG356" s="832">
        <v>0</v>
      </c>
      <c r="AH356" s="832">
        <v>0</v>
      </c>
      <c r="AI356" s="832">
        <v>0</v>
      </c>
      <c r="AJ356" s="1030" t="str">
        <f t="shared" si="30"/>
        <v>H11903</v>
      </c>
      <c r="AK356" s="1030" t="str">
        <f t="shared" si="31"/>
        <v>INTERCO-9510-1309 QC INC</v>
      </c>
      <c r="AL356" s="1030">
        <f>IFERROR(INDEX(G356:R356,1,MATCH(Parametres!$B$3,G$1:R$1,0)-1)*IF(OR(F356="L",F356="S",F356="I"),-1,1),"")</f>
        <v>-401894.5</v>
      </c>
      <c r="AM356" s="1030">
        <f t="shared" si="32"/>
        <v>0</v>
      </c>
      <c r="AN356" s="1030">
        <f>INDEX(G356:R356,1,MATCH(Parametres!$B$3,G$1:R$1,0))*IF(OR(F356="L",F356="S",F356="I"),-1,1)</f>
        <v>-401894.5</v>
      </c>
      <c r="AO356" s="598" t="str">
        <f>+VLOOKUP($AJ356,Data_Validation!$A:$D,1,0)</f>
        <v>H11903</v>
      </c>
      <c r="AP356" s="598" t="str">
        <f>+VLOOKUP($AJ356,Data_Validation!$A:$D,3,0)</f>
        <v>Bilan</v>
      </c>
      <c r="AQ356" s="598" t="str">
        <f>+VLOOKUP($AJ356,Data_Validation!$A:$D,4,0)</f>
        <v>Recevables Intercos</v>
      </c>
      <c r="AR356" s="598" t="s">
        <v>299</v>
      </c>
      <c r="AS356" s="598">
        <f>+VLOOKUP($AJ356,Data_Validation!$A:$E,5,0)</f>
        <v>0</v>
      </c>
      <c r="AT356" s="1036" t="str">
        <f t="shared" si="33"/>
        <v>H11903</v>
      </c>
      <c r="AU356" s="599" t="str">
        <f t="shared" si="34"/>
        <v>INTERCO-9510-1309 QC INC</v>
      </c>
      <c r="AV356" s="1030">
        <f>IFERROR(INDEX(V356:AG356,1,MATCH(Parametres!$B$3,V$1:AG$1,0)-1)*IF(OR(C356="L",C356="S",C356="I"),-1,1),"")</f>
        <v>0</v>
      </c>
      <c r="AW356" s="1030">
        <f t="shared" si="35"/>
        <v>0</v>
      </c>
      <c r="AX356" s="1030">
        <f>INDEX(V356:AG356,1,MATCH(Parametres!$B$3,V$1:AG$1,0))*IF(OR(C356="L",C356="S",C356="I"),-1,1)</f>
        <v>0</v>
      </c>
      <c r="AY356" s="598" t="s">
        <v>337</v>
      </c>
      <c r="AZ356" s="598">
        <f>+VLOOKUP($AJ356,Data_Validation!$A:$E,5,0)</f>
        <v>0</v>
      </c>
    </row>
    <row r="357" spans="1:52" ht="15" customHeight="1">
      <c r="A357" s="832" t="s">
        <v>1150</v>
      </c>
      <c r="B357" s="832">
        <v>2025</v>
      </c>
      <c r="C357" s="832" t="s">
        <v>1861</v>
      </c>
      <c r="D357" s="832" t="s">
        <v>1862</v>
      </c>
      <c r="E357" s="832" t="s">
        <v>1854</v>
      </c>
      <c r="F357" s="832" t="s">
        <v>1792</v>
      </c>
      <c r="G357" s="832">
        <v>200000</v>
      </c>
      <c r="H357" s="832">
        <v>200000</v>
      </c>
      <c r="I357" s="832">
        <v>200000</v>
      </c>
      <c r="J357" s="832">
        <v>200000</v>
      </c>
      <c r="K357" s="832">
        <v>200000</v>
      </c>
      <c r="L357" s="832">
        <v>250000</v>
      </c>
      <c r="M357" s="832">
        <v>250000</v>
      </c>
      <c r="N357" s="832">
        <v>250000</v>
      </c>
      <c r="O357" s="832">
        <v>-150000</v>
      </c>
      <c r="P357" s="832">
        <v>-150000</v>
      </c>
      <c r="Q357" s="832">
        <v>-3650000</v>
      </c>
      <c r="R357" s="832">
        <v>-3640000</v>
      </c>
      <c r="S357" s="832">
        <v>0</v>
      </c>
      <c r="T357" s="832">
        <v>0</v>
      </c>
      <c r="U357" s="832">
        <v>0</v>
      </c>
      <c r="V357" s="832">
        <v>0</v>
      </c>
      <c r="W357" s="832">
        <v>0</v>
      </c>
      <c r="X357" s="832">
        <v>0</v>
      </c>
      <c r="Y357" s="832">
        <v>0</v>
      </c>
      <c r="Z357" s="832">
        <v>0</v>
      </c>
      <c r="AA357" s="832">
        <v>0</v>
      </c>
      <c r="AB357" s="832">
        <v>0</v>
      </c>
      <c r="AC357" s="832">
        <v>0</v>
      </c>
      <c r="AD357" s="832">
        <v>0</v>
      </c>
      <c r="AE357" s="832">
        <v>0</v>
      </c>
      <c r="AF357" s="832">
        <v>0</v>
      </c>
      <c r="AG357" s="832">
        <v>0</v>
      </c>
      <c r="AH357" s="832">
        <v>0</v>
      </c>
      <c r="AI357" s="832">
        <v>0</v>
      </c>
      <c r="AJ357" s="1030" t="str">
        <f t="shared" si="30"/>
        <v>H11904</v>
      </c>
      <c r="AK357" s="1030" t="str">
        <f t="shared" si="31"/>
        <v>INTERCO-9509-9016 QC INC</v>
      </c>
      <c r="AL357" s="1030">
        <f>IFERROR(INDEX(G357:R357,1,MATCH(Parametres!$B$3,G$1:R$1,0)-1)*IF(OR(F357="L",F357="S",F357="I"),-1,1),"")</f>
        <v>200000</v>
      </c>
      <c r="AM357" s="1030">
        <f t="shared" si="32"/>
        <v>0</v>
      </c>
      <c r="AN357" s="1030">
        <f>INDEX(G357:R357,1,MATCH(Parametres!$B$3,G$1:R$1,0))*IF(OR(F357="L",F357="S",F357="I"),-1,1)</f>
        <v>200000</v>
      </c>
      <c r="AO357" s="598" t="str">
        <f>+VLOOKUP($AJ357,Data_Validation!$A:$D,1,0)</f>
        <v>H11904</v>
      </c>
      <c r="AP357" s="598" t="str">
        <f>+VLOOKUP($AJ357,Data_Validation!$A:$D,3,0)</f>
        <v>Bilan</v>
      </c>
      <c r="AQ357" s="598" t="str">
        <f>+VLOOKUP($AJ357,Data_Validation!$A:$D,4,0)</f>
        <v>Recevables Intercos</v>
      </c>
      <c r="AR357" s="598" t="s">
        <v>299</v>
      </c>
      <c r="AS357" s="598">
        <f>+VLOOKUP($AJ357,Data_Validation!$A:$E,5,0)</f>
        <v>0</v>
      </c>
      <c r="AT357" s="1036" t="str">
        <f t="shared" si="33"/>
        <v>H11904</v>
      </c>
      <c r="AU357" s="599" t="str">
        <f t="shared" si="34"/>
        <v>INTERCO-9509-9016 QC INC</v>
      </c>
      <c r="AV357" s="1030">
        <f>IFERROR(INDEX(V357:AG357,1,MATCH(Parametres!$B$3,V$1:AG$1,0)-1)*IF(OR(C357="L",C357="S",C357="I"),-1,1),"")</f>
        <v>0</v>
      </c>
      <c r="AW357" s="1030">
        <f t="shared" si="35"/>
        <v>0</v>
      </c>
      <c r="AX357" s="1030">
        <f>INDEX(V357:AG357,1,MATCH(Parametres!$B$3,V$1:AG$1,0))*IF(OR(C357="L",C357="S",C357="I"),-1,1)</f>
        <v>0</v>
      </c>
      <c r="AY357" s="598" t="s">
        <v>337</v>
      </c>
      <c r="AZ357" s="598">
        <f>+VLOOKUP($AJ357,Data_Validation!$A:$E,5,0)</f>
        <v>0</v>
      </c>
    </row>
    <row r="358" spans="1:52" ht="15.75" customHeight="1">
      <c r="A358" s="832" t="s">
        <v>1150</v>
      </c>
      <c r="B358" s="832">
        <v>2025</v>
      </c>
      <c r="C358" s="832" t="s">
        <v>1863</v>
      </c>
      <c r="D358" s="832" t="s">
        <v>1864</v>
      </c>
      <c r="E358" s="832" t="s">
        <v>1842</v>
      </c>
      <c r="F358" s="832" t="s">
        <v>1792</v>
      </c>
      <c r="G358" s="832">
        <v>401894.5</v>
      </c>
      <c r="H358" s="832">
        <v>401894.5</v>
      </c>
      <c r="I358" s="832">
        <v>401894.5</v>
      </c>
      <c r="J358" s="832">
        <v>401894.5</v>
      </c>
      <c r="K358" s="832">
        <v>401894.5</v>
      </c>
      <c r="L358" s="832">
        <v>401894.5</v>
      </c>
      <c r="M358" s="832">
        <v>401894.5</v>
      </c>
      <c r="N358" s="832">
        <v>3500000</v>
      </c>
      <c r="O358" s="832">
        <v>3500000</v>
      </c>
      <c r="P358" s="832">
        <v>3500000</v>
      </c>
      <c r="Q358" s="832">
        <v>3504599</v>
      </c>
      <c r="R358" s="832">
        <v>3525283.7</v>
      </c>
      <c r="S358" s="832">
        <v>0</v>
      </c>
      <c r="T358" s="832">
        <v>0</v>
      </c>
      <c r="U358" s="832">
        <v>0</v>
      </c>
      <c r="V358" s="832">
        <v>0</v>
      </c>
      <c r="W358" s="832">
        <v>0</v>
      </c>
      <c r="X358" s="832">
        <v>0</v>
      </c>
      <c r="Y358" s="832">
        <v>0</v>
      </c>
      <c r="Z358" s="832">
        <v>0</v>
      </c>
      <c r="AA358" s="832">
        <v>0</v>
      </c>
      <c r="AB358" s="832">
        <v>0</v>
      </c>
      <c r="AC358" s="832">
        <v>0</v>
      </c>
      <c r="AD358" s="832">
        <v>0</v>
      </c>
      <c r="AE358" s="832">
        <v>0</v>
      </c>
      <c r="AF358" s="832">
        <v>0</v>
      </c>
      <c r="AG358" s="832">
        <v>0</v>
      </c>
      <c r="AH358" s="832">
        <v>0</v>
      </c>
      <c r="AI358" s="832">
        <v>0</v>
      </c>
      <c r="AJ358" s="1030" t="str">
        <f t="shared" si="30"/>
        <v>H11905</v>
      </c>
      <c r="AK358" s="1030" t="str">
        <f t="shared" si="31"/>
        <v>INTERCO-HÉRELLE</v>
      </c>
      <c r="AL358" s="1030">
        <f>IFERROR(INDEX(G358:R358,1,MATCH(Parametres!$B$3,G$1:R$1,0)-1)*IF(OR(F358="L",F358="S",F358="I"),-1,1),"")</f>
        <v>401894.5</v>
      </c>
      <c r="AM358" s="1030">
        <f t="shared" si="32"/>
        <v>0</v>
      </c>
      <c r="AN358" s="1030">
        <f>INDEX(G358:R358,1,MATCH(Parametres!$B$3,G$1:R$1,0))*IF(OR(F358="L",F358="S",F358="I"),-1,1)</f>
        <v>401894.5</v>
      </c>
      <c r="AO358" s="598" t="str">
        <f>+VLOOKUP($AJ358,Data_Validation!$A:$D,1,0)</f>
        <v>H11905</v>
      </c>
      <c r="AP358" s="598" t="str">
        <f>+VLOOKUP($AJ358,Data_Validation!$A:$D,3,0)</f>
        <v>Bilan</v>
      </c>
      <c r="AQ358" s="598" t="str">
        <f>+VLOOKUP($AJ358,Data_Validation!$A:$D,4,0)</f>
        <v>Recevables Intercos</v>
      </c>
      <c r="AR358" s="598" t="s">
        <v>299</v>
      </c>
      <c r="AS358" s="598">
        <f>+VLOOKUP($AJ358,Data_Validation!$A:$E,5,0)</f>
        <v>0</v>
      </c>
      <c r="AT358" s="1036" t="str">
        <f t="shared" si="33"/>
        <v>H11905</v>
      </c>
      <c r="AU358" s="599" t="str">
        <f t="shared" si="34"/>
        <v>INTERCO-HÉRELLE</v>
      </c>
      <c r="AV358" s="1030">
        <f>IFERROR(INDEX(V358:AG358,1,MATCH(Parametres!$B$3,V$1:AG$1,0)-1)*IF(OR(C358="L",C358="S",C358="I"),-1,1),"")</f>
        <v>0</v>
      </c>
      <c r="AW358" s="1030">
        <f t="shared" si="35"/>
        <v>0</v>
      </c>
      <c r="AX358" s="1030">
        <f>INDEX(V358:AG358,1,MATCH(Parametres!$B$3,V$1:AG$1,0))*IF(OR(C358="L",C358="S",C358="I"),-1,1)</f>
        <v>0</v>
      </c>
      <c r="AY358" s="598" t="s">
        <v>337</v>
      </c>
      <c r="AZ358" s="598">
        <f>+VLOOKUP($AJ358,Data_Validation!$A:$E,5,0)</f>
        <v>0</v>
      </c>
    </row>
    <row r="359" spans="1:52" ht="15" customHeight="1">
      <c r="A359" s="832" t="s">
        <v>1150</v>
      </c>
      <c r="B359" s="832">
        <v>2025</v>
      </c>
      <c r="C359" s="832" t="s">
        <v>1865</v>
      </c>
      <c r="D359" s="832" t="s">
        <v>1866</v>
      </c>
      <c r="E359" s="832" t="s">
        <v>333</v>
      </c>
      <c r="F359" s="832" t="s">
        <v>1792</v>
      </c>
      <c r="G359" s="832">
        <v>0</v>
      </c>
      <c r="H359" s="832">
        <v>0</v>
      </c>
      <c r="I359" s="832">
        <v>1100000</v>
      </c>
      <c r="J359" s="832">
        <v>1700000</v>
      </c>
      <c r="K359" s="832">
        <v>1700000</v>
      </c>
      <c r="L359" s="832">
        <v>1700000</v>
      </c>
      <c r="M359" s="832">
        <v>1700000</v>
      </c>
      <c r="N359" s="832">
        <v>-4185742.06</v>
      </c>
      <c r="O359" s="832">
        <v>-4185742.06</v>
      </c>
      <c r="P359" s="832">
        <v>-5385742.0599999996</v>
      </c>
      <c r="Q359" s="832">
        <v>-5785742.0599999996</v>
      </c>
      <c r="R359" s="832">
        <v>-5785742.0599999996</v>
      </c>
      <c r="S359" s="832">
        <v>0</v>
      </c>
      <c r="T359" s="832">
        <v>0</v>
      </c>
      <c r="U359" s="832">
        <v>0</v>
      </c>
      <c r="V359" s="832">
        <v>0</v>
      </c>
      <c r="W359" s="832">
        <v>0</v>
      </c>
      <c r="X359" s="832">
        <v>0</v>
      </c>
      <c r="Y359" s="832">
        <v>0</v>
      </c>
      <c r="Z359" s="832">
        <v>0</v>
      </c>
      <c r="AA359" s="832">
        <v>0</v>
      </c>
      <c r="AB359" s="832">
        <v>0</v>
      </c>
      <c r="AC359" s="832">
        <v>0</v>
      </c>
      <c r="AD359" s="832">
        <v>0</v>
      </c>
      <c r="AE359" s="832">
        <v>0</v>
      </c>
      <c r="AF359" s="832">
        <v>0</v>
      </c>
      <c r="AG359" s="832">
        <v>0</v>
      </c>
      <c r="AH359" s="832">
        <v>0</v>
      </c>
      <c r="AI359" s="832">
        <v>0</v>
      </c>
      <c r="AJ359" s="1030" t="str">
        <f t="shared" si="30"/>
        <v>H11906</v>
      </c>
      <c r="AK359" s="1030" t="str">
        <f t="shared" si="31"/>
        <v>INTERCO-STE-MARIE AUTOMOB</v>
      </c>
      <c r="AL359" s="1030">
        <f>IFERROR(INDEX(G359:R359,1,MATCH(Parametres!$B$3,G$1:R$1,0)-1)*IF(OR(F359="L",F359="S",F359="I"),-1,1),"")</f>
        <v>1700000</v>
      </c>
      <c r="AM359" s="1030">
        <f t="shared" si="32"/>
        <v>0</v>
      </c>
      <c r="AN359" s="1030">
        <f>INDEX(G359:R359,1,MATCH(Parametres!$B$3,G$1:R$1,0))*IF(OR(F359="L",F359="S",F359="I"),-1,1)</f>
        <v>1700000</v>
      </c>
      <c r="AO359" s="598" t="str">
        <f>+VLOOKUP($AJ359,Data_Validation!$A:$D,1,0)</f>
        <v>H11906</v>
      </c>
      <c r="AP359" s="598" t="str">
        <f>+VLOOKUP($AJ359,Data_Validation!$A:$D,3,0)</f>
        <v>Bilan</v>
      </c>
      <c r="AQ359" s="598" t="str">
        <f>+VLOOKUP($AJ359,Data_Validation!$A:$D,4,0)</f>
        <v>Recevables Intercos</v>
      </c>
      <c r="AR359" s="598" t="s">
        <v>299</v>
      </c>
      <c r="AS359" s="598">
        <f>+VLOOKUP($AJ359,Data_Validation!$A:$E,5,0)</f>
        <v>0</v>
      </c>
      <c r="AT359" s="1036" t="str">
        <f t="shared" si="33"/>
        <v>H11906</v>
      </c>
      <c r="AU359" s="599" t="str">
        <f t="shared" si="34"/>
        <v>INTERCO-STE-MARIE AUTOMOB</v>
      </c>
      <c r="AV359" s="1030">
        <f>IFERROR(INDEX(V359:AG359,1,MATCH(Parametres!$B$3,V$1:AG$1,0)-1)*IF(OR(C359="L",C359="S",C359="I"),-1,1),"")</f>
        <v>0</v>
      </c>
      <c r="AW359" s="1030">
        <f t="shared" si="35"/>
        <v>0</v>
      </c>
      <c r="AX359" s="1030">
        <f>INDEX(V359:AG359,1,MATCH(Parametres!$B$3,V$1:AG$1,0))*IF(OR(C359="L",C359="S",C359="I"),-1,1)</f>
        <v>0</v>
      </c>
      <c r="AY359" s="598" t="s">
        <v>337</v>
      </c>
      <c r="AZ359" s="598">
        <f>+VLOOKUP($AJ359,Data_Validation!$A:$E,5,0)</f>
        <v>0</v>
      </c>
    </row>
    <row r="360" spans="1:52" ht="15" customHeight="1">
      <c r="A360" s="832" t="s">
        <v>1150</v>
      </c>
      <c r="B360" s="832">
        <v>2025</v>
      </c>
      <c r="C360" s="832" t="s">
        <v>1867</v>
      </c>
      <c r="D360" s="832" t="s">
        <v>1868</v>
      </c>
      <c r="E360" s="832" t="s">
        <v>1842</v>
      </c>
      <c r="F360" s="832" t="s">
        <v>1792</v>
      </c>
      <c r="G360" s="832">
        <v>0</v>
      </c>
      <c r="H360" s="832">
        <v>0</v>
      </c>
      <c r="I360" s="832">
        <v>0</v>
      </c>
      <c r="J360" s="832">
        <v>0</v>
      </c>
      <c r="K360" s="832">
        <v>0</v>
      </c>
      <c r="L360" s="832">
        <v>0</v>
      </c>
      <c r="M360" s="832">
        <v>0</v>
      </c>
      <c r="N360" s="832">
        <v>0</v>
      </c>
      <c r="O360" s="832">
        <v>0</v>
      </c>
      <c r="P360" s="832">
        <v>0</v>
      </c>
      <c r="Q360" s="832">
        <v>0</v>
      </c>
      <c r="R360" s="832">
        <v>3000000</v>
      </c>
      <c r="S360" s="832">
        <v>0</v>
      </c>
      <c r="T360" s="832">
        <v>0</v>
      </c>
      <c r="U360" s="832">
        <v>0</v>
      </c>
      <c r="V360" s="832">
        <v>0</v>
      </c>
      <c r="W360" s="832">
        <v>0</v>
      </c>
      <c r="X360" s="832">
        <v>0</v>
      </c>
      <c r="Y360" s="832">
        <v>0</v>
      </c>
      <c r="Z360" s="832">
        <v>0</v>
      </c>
      <c r="AA360" s="832">
        <v>0</v>
      </c>
      <c r="AB360" s="832">
        <v>0</v>
      </c>
      <c r="AC360" s="832">
        <v>0</v>
      </c>
      <c r="AD360" s="832">
        <v>0</v>
      </c>
      <c r="AE360" s="832">
        <v>0</v>
      </c>
      <c r="AF360" s="832">
        <v>0</v>
      </c>
      <c r="AG360" s="832">
        <v>0</v>
      </c>
      <c r="AH360" s="832">
        <v>0</v>
      </c>
      <c r="AI360" s="832">
        <v>0</v>
      </c>
      <c r="AJ360" s="1030" t="str">
        <f t="shared" si="30"/>
        <v>H11907</v>
      </c>
      <c r="AK360" s="1030" t="str">
        <f t="shared" si="31"/>
        <v>INTERCO-13721515 QC INC</v>
      </c>
      <c r="AL360" s="1030">
        <f>IFERROR(INDEX(G360:R360,1,MATCH(Parametres!$B$3,G$1:R$1,0)-1)*IF(OR(F360="L",F360="S",F360="I"),-1,1),"")</f>
        <v>0</v>
      </c>
      <c r="AM360" s="1030">
        <f t="shared" si="32"/>
        <v>0</v>
      </c>
      <c r="AN360" s="1030">
        <f>INDEX(G360:R360,1,MATCH(Parametres!$B$3,G$1:R$1,0))*IF(OR(F360="L",F360="S",F360="I"),-1,1)</f>
        <v>0</v>
      </c>
      <c r="AO360" s="598" t="str">
        <f>+VLOOKUP($AJ360,Data_Validation!$A:$D,1,0)</f>
        <v>H11907</v>
      </c>
      <c r="AP360" s="598" t="str">
        <f>+VLOOKUP($AJ360,Data_Validation!$A:$D,3,0)</f>
        <v>Bilan</v>
      </c>
      <c r="AQ360" s="598" t="str">
        <f>+VLOOKUP($AJ360,Data_Validation!$A:$D,4,0)</f>
        <v>Recevables Intercos</v>
      </c>
      <c r="AR360" s="598" t="s">
        <v>299</v>
      </c>
      <c r="AS360" s="598">
        <f>+VLOOKUP($AJ360,Data_Validation!$A:$E,5,0)</f>
        <v>0</v>
      </c>
      <c r="AT360" s="1036" t="str">
        <f t="shared" si="33"/>
        <v>H11907</v>
      </c>
      <c r="AU360" s="599" t="str">
        <f t="shared" si="34"/>
        <v>INTERCO-13721515 QC INC</v>
      </c>
      <c r="AV360" s="1030">
        <f>IFERROR(INDEX(V360:AG360,1,MATCH(Parametres!$B$3,V$1:AG$1,0)-1)*IF(OR(C360="L",C360="S",C360="I"),-1,1),"")</f>
        <v>0</v>
      </c>
      <c r="AW360" s="1030">
        <f t="shared" si="35"/>
        <v>0</v>
      </c>
      <c r="AX360" s="1030">
        <f>INDEX(V360:AG360,1,MATCH(Parametres!$B$3,V$1:AG$1,0))*IF(OR(C360="L",C360="S",C360="I"),-1,1)</f>
        <v>0</v>
      </c>
      <c r="AY360" s="598" t="s">
        <v>337</v>
      </c>
      <c r="AZ360" s="598">
        <f>+VLOOKUP($AJ360,Data_Validation!$A:$E,5,0)</f>
        <v>0</v>
      </c>
    </row>
    <row r="361" spans="1:52" ht="15" customHeight="1">
      <c r="A361" s="832" t="s">
        <v>1150</v>
      </c>
      <c r="B361" s="832">
        <v>2025</v>
      </c>
      <c r="C361" s="832" t="s">
        <v>1869</v>
      </c>
      <c r="D361" s="832" t="s">
        <v>1870</v>
      </c>
      <c r="E361" s="832" t="s">
        <v>1854</v>
      </c>
      <c r="F361" s="832" t="s">
        <v>1792</v>
      </c>
      <c r="G361" s="832">
        <v>0</v>
      </c>
      <c r="H361" s="832">
        <v>0</v>
      </c>
      <c r="I361" s="832">
        <v>0</v>
      </c>
      <c r="J361" s="832">
        <v>0</v>
      </c>
      <c r="K361" s="832">
        <v>0</v>
      </c>
      <c r="L361" s="832">
        <v>0</v>
      </c>
      <c r="M361" s="832">
        <v>0</v>
      </c>
      <c r="N361" s="832">
        <v>0</v>
      </c>
      <c r="O361" s="832">
        <v>0</v>
      </c>
      <c r="P361" s="832">
        <v>0</v>
      </c>
      <c r="Q361" s="832">
        <v>0</v>
      </c>
      <c r="R361" s="832">
        <v>-1000000</v>
      </c>
      <c r="S361" s="832">
        <v>0</v>
      </c>
      <c r="T361" s="832">
        <v>0</v>
      </c>
      <c r="U361" s="832">
        <v>0</v>
      </c>
      <c r="V361" s="832">
        <v>0</v>
      </c>
      <c r="W361" s="832">
        <v>0</v>
      </c>
      <c r="X361" s="832">
        <v>0</v>
      </c>
      <c r="Y361" s="832">
        <v>0</v>
      </c>
      <c r="Z361" s="832">
        <v>0</v>
      </c>
      <c r="AA361" s="832">
        <v>0</v>
      </c>
      <c r="AB361" s="832">
        <v>0</v>
      </c>
      <c r="AC361" s="832">
        <v>0</v>
      </c>
      <c r="AD361" s="832">
        <v>0</v>
      </c>
      <c r="AE361" s="832">
        <v>0</v>
      </c>
      <c r="AF361" s="832">
        <v>0</v>
      </c>
      <c r="AG361" s="832">
        <v>0</v>
      </c>
      <c r="AH361" s="832">
        <v>0</v>
      </c>
      <c r="AI361" s="832">
        <v>0</v>
      </c>
      <c r="AJ361" s="1030" t="str">
        <f t="shared" si="30"/>
        <v>H11908</v>
      </c>
      <c r="AK361" s="1030" t="str">
        <f t="shared" si="31"/>
        <v>INTERCO-BMW SHERBROOKE</v>
      </c>
      <c r="AL361" s="1030">
        <f>IFERROR(INDEX(G361:R361,1,MATCH(Parametres!$B$3,G$1:R$1,0)-1)*IF(OR(F361="L",F361="S",F361="I"),-1,1),"")</f>
        <v>0</v>
      </c>
      <c r="AM361" s="1030">
        <f t="shared" si="32"/>
        <v>0</v>
      </c>
      <c r="AN361" s="1030">
        <f>INDEX(G361:R361,1,MATCH(Parametres!$B$3,G$1:R$1,0))*IF(OR(F361="L",F361="S",F361="I"),-1,1)</f>
        <v>0</v>
      </c>
      <c r="AO361" s="598" t="str">
        <f>+VLOOKUP($AJ361,Data_Validation!$A:$D,1,0)</f>
        <v>H11908</v>
      </c>
      <c r="AP361" s="598" t="str">
        <f>+VLOOKUP($AJ361,Data_Validation!$A:$D,3,0)</f>
        <v>Bilan</v>
      </c>
      <c r="AQ361" s="598" t="str">
        <f>+VLOOKUP($AJ361,Data_Validation!$A:$D,4,0)</f>
        <v>Recevables Intercos</v>
      </c>
      <c r="AR361" s="598" t="s">
        <v>299</v>
      </c>
      <c r="AS361" s="598">
        <f>+VLOOKUP($AJ361,Data_Validation!$A:$E,5,0)</f>
        <v>0</v>
      </c>
      <c r="AT361" s="1036" t="str">
        <f t="shared" si="33"/>
        <v>H11908</v>
      </c>
      <c r="AU361" s="599" t="str">
        <f t="shared" si="34"/>
        <v>INTERCO-BMW SHERBROOKE</v>
      </c>
      <c r="AV361" s="1030">
        <f>IFERROR(INDEX(V361:AG361,1,MATCH(Parametres!$B$3,V$1:AG$1,0)-1)*IF(OR(C361="L",C361="S",C361="I"),-1,1),"")</f>
        <v>0</v>
      </c>
      <c r="AW361" s="1030">
        <f t="shared" si="35"/>
        <v>0</v>
      </c>
      <c r="AX361" s="1030">
        <f>INDEX(V361:AG361,1,MATCH(Parametres!$B$3,V$1:AG$1,0))*IF(OR(C361="L",C361="S",C361="I"),-1,1)</f>
        <v>0</v>
      </c>
      <c r="AY361" s="598" t="s">
        <v>337</v>
      </c>
      <c r="AZ361" s="598">
        <f>+VLOOKUP($AJ361,Data_Validation!$A:$E,5,0)</f>
        <v>0</v>
      </c>
    </row>
    <row r="362" spans="1:52" ht="15.75" customHeight="1">
      <c r="A362" s="832" t="s">
        <v>1150</v>
      </c>
      <c r="B362" s="832">
        <v>2025</v>
      </c>
      <c r="C362" s="832" t="s">
        <v>1871</v>
      </c>
      <c r="D362" s="832" t="s">
        <v>1872</v>
      </c>
      <c r="E362" s="832" t="s">
        <v>1792</v>
      </c>
      <c r="F362" s="832" t="s">
        <v>1792</v>
      </c>
      <c r="G362" s="832">
        <v>-2244.48</v>
      </c>
      <c r="H362" s="832">
        <v>22084.97</v>
      </c>
      <c r="I362" s="832">
        <v>1406.38</v>
      </c>
      <c r="J362" s="832">
        <v>1507.65</v>
      </c>
      <c r="K362" s="832">
        <v>-2245.89</v>
      </c>
      <c r="L362" s="832">
        <v>-3839.72</v>
      </c>
      <c r="M362" s="832">
        <v>-3982.15</v>
      </c>
      <c r="N362" s="832">
        <v>1201.6199999999999</v>
      </c>
      <c r="O362" s="832">
        <v>-295.64</v>
      </c>
      <c r="P362" s="832">
        <v>-391.05</v>
      </c>
      <c r="Q362" s="832">
        <v>-683.99</v>
      </c>
      <c r="R362" s="832">
        <v>-2153.2399999999998</v>
      </c>
      <c r="S362" s="832">
        <v>0</v>
      </c>
      <c r="T362" s="832">
        <v>0</v>
      </c>
      <c r="U362" s="832">
        <v>0</v>
      </c>
      <c r="V362" s="832">
        <v>0</v>
      </c>
      <c r="W362" s="832">
        <v>0</v>
      </c>
      <c r="X362" s="832">
        <v>0</v>
      </c>
      <c r="Y362" s="832">
        <v>0</v>
      </c>
      <c r="Z362" s="832">
        <v>0</v>
      </c>
      <c r="AA362" s="832">
        <v>0</v>
      </c>
      <c r="AB362" s="832">
        <v>0</v>
      </c>
      <c r="AC362" s="832">
        <v>0</v>
      </c>
      <c r="AD362" s="832">
        <v>0</v>
      </c>
      <c r="AE362" s="832">
        <v>0</v>
      </c>
      <c r="AF362" s="832">
        <v>0</v>
      </c>
      <c r="AG362" s="832">
        <v>0</v>
      </c>
      <c r="AH362" s="832">
        <v>0</v>
      </c>
      <c r="AI362" s="832">
        <v>0</v>
      </c>
      <c r="AJ362" s="1030" t="str">
        <f t="shared" si="30"/>
        <v>H12000</v>
      </c>
      <c r="AK362" s="1030" t="str">
        <f t="shared" si="31"/>
        <v>RECLAMATION GAR. HYUNDAI</v>
      </c>
      <c r="AL362" s="1030">
        <f>IFERROR(INDEX(G362:R362,1,MATCH(Parametres!$B$3,G$1:R$1,0)-1)*IF(OR(F362="L",F362="S",F362="I"),-1,1),"")</f>
        <v>1507.65</v>
      </c>
      <c r="AM362" s="1030">
        <f t="shared" si="32"/>
        <v>-3753.54</v>
      </c>
      <c r="AN362" s="1030">
        <f>INDEX(G362:R362,1,MATCH(Parametres!$B$3,G$1:R$1,0))*IF(OR(F362="L",F362="S",F362="I"),-1,1)</f>
        <v>-2245.89</v>
      </c>
      <c r="AO362" s="598" t="str">
        <f>+VLOOKUP($AJ362,Data_Validation!$A:$D,1,0)</f>
        <v>H12000</v>
      </c>
      <c r="AP362" s="598" t="str">
        <f>+VLOOKUP($AJ362,Data_Validation!$A:$D,3,0)</f>
        <v>Bilan</v>
      </c>
      <c r="AQ362" s="598" t="str">
        <f>+VLOOKUP($AJ362,Data_Validation!$A:$D,4,0)</f>
        <v>Recevables Manufacturier</v>
      </c>
      <c r="AR362" s="598" t="s">
        <v>299</v>
      </c>
      <c r="AS362" s="598">
        <f>+VLOOKUP($AJ362,Data_Validation!$A:$E,5,0)</f>
        <v>0</v>
      </c>
      <c r="AT362" s="1036" t="str">
        <f t="shared" si="33"/>
        <v>H12000</v>
      </c>
      <c r="AU362" s="599" t="str">
        <f t="shared" si="34"/>
        <v>RECLAMATION GAR. HYUNDAI</v>
      </c>
      <c r="AV362" s="1030">
        <f>IFERROR(INDEX(V362:AG362,1,MATCH(Parametres!$B$3,V$1:AG$1,0)-1)*IF(OR(C362="L",C362="S",C362="I"),-1,1),"")</f>
        <v>0</v>
      </c>
      <c r="AW362" s="1030">
        <f t="shared" si="35"/>
        <v>0</v>
      </c>
      <c r="AX362" s="1030">
        <f>INDEX(V362:AG362,1,MATCH(Parametres!$B$3,V$1:AG$1,0))*IF(OR(C362="L",C362="S",C362="I"),-1,1)</f>
        <v>0</v>
      </c>
      <c r="AY362" s="598" t="s">
        <v>337</v>
      </c>
      <c r="AZ362" s="598">
        <f>+VLOOKUP($AJ362,Data_Validation!$A:$E,5,0)</f>
        <v>0</v>
      </c>
    </row>
    <row r="363" spans="1:52" ht="15.75" customHeight="1">
      <c r="A363" s="832" t="s">
        <v>1150</v>
      </c>
      <c r="B363" s="832">
        <v>2025</v>
      </c>
      <c r="C363" s="832" t="s">
        <v>1873</v>
      </c>
      <c r="D363" s="832" t="s">
        <v>1874</v>
      </c>
      <c r="E363" s="832" t="s">
        <v>1153</v>
      </c>
      <c r="F363" s="832" t="s">
        <v>1792</v>
      </c>
      <c r="G363" s="832">
        <v>0</v>
      </c>
      <c r="H363" s="832">
        <v>0</v>
      </c>
      <c r="I363" s="832">
        <v>0</v>
      </c>
      <c r="J363" s="832">
        <v>0</v>
      </c>
      <c r="K363" s="832">
        <v>0</v>
      </c>
      <c r="L363" s="832">
        <v>0</v>
      </c>
      <c r="M363" s="832">
        <v>0</v>
      </c>
      <c r="N363" s="832">
        <v>0</v>
      </c>
      <c r="O363" s="832">
        <v>0</v>
      </c>
      <c r="P363" s="832">
        <v>0</v>
      </c>
      <c r="Q363" s="832">
        <v>0</v>
      </c>
      <c r="R363" s="832">
        <v>0</v>
      </c>
      <c r="S363" s="832">
        <v>0</v>
      </c>
      <c r="T363" s="832">
        <v>0</v>
      </c>
      <c r="U363" s="832">
        <v>0</v>
      </c>
      <c r="V363" s="832">
        <v>0</v>
      </c>
      <c r="W363" s="832">
        <v>0</v>
      </c>
      <c r="X363" s="832">
        <v>0</v>
      </c>
      <c r="Y363" s="832">
        <v>0</v>
      </c>
      <c r="Z363" s="832">
        <v>0</v>
      </c>
      <c r="AA363" s="832">
        <v>0</v>
      </c>
      <c r="AB363" s="832">
        <v>0</v>
      </c>
      <c r="AC363" s="832">
        <v>0</v>
      </c>
      <c r="AD363" s="832">
        <v>0</v>
      </c>
      <c r="AE363" s="832">
        <v>0</v>
      </c>
      <c r="AF363" s="832">
        <v>0</v>
      </c>
      <c r="AG363" s="832">
        <v>0</v>
      </c>
      <c r="AH363" s="832">
        <v>0</v>
      </c>
      <c r="AI363" s="832">
        <v>0</v>
      </c>
      <c r="AJ363" s="1030" t="str">
        <f t="shared" si="30"/>
        <v>H12001</v>
      </c>
      <c r="AK363" s="1030" t="str">
        <f t="shared" si="31"/>
        <v>RECLAMATION GAR. AUTRES</v>
      </c>
      <c r="AL363" s="1030">
        <f>IFERROR(INDEX(G363:R363,1,MATCH(Parametres!$B$3,G$1:R$1,0)-1)*IF(OR(F363="L",F363="S",F363="I"),-1,1),"")</f>
        <v>0</v>
      </c>
      <c r="AM363" s="1030">
        <f t="shared" si="32"/>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t="str">
        <f t="shared" si="33"/>
        <v>H12001</v>
      </c>
      <c r="AU363" s="599" t="str">
        <f t="shared" si="34"/>
        <v>RECLAMATION GAR. AUTRES</v>
      </c>
      <c r="AV363" s="1030">
        <f>IFERROR(INDEX(V363:AG363,1,MATCH(Parametres!$B$3,V$1:AG$1,0)-1)*IF(OR(C363="L",C363="S",C363="I"),-1,1),"")</f>
        <v>0</v>
      </c>
      <c r="AW363" s="1030">
        <f t="shared" si="35"/>
        <v>0</v>
      </c>
      <c r="AX363" s="1030">
        <f>INDEX(V363:AG363,1,MATCH(Parametres!$B$3,V$1:AG$1,0))*IF(OR(C363="L",C363="S",C363="I"),-1,1)</f>
        <v>0</v>
      </c>
      <c r="AY363" s="598" t="s">
        <v>337</v>
      </c>
      <c r="AZ363" s="598" t="e">
        <f>+VLOOKUP($AJ363,Data_Validation!$A:$E,5,0)</f>
        <v>#N/A</v>
      </c>
    </row>
    <row r="364" spans="1:52" ht="15" customHeight="1">
      <c r="A364" s="832" t="s">
        <v>1150</v>
      </c>
      <c r="B364" s="832">
        <v>2025</v>
      </c>
      <c r="C364" s="832" t="s">
        <v>1875</v>
      </c>
      <c r="D364" s="832" t="s">
        <v>1876</v>
      </c>
      <c r="E364" s="832" t="s">
        <v>333</v>
      </c>
      <c r="F364" s="832" t="s">
        <v>1792</v>
      </c>
      <c r="G364" s="832">
        <v>0</v>
      </c>
      <c r="H364" s="832">
        <v>0</v>
      </c>
      <c r="I364" s="832">
        <v>0</v>
      </c>
      <c r="J364" s="832">
        <v>0</v>
      </c>
      <c r="K364" s="832">
        <v>0</v>
      </c>
      <c r="L364" s="832">
        <v>0</v>
      </c>
      <c r="M364" s="832">
        <v>0</v>
      </c>
      <c r="N364" s="832">
        <v>0</v>
      </c>
      <c r="O364" s="832">
        <v>0</v>
      </c>
      <c r="P364" s="832">
        <v>0</v>
      </c>
      <c r="Q364" s="832">
        <v>0</v>
      </c>
      <c r="R364" s="832">
        <v>0</v>
      </c>
      <c r="S364" s="832">
        <v>0</v>
      </c>
      <c r="T364" s="832">
        <v>0</v>
      </c>
      <c r="U364" s="832">
        <v>0</v>
      </c>
      <c r="V364" s="832">
        <v>0</v>
      </c>
      <c r="W364" s="832">
        <v>0</v>
      </c>
      <c r="X364" s="832">
        <v>0</v>
      </c>
      <c r="Y364" s="832">
        <v>0</v>
      </c>
      <c r="Z364" s="832">
        <v>0</v>
      </c>
      <c r="AA364" s="832">
        <v>0</v>
      </c>
      <c r="AB364" s="832">
        <v>0</v>
      </c>
      <c r="AC364" s="832">
        <v>0</v>
      </c>
      <c r="AD364" s="832">
        <v>0</v>
      </c>
      <c r="AE364" s="832">
        <v>0</v>
      </c>
      <c r="AF364" s="832">
        <v>0</v>
      </c>
      <c r="AG364" s="832">
        <v>0</v>
      </c>
      <c r="AH364" s="832">
        <v>0</v>
      </c>
      <c r="AI364" s="832">
        <v>0</v>
      </c>
      <c r="AJ364" s="1030" t="str">
        <f t="shared" si="30"/>
        <v>H12090</v>
      </c>
      <c r="AK364" s="1030" t="str">
        <f t="shared" si="31"/>
        <v>NE PAS UTILISER</v>
      </c>
      <c r="AL364" s="1030">
        <f>IFERROR(INDEX(G364:R364,1,MATCH(Parametres!$B$3,G$1:R$1,0)-1)*IF(OR(F364="L",F364="S",F364="I"),-1,1),"")</f>
        <v>0</v>
      </c>
      <c r="AM364" s="1030">
        <f t="shared" si="32"/>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t="str">
        <f t="shared" si="33"/>
        <v>H12090</v>
      </c>
      <c r="AU364" s="599" t="str">
        <f t="shared" si="34"/>
        <v>NE PAS UTILISER</v>
      </c>
      <c r="AV364" s="1030">
        <f>IFERROR(INDEX(V364:AG364,1,MATCH(Parametres!$B$3,V$1:AG$1,0)-1)*IF(OR(C364="L",C364="S",C364="I"),-1,1),"")</f>
        <v>0</v>
      </c>
      <c r="AW364" s="1030">
        <f t="shared" si="35"/>
        <v>0</v>
      </c>
      <c r="AX364" s="1030">
        <f>INDEX(V364:AG364,1,MATCH(Parametres!$B$3,V$1:AG$1,0))*IF(OR(C364="L",C364="S",C364="I"),-1,1)</f>
        <v>0</v>
      </c>
      <c r="AY364" s="598" t="s">
        <v>337</v>
      </c>
      <c r="AZ364" s="598" t="e">
        <f>+VLOOKUP($AJ364,Data_Validation!$A:$E,5,0)</f>
        <v>#N/A</v>
      </c>
    </row>
    <row r="365" spans="1:52" ht="15.75" customHeight="1">
      <c r="A365" s="832" t="s">
        <v>1150</v>
      </c>
      <c r="B365" s="832">
        <v>2025</v>
      </c>
      <c r="C365" s="832" t="s">
        <v>1877</v>
      </c>
      <c r="D365" s="832" t="s">
        <v>1878</v>
      </c>
      <c r="E365" s="832" t="s">
        <v>1792</v>
      </c>
      <c r="F365" s="832" t="s">
        <v>1792</v>
      </c>
      <c r="G365" s="832">
        <v>0</v>
      </c>
      <c r="H365" s="832">
        <v>0</v>
      </c>
      <c r="I365" s="832">
        <v>0</v>
      </c>
      <c r="J365" s="832">
        <v>0</v>
      </c>
      <c r="K365" s="832">
        <v>0</v>
      </c>
      <c r="L365" s="832">
        <v>0</v>
      </c>
      <c r="M365" s="832">
        <v>0</v>
      </c>
      <c r="N365" s="832">
        <v>0</v>
      </c>
      <c r="O365" s="832">
        <v>0</v>
      </c>
      <c r="P365" s="832">
        <v>0</v>
      </c>
      <c r="Q365" s="832">
        <v>0</v>
      </c>
      <c r="R365" s="832">
        <v>0</v>
      </c>
      <c r="S365" s="832">
        <v>0</v>
      </c>
      <c r="T365" s="832">
        <v>0</v>
      </c>
      <c r="U365" s="832">
        <v>0</v>
      </c>
      <c r="V365" s="832">
        <v>0</v>
      </c>
      <c r="W365" s="832">
        <v>0</v>
      </c>
      <c r="X365" s="832">
        <v>0</v>
      </c>
      <c r="Y365" s="832">
        <v>0</v>
      </c>
      <c r="Z365" s="832">
        <v>0</v>
      </c>
      <c r="AA365" s="832">
        <v>0</v>
      </c>
      <c r="AB365" s="832">
        <v>0</v>
      </c>
      <c r="AC365" s="832">
        <v>0</v>
      </c>
      <c r="AD365" s="832">
        <v>0</v>
      </c>
      <c r="AE365" s="832">
        <v>0</v>
      </c>
      <c r="AF365" s="832">
        <v>0</v>
      </c>
      <c r="AG365" s="832">
        <v>0</v>
      </c>
      <c r="AH365" s="832">
        <v>0</v>
      </c>
      <c r="AI365" s="832">
        <v>0</v>
      </c>
      <c r="AJ365" s="1030" t="str">
        <f t="shared" si="30"/>
        <v>H12100</v>
      </c>
      <c r="AK365" s="1030" t="str">
        <f t="shared" si="31"/>
        <v>RECLAMATION DE TRANSPORT</v>
      </c>
      <c r="AL365" s="1030">
        <f>IFERROR(INDEX(G365:R365,1,MATCH(Parametres!$B$3,G$1:R$1,0)-1)*IF(OR(F365="L",F365="S",F365="I"),-1,1),"")</f>
        <v>0</v>
      </c>
      <c r="AM365" s="1030">
        <f t="shared" si="32"/>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t="str">
        <f t="shared" si="33"/>
        <v>H12100</v>
      </c>
      <c r="AU365" s="599" t="str">
        <f t="shared" si="34"/>
        <v>RECLAMATION DE TRANSPORT</v>
      </c>
      <c r="AV365" s="1030">
        <f>IFERROR(INDEX(V365:AG365,1,MATCH(Parametres!$B$3,V$1:AG$1,0)-1)*IF(OR(C365="L",C365="S",C365="I"),-1,1),"")</f>
        <v>0</v>
      </c>
      <c r="AW365" s="1030">
        <f t="shared" si="35"/>
        <v>0</v>
      </c>
      <c r="AX365" s="1030">
        <f>INDEX(V365:AG365,1,MATCH(Parametres!$B$3,V$1:AG$1,0))*IF(OR(C365="L",C365="S",C365="I"),-1,1)</f>
        <v>0</v>
      </c>
      <c r="AY365" s="598" t="s">
        <v>337</v>
      </c>
      <c r="AZ365" s="598" t="e">
        <f>+VLOOKUP($AJ365,Data_Validation!$A:$E,5,0)</f>
        <v>#N/A</v>
      </c>
    </row>
    <row r="366" spans="1:52" ht="15.75" customHeight="1">
      <c r="A366" s="832" t="s">
        <v>1150</v>
      </c>
      <c r="B366" s="832">
        <v>2025</v>
      </c>
      <c r="C366" s="832" t="s">
        <v>1879</v>
      </c>
      <c r="D366" s="832" t="s">
        <v>1880</v>
      </c>
      <c r="E366" s="832" t="s">
        <v>333</v>
      </c>
      <c r="F366" s="832" t="s">
        <v>1792</v>
      </c>
      <c r="G366" s="832">
        <v>0</v>
      </c>
      <c r="H366" s="832">
        <v>0</v>
      </c>
      <c r="I366" s="832">
        <v>0</v>
      </c>
      <c r="J366" s="832">
        <v>0</v>
      </c>
      <c r="K366" s="832">
        <v>0</v>
      </c>
      <c r="L366" s="832">
        <v>0</v>
      </c>
      <c r="M366" s="832">
        <v>0</v>
      </c>
      <c r="N366" s="832">
        <v>0</v>
      </c>
      <c r="O366" s="832">
        <v>0</v>
      </c>
      <c r="P366" s="832">
        <v>0</v>
      </c>
      <c r="Q366" s="832">
        <v>0</v>
      </c>
      <c r="R366" s="832">
        <v>0</v>
      </c>
      <c r="S366" s="832">
        <v>0</v>
      </c>
      <c r="T366" s="832">
        <v>0</v>
      </c>
      <c r="U366" s="832">
        <v>0</v>
      </c>
      <c r="V366" s="832">
        <v>0</v>
      </c>
      <c r="W366" s="832">
        <v>0</v>
      </c>
      <c r="X366" s="832">
        <v>0</v>
      </c>
      <c r="Y366" s="832">
        <v>0</v>
      </c>
      <c r="Z366" s="832">
        <v>0</v>
      </c>
      <c r="AA366" s="832">
        <v>0</v>
      </c>
      <c r="AB366" s="832">
        <v>0</v>
      </c>
      <c r="AC366" s="832">
        <v>0</v>
      </c>
      <c r="AD366" s="832">
        <v>0</v>
      </c>
      <c r="AE366" s="832">
        <v>0</v>
      </c>
      <c r="AF366" s="832">
        <v>0</v>
      </c>
      <c r="AG366" s="832">
        <v>0</v>
      </c>
      <c r="AH366" s="832">
        <v>0</v>
      </c>
      <c r="AI366" s="832">
        <v>0</v>
      </c>
      <c r="AJ366" s="1030" t="str">
        <f t="shared" si="30"/>
        <v>H12200</v>
      </c>
      <c r="AK366" s="1030" t="str">
        <f t="shared" si="31"/>
        <v>CARTES DE CREDIT</v>
      </c>
      <c r="AL366" s="1030">
        <f>IFERROR(INDEX(G366:R366,1,MATCH(Parametres!$B$3,G$1:R$1,0)-1)*IF(OR(F366="L",F366="S",F366="I"),-1,1),"")</f>
        <v>0</v>
      </c>
      <c r="AM366" s="1030">
        <f t="shared" si="32"/>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t="str">
        <f t="shared" si="33"/>
        <v>H12200</v>
      </c>
      <c r="AU366" s="599" t="str">
        <f t="shared" si="34"/>
        <v>CARTES DE CREDIT</v>
      </c>
      <c r="AV366" s="1030">
        <f>IFERROR(INDEX(V366:AG366,1,MATCH(Parametres!$B$3,V$1:AG$1,0)-1)*IF(OR(C366="L",C366="S",C366="I"),-1,1),"")</f>
        <v>0</v>
      </c>
      <c r="AW366" s="1030">
        <f t="shared" si="35"/>
        <v>0</v>
      </c>
      <c r="AX366" s="1030">
        <f>INDEX(V366:AG366,1,MATCH(Parametres!$B$3,V$1:AG$1,0))*IF(OR(C366="L",C366="S",C366="I"),-1,1)</f>
        <v>0</v>
      </c>
      <c r="AY366" s="598" t="s">
        <v>337</v>
      </c>
      <c r="AZ366" s="598" t="e">
        <f>+VLOOKUP($AJ366,Data_Validation!$A:$E,5,0)</f>
        <v>#N/A</v>
      </c>
    </row>
    <row r="367" spans="1:52" ht="15.75" customHeight="1">
      <c r="A367" s="832" t="s">
        <v>1150</v>
      </c>
      <c r="B367" s="832">
        <v>2025</v>
      </c>
      <c r="C367" s="832" t="s">
        <v>1881</v>
      </c>
      <c r="D367" s="832" t="s">
        <v>1882</v>
      </c>
      <c r="E367" s="832" t="s">
        <v>336</v>
      </c>
      <c r="F367" s="832" t="s">
        <v>1792</v>
      </c>
      <c r="G367" s="832">
        <v>0</v>
      </c>
      <c r="H367" s="832">
        <v>0</v>
      </c>
      <c r="I367" s="832">
        <v>0</v>
      </c>
      <c r="J367" s="832">
        <v>0</v>
      </c>
      <c r="K367" s="832">
        <v>0</v>
      </c>
      <c r="L367" s="832">
        <v>0</v>
      </c>
      <c r="M367" s="832">
        <v>0</v>
      </c>
      <c r="N367" s="832">
        <v>0</v>
      </c>
      <c r="O367" s="832">
        <v>0</v>
      </c>
      <c r="P367" s="832">
        <v>0</v>
      </c>
      <c r="Q367" s="832">
        <v>0</v>
      </c>
      <c r="R367" s="832">
        <v>0</v>
      </c>
      <c r="S367" s="832">
        <v>0</v>
      </c>
      <c r="T367" s="832">
        <v>0</v>
      </c>
      <c r="U367" s="832">
        <v>0</v>
      </c>
      <c r="V367" s="832">
        <v>0</v>
      </c>
      <c r="W367" s="832">
        <v>0</v>
      </c>
      <c r="X367" s="832">
        <v>0</v>
      </c>
      <c r="Y367" s="832">
        <v>0</v>
      </c>
      <c r="Z367" s="832">
        <v>0</v>
      </c>
      <c r="AA367" s="832">
        <v>0</v>
      </c>
      <c r="AB367" s="832">
        <v>0</v>
      </c>
      <c r="AC367" s="832">
        <v>0</v>
      </c>
      <c r="AD367" s="832">
        <v>0</v>
      </c>
      <c r="AE367" s="832">
        <v>0</v>
      </c>
      <c r="AF367" s="832">
        <v>0</v>
      </c>
      <c r="AG367" s="832">
        <v>0</v>
      </c>
      <c r="AH367" s="832">
        <v>0</v>
      </c>
      <c r="AI367" s="832">
        <v>0</v>
      </c>
      <c r="AJ367" s="1030" t="str">
        <f t="shared" si="30"/>
        <v>H12300</v>
      </c>
      <c r="AK367" s="1030" t="str">
        <f t="shared" si="31"/>
        <v>VOIR COMPTE 126</v>
      </c>
      <c r="AL367" s="1030">
        <f>IFERROR(INDEX(G367:R367,1,MATCH(Parametres!$B$3,G$1:R$1,0)-1)*IF(OR(F367="L",F367="S",F367="I"),-1,1),"")</f>
        <v>0</v>
      </c>
      <c r="AM367" s="1030">
        <f t="shared" si="32"/>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t="str">
        <f t="shared" si="33"/>
        <v>H12300</v>
      </c>
      <c r="AU367" s="599" t="str">
        <f t="shared" si="34"/>
        <v>VOIR COMPTE 126</v>
      </c>
      <c r="AV367" s="1030">
        <f>IFERROR(INDEX(V367:AG367,1,MATCH(Parametres!$B$3,V$1:AG$1,0)-1)*IF(OR(C367="L",C367="S",C367="I"),-1,1),"")</f>
        <v>0</v>
      </c>
      <c r="AW367" s="1030">
        <f t="shared" si="35"/>
        <v>0</v>
      </c>
      <c r="AX367" s="1030">
        <f>INDEX(V367:AG367,1,MATCH(Parametres!$B$3,V$1:AG$1,0))*IF(OR(C367="L",C367="S",C367="I"),-1,1)</f>
        <v>0</v>
      </c>
      <c r="AY367" s="598" t="s">
        <v>337</v>
      </c>
      <c r="AZ367" s="598" t="e">
        <f>+VLOOKUP($AJ367,Data_Validation!$A:$E,5,0)</f>
        <v>#N/A</v>
      </c>
    </row>
    <row r="368" spans="1:52" ht="15.75" customHeight="1">
      <c r="A368" s="832" t="s">
        <v>1150</v>
      </c>
      <c r="B368" s="832">
        <v>2025</v>
      </c>
      <c r="C368" s="832" t="s">
        <v>1883</v>
      </c>
      <c r="D368" s="832" t="s">
        <v>1884</v>
      </c>
      <c r="E368" s="832" t="s">
        <v>333</v>
      </c>
      <c r="F368" s="832" t="s">
        <v>1792</v>
      </c>
      <c r="G368" s="832">
        <v>0</v>
      </c>
      <c r="H368" s="832">
        <v>0</v>
      </c>
      <c r="I368" s="832">
        <v>0</v>
      </c>
      <c r="J368" s="832">
        <v>0</v>
      </c>
      <c r="K368" s="832">
        <v>0</v>
      </c>
      <c r="L368" s="832">
        <v>0</v>
      </c>
      <c r="M368" s="832">
        <v>0</v>
      </c>
      <c r="N368" s="832">
        <v>0</v>
      </c>
      <c r="O368" s="832">
        <v>0</v>
      </c>
      <c r="P368" s="832">
        <v>0</v>
      </c>
      <c r="Q368" s="832">
        <v>0</v>
      </c>
      <c r="R368" s="832">
        <v>0</v>
      </c>
      <c r="S368" s="832">
        <v>0</v>
      </c>
      <c r="T368" s="832">
        <v>0</v>
      </c>
      <c r="U368" s="832">
        <v>0</v>
      </c>
      <c r="V368" s="832">
        <v>0</v>
      </c>
      <c r="W368" s="832">
        <v>0</v>
      </c>
      <c r="X368" s="832">
        <v>0</v>
      </c>
      <c r="Y368" s="832">
        <v>0</v>
      </c>
      <c r="Z368" s="832">
        <v>0</v>
      </c>
      <c r="AA368" s="832">
        <v>0</v>
      </c>
      <c r="AB368" s="832">
        <v>0</v>
      </c>
      <c r="AC368" s="832">
        <v>0</v>
      </c>
      <c r="AD368" s="832">
        <v>0</v>
      </c>
      <c r="AE368" s="832">
        <v>0</v>
      </c>
      <c r="AF368" s="832">
        <v>0</v>
      </c>
      <c r="AG368" s="832">
        <v>0</v>
      </c>
      <c r="AH368" s="832">
        <v>0</v>
      </c>
      <c r="AI368" s="832">
        <v>0</v>
      </c>
      <c r="AJ368" s="1030" t="str">
        <f t="shared" si="30"/>
        <v>H12500</v>
      </c>
      <c r="AK368" s="1030" t="str">
        <f t="shared" si="31"/>
        <v>PROV. CREANCES DOUTEUSES</v>
      </c>
      <c r="AL368" s="1030">
        <f>IFERROR(INDEX(G368:R368,1,MATCH(Parametres!$B$3,G$1:R$1,0)-1)*IF(OR(F368="L",F368="S",F368="I"),-1,1),"")</f>
        <v>0</v>
      </c>
      <c r="AM368" s="1030">
        <f t="shared" si="32"/>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t="str">
        <f t="shared" si="33"/>
        <v>H12500</v>
      </c>
      <c r="AU368" s="599" t="str">
        <f t="shared" si="34"/>
        <v>PROV. CREANCES DOUTEUSES</v>
      </c>
      <c r="AV368" s="1030">
        <f>IFERROR(INDEX(V368:AG368,1,MATCH(Parametres!$B$3,V$1:AG$1,0)-1)*IF(OR(C368="L",C368="S",C368="I"),-1,1),"")</f>
        <v>0</v>
      </c>
      <c r="AW368" s="1030">
        <f t="shared" si="35"/>
        <v>0</v>
      </c>
      <c r="AX368" s="1030">
        <f>INDEX(V368:AG368,1,MATCH(Parametres!$B$3,V$1:AG$1,0))*IF(OR(C368="L",C368="S",C368="I"),-1,1)</f>
        <v>0</v>
      </c>
      <c r="AY368" s="598" t="s">
        <v>337</v>
      </c>
      <c r="AZ368" s="598" t="e">
        <f>+VLOOKUP($AJ368,Data_Validation!$A:$E,5,0)</f>
        <v>#N/A</v>
      </c>
    </row>
    <row r="369" spans="1:52" ht="15.75" customHeight="1">
      <c r="A369" s="832" t="s">
        <v>1150</v>
      </c>
      <c r="B369" s="832">
        <v>2025</v>
      </c>
      <c r="C369" s="832" t="s">
        <v>1885</v>
      </c>
      <c r="D369" s="832" t="s">
        <v>1886</v>
      </c>
      <c r="E369" s="832" t="s">
        <v>336</v>
      </c>
      <c r="F369" s="832" t="s">
        <v>1792</v>
      </c>
      <c r="G369" s="832">
        <v>597.84</v>
      </c>
      <c r="H369" s="832">
        <v>0</v>
      </c>
      <c r="I369" s="832">
        <v>1348.97</v>
      </c>
      <c r="J369" s="832">
        <v>1348.97</v>
      </c>
      <c r="K369" s="832">
        <v>0</v>
      </c>
      <c r="L369" s="832">
        <v>0</v>
      </c>
      <c r="M369" s="832">
        <v>0</v>
      </c>
      <c r="N369" s="832">
        <v>0</v>
      </c>
      <c r="O369" s="832">
        <v>0</v>
      </c>
      <c r="P369" s="832">
        <v>0</v>
      </c>
      <c r="Q369" s="832">
        <v>0</v>
      </c>
      <c r="R369" s="832">
        <v>0</v>
      </c>
      <c r="S369" s="832">
        <v>0</v>
      </c>
      <c r="T369" s="832">
        <v>0</v>
      </c>
      <c r="U369" s="832">
        <v>0</v>
      </c>
      <c r="V369" s="832">
        <v>0</v>
      </c>
      <c r="W369" s="832">
        <v>0</v>
      </c>
      <c r="X369" s="832">
        <v>0</v>
      </c>
      <c r="Y369" s="832">
        <v>0</v>
      </c>
      <c r="Z369" s="832">
        <v>0</v>
      </c>
      <c r="AA369" s="832">
        <v>0</v>
      </c>
      <c r="AB369" s="832">
        <v>0</v>
      </c>
      <c r="AC369" s="832">
        <v>0</v>
      </c>
      <c r="AD369" s="832">
        <v>0</v>
      </c>
      <c r="AE369" s="832">
        <v>0</v>
      </c>
      <c r="AF369" s="832">
        <v>0</v>
      </c>
      <c r="AG369" s="832">
        <v>0</v>
      </c>
      <c r="AH369" s="832">
        <v>0</v>
      </c>
      <c r="AI369" s="832">
        <v>0</v>
      </c>
      <c r="AJ369" s="1030" t="str">
        <f t="shared" si="30"/>
        <v>H12600</v>
      </c>
      <c r="AK369" s="1030" t="str">
        <f t="shared" si="31"/>
        <v>RISTOURNE DE FINANCES</v>
      </c>
      <c r="AL369" s="1030">
        <f>IFERROR(INDEX(G369:R369,1,MATCH(Parametres!$B$3,G$1:R$1,0)-1)*IF(OR(F369="L",F369="S",F369="I"),-1,1),"")</f>
        <v>1348.97</v>
      </c>
      <c r="AM369" s="1030">
        <f t="shared" si="32"/>
        <v>-1348.97</v>
      </c>
      <c r="AN369" s="1030">
        <f>INDEX(G369:R369,1,MATCH(Parametres!$B$3,G$1:R$1,0))*IF(OR(F369="L",F369="S",F369="I"),-1,1)</f>
        <v>0</v>
      </c>
      <c r="AO369" s="598" t="str">
        <f>+VLOOKUP($AJ369,Data_Validation!$A:$D,1,0)</f>
        <v>H12600</v>
      </c>
      <c r="AP369" s="598" t="str">
        <f>+VLOOKUP($AJ369,Data_Validation!$A:$D,3,0)</f>
        <v>Bilan</v>
      </c>
      <c r="AQ369" s="598" t="str">
        <f>+VLOOKUP($AJ369,Data_Validation!$A:$D,4,0)</f>
        <v>Recevables Manufacturier</v>
      </c>
      <c r="AR369" s="598" t="s">
        <v>299</v>
      </c>
      <c r="AS369" s="598">
        <f>+VLOOKUP($AJ369,Data_Validation!$A:$E,5,0)</f>
        <v>0</v>
      </c>
      <c r="AT369" s="1036" t="str">
        <f t="shared" si="33"/>
        <v>H12600</v>
      </c>
      <c r="AU369" s="599" t="str">
        <f t="shared" si="34"/>
        <v>RISTOURNE DE FINANCES</v>
      </c>
      <c r="AV369" s="1030">
        <f>IFERROR(INDEX(V369:AG369,1,MATCH(Parametres!$B$3,V$1:AG$1,0)-1)*IF(OR(C369="L",C369="S",C369="I"),-1,1),"")</f>
        <v>0</v>
      </c>
      <c r="AW369" s="1030">
        <f t="shared" si="35"/>
        <v>0</v>
      </c>
      <c r="AX369" s="1030">
        <f>INDEX(V369:AG369,1,MATCH(Parametres!$B$3,V$1:AG$1,0))*IF(OR(C369="L",C369="S",C369="I"),-1,1)</f>
        <v>0</v>
      </c>
      <c r="AY369" s="598" t="s">
        <v>337</v>
      </c>
      <c r="AZ369" s="598">
        <f>+VLOOKUP($AJ369,Data_Validation!$A:$E,5,0)</f>
        <v>0</v>
      </c>
    </row>
    <row r="370" spans="1:52" ht="15.75" customHeight="1">
      <c r="A370" s="832" t="s">
        <v>1150</v>
      </c>
      <c r="B370" s="832">
        <v>2025</v>
      </c>
      <c r="C370" s="832" t="s">
        <v>1887</v>
      </c>
      <c r="D370" s="832" t="s">
        <v>1888</v>
      </c>
      <c r="E370" s="832" t="s">
        <v>1889</v>
      </c>
      <c r="F370" s="832" t="s">
        <v>1792</v>
      </c>
      <c r="G370" s="832">
        <v>759720.89</v>
      </c>
      <c r="H370" s="832">
        <v>728888.12</v>
      </c>
      <c r="I370" s="832">
        <v>744176.84</v>
      </c>
      <c r="J370" s="832">
        <v>460276.79</v>
      </c>
      <c r="K370" s="832">
        <v>331603.92</v>
      </c>
      <c r="L370" s="832">
        <v>567099.11</v>
      </c>
      <c r="M370" s="832">
        <v>318829.58</v>
      </c>
      <c r="N370" s="832">
        <v>530597.65</v>
      </c>
      <c r="O370" s="832">
        <v>530004.29</v>
      </c>
      <c r="P370" s="832">
        <v>883454.57</v>
      </c>
      <c r="Q370" s="832">
        <v>863640.61</v>
      </c>
      <c r="R370" s="832">
        <v>860741.06</v>
      </c>
      <c r="S370" s="832">
        <v>0</v>
      </c>
      <c r="T370" s="832">
        <v>0</v>
      </c>
      <c r="U370" s="832">
        <v>0</v>
      </c>
      <c r="V370" s="832">
        <v>0</v>
      </c>
      <c r="W370" s="832">
        <v>0</v>
      </c>
      <c r="X370" s="832">
        <v>0</v>
      </c>
      <c r="Y370" s="832">
        <v>0</v>
      </c>
      <c r="Z370" s="832">
        <v>0</v>
      </c>
      <c r="AA370" s="832">
        <v>0</v>
      </c>
      <c r="AB370" s="832">
        <v>0</v>
      </c>
      <c r="AC370" s="832">
        <v>0</v>
      </c>
      <c r="AD370" s="832">
        <v>0</v>
      </c>
      <c r="AE370" s="832">
        <v>0</v>
      </c>
      <c r="AF370" s="832">
        <v>0</v>
      </c>
      <c r="AG370" s="832">
        <v>0</v>
      </c>
      <c r="AH370" s="832">
        <v>0</v>
      </c>
      <c r="AI370" s="832">
        <v>0</v>
      </c>
      <c r="AJ370" s="1030" t="str">
        <f t="shared" si="30"/>
        <v>H13000</v>
      </c>
      <c r="AK370" s="1030" t="str">
        <f t="shared" si="31"/>
        <v>VEHICULES NEUFS - HYUNDAI</v>
      </c>
      <c r="AL370" s="1030">
        <f>IFERROR(INDEX(G370:R370,1,MATCH(Parametres!$B$3,G$1:R$1,0)-1)*IF(OR(F370="L",F370="S",F370="I"),-1,1),"")</f>
        <v>460276.79</v>
      </c>
      <c r="AM370" s="1030">
        <f t="shared" si="32"/>
        <v>-128672.87</v>
      </c>
      <c r="AN370" s="1030">
        <f>INDEX(G370:R370,1,MATCH(Parametres!$B$3,G$1:R$1,0))*IF(OR(F370="L",F370="S",F370="I"),-1,1)</f>
        <v>331603.92</v>
      </c>
      <c r="AO370" s="598" t="str">
        <f>+VLOOKUP($AJ370,Data_Validation!$A:$D,1,0)</f>
        <v>H13000</v>
      </c>
      <c r="AP370" s="598" t="str">
        <f>+VLOOKUP($AJ370,Data_Validation!$A:$D,3,0)</f>
        <v>Bilan</v>
      </c>
      <c r="AQ370" s="598" t="str">
        <f>+VLOOKUP($AJ370,Data_Validation!$A:$D,4,0)</f>
        <v>Inventaire Véhicules Neufs</v>
      </c>
      <c r="AR370" s="598" t="s">
        <v>299</v>
      </c>
      <c r="AS370" s="598">
        <f>+VLOOKUP($AJ370,Data_Validation!$A:$E,5,0)</f>
        <v>0</v>
      </c>
      <c r="AT370" s="1036" t="str">
        <f t="shared" si="33"/>
        <v>H13000</v>
      </c>
      <c r="AU370" s="599" t="str">
        <f t="shared" si="34"/>
        <v>VEHICULES NEUFS - HYUNDAI</v>
      </c>
      <c r="AV370" s="1030">
        <f>IFERROR(INDEX(V370:AG370,1,MATCH(Parametres!$B$3,V$1:AG$1,0)-1)*IF(OR(C370="L",C370="S",C370="I"),-1,1),"")</f>
        <v>0</v>
      </c>
      <c r="AW370" s="1030">
        <f t="shared" si="35"/>
        <v>0</v>
      </c>
      <c r="AX370" s="1030">
        <f>INDEX(V370:AG370,1,MATCH(Parametres!$B$3,V$1:AG$1,0))*IF(OR(C370="L",C370="S",C370="I"),-1,1)</f>
        <v>0</v>
      </c>
      <c r="AY370" s="598" t="s">
        <v>337</v>
      </c>
      <c r="AZ370" s="598">
        <f>+VLOOKUP($AJ370,Data_Validation!$A:$E,5,0)</f>
        <v>0</v>
      </c>
    </row>
    <row r="371" spans="1:52" ht="15.75" customHeight="1">
      <c r="A371" s="832" t="s">
        <v>1150</v>
      </c>
      <c r="B371" s="832">
        <v>2025</v>
      </c>
      <c r="C371" s="832" t="s">
        <v>1890</v>
      </c>
      <c r="D371" s="832" t="s">
        <v>1891</v>
      </c>
      <c r="E371" s="832" t="s">
        <v>1889</v>
      </c>
      <c r="F371" s="832" t="s">
        <v>1792</v>
      </c>
      <c r="G371" s="832">
        <v>914190.78</v>
      </c>
      <c r="H371" s="832">
        <v>1209324.79</v>
      </c>
      <c r="I371" s="832">
        <v>1403915.98</v>
      </c>
      <c r="J371" s="832">
        <v>988276.05</v>
      </c>
      <c r="K371" s="832">
        <v>808115.21</v>
      </c>
      <c r="L371" s="832">
        <v>1737227.28</v>
      </c>
      <c r="M371" s="832">
        <v>2508888.25</v>
      </c>
      <c r="N371" s="832">
        <v>2970251.81</v>
      </c>
      <c r="O371" s="832">
        <v>4426293.9800000004</v>
      </c>
      <c r="P371" s="832">
        <v>5269705.68</v>
      </c>
      <c r="Q371" s="832">
        <v>5351276.01</v>
      </c>
      <c r="R371" s="832">
        <v>4764949.3099999996</v>
      </c>
      <c r="S371" s="832">
        <v>0</v>
      </c>
      <c r="T371" s="832">
        <v>0</v>
      </c>
      <c r="U371" s="832">
        <v>0</v>
      </c>
      <c r="V371" s="832">
        <v>0</v>
      </c>
      <c r="W371" s="832">
        <v>0</v>
      </c>
      <c r="X371" s="832">
        <v>0</v>
      </c>
      <c r="Y371" s="832">
        <v>0</v>
      </c>
      <c r="Z371" s="832">
        <v>0</v>
      </c>
      <c r="AA371" s="832">
        <v>0</v>
      </c>
      <c r="AB371" s="832">
        <v>0</v>
      </c>
      <c r="AC371" s="832">
        <v>0</v>
      </c>
      <c r="AD371" s="832">
        <v>0</v>
      </c>
      <c r="AE371" s="832">
        <v>0</v>
      </c>
      <c r="AF371" s="832">
        <v>0</v>
      </c>
      <c r="AG371" s="832">
        <v>0</v>
      </c>
      <c r="AH371" s="832">
        <v>0</v>
      </c>
      <c r="AI371" s="832">
        <v>0</v>
      </c>
      <c r="AJ371" s="1030" t="str">
        <f t="shared" si="30"/>
        <v>H13001</v>
      </c>
      <c r="AK371" s="1030" t="str">
        <f t="shared" si="31"/>
        <v>NEUF CAMIONS HYUNDAI</v>
      </c>
      <c r="AL371" s="1030">
        <f>IFERROR(INDEX(G371:R371,1,MATCH(Parametres!$B$3,G$1:R$1,0)-1)*IF(OR(F371="L",F371="S",F371="I"),-1,1),"")</f>
        <v>988276.05</v>
      </c>
      <c r="AM371" s="1030">
        <f t="shared" si="32"/>
        <v>-180160.84000000008</v>
      </c>
      <c r="AN371" s="1030">
        <f>INDEX(G371:R371,1,MATCH(Parametres!$B$3,G$1:R$1,0))*IF(OR(F371="L",F371="S",F371="I"),-1,1)</f>
        <v>808115.21</v>
      </c>
      <c r="AO371" s="598" t="str">
        <f>+VLOOKUP($AJ371,Data_Validation!$A:$D,1,0)</f>
        <v>H13001</v>
      </c>
      <c r="AP371" s="598" t="str">
        <f>+VLOOKUP($AJ371,Data_Validation!$A:$D,3,0)</f>
        <v>Bilan</v>
      </c>
      <c r="AQ371" s="598" t="str">
        <f>+VLOOKUP($AJ371,Data_Validation!$A:$D,4,0)</f>
        <v>Inventaire Véhicules Neufs</v>
      </c>
      <c r="AR371" s="598" t="s">
        <v>299</v>
      </c>
      <c r="AS371" s="598">
        <f>+VLOOKUP($AJ371,Data_Validation!$A:$E,5,0)</f>
        <v>0</v>
      </c>
      <c r="AT371" s="1036" t="str">
        <f t="shared" si="33"/>
        <v>H13001</v>
      </c>
      <c r="AU371" s="599" t="str">
        <f t="shared" si="34"/>
        <v>NEUF CAMIONS HYUNDAI</v>
      </c>
      <c r="AV371" s="1030">
        <f>IFERROR(INDEX(V371:AG371,1,MATCH(Parametres!$B$3,V$1:AG$1,0)-1)*IF(OR(C371="L",C371="S",C371="I"),-1,1),"")</f>
        <v>0</v>
      </c>
      <c r="AW371" s="1030">
        <f t="shared" si="35"/>
        <v>0</v>
      </c>
      <c r="AX371" s="1030">
        <f>INDEX(V371:AG371,1,MATCH(Parametres!$B$3,V$1:AG$1,0))*IF(OR(C371="L",C371="S",C371="I"),-1,1)</f>
        <v>0</v>
      </c>
      <c r="AY371" s="598" t="s">
        <v>337</v>
      </c>
      <c r="AZ371" s="598">
        <f>+VLOOKUP($AJ371,Data_Validation!$A:$E,5,0)</f>
        <v>0</v>
      </c>
    </row>
    <row r="372" spans="1:52" ht="15.75" customHeight="1">
      <c r="A372" s="832" t="s">
        <v>1150</v>
      </c>
      <c r="B372" s="832">
        <v>2025</v>
      </c>
      <c r="C372" s="832" t="s">
        <v>1892</v>
      </c>
      <c r="D372" s="832" t="s">
        <v>1893</v>
      </c>
      <c r="E372" s="832" t="s">
        <v>1889</v>
      </c>
      <c r="F372" s="832" t="s">
        <v>1792</v>
      </c>
      <c r="G372" s="832">
        <v>5195537.6500000004</v>
      </c>
      <c r="H372" s="832">
        <v>6322530</v>
      </c>
      <c r="I372" s="832">
        <v>7933545.6699999999</v>
      </c>
      <c r="J372" s="832">
        <v>5721743.2800000003</v>
      </c>
      <c r="K372" s="832">
        <v>4735101.28</v>
      </c>
      <c r="L372" s="832">
        <v>4325002.1500000004</v>
      </c>
      <c r="M372" s="832">
        <v>4809885.8899999997</v>
      </c>
      <c r="N372" s="832">
        <v>4276325.49</v>
      </c>
      <c r="O372" s="832">
        <v>3872659.93</v>
      </c>
      <c r="P372" s="832">
        <v>2742355.91</v>
      </c>
      <c r="Q372" s="832">
        <v>2321149.39</v>
      </c>
      <c r="R372" s="832">
        <v>1289858.8600000001</v>
      </c>
      <c r="S372" s="832">
        <v>0</v>
      </c>
      <c r="T372" s="832">
        <v>0</v>
      </c>
      <c r="U372" s="832">
        <v>0</v>
      </c>
      <c r="V372" s="832">
        <v>0</v>
      </c>
      <c r="W372" s="832">
        <v>0</v>
      </c>
      <c r="X372" s="832">
        <v>0</v>
      </c>
      <c r="Y372" s="832">
        <v>0</v>
      </c>
      <c r="Z372" s="832">
        <v>0</v>
      </c>
      <c r="AA372" s="832">
        <v>0</v>
      </c>
      <c r="AB372" s="832">
        <v>0</v>
      </c>
      <c r="AC372" s="832">
        <v>0</v>
      </c>
      <c r="AD372" s="832">
        <v>0</v>
      </c>
      <c r="AE372" s="832">
        <v>0</v>
      </c>
      <c r="AF372" s="832">
        <v>0</v>
      </c>
      <c r="AG372" s="832">
        <v>0</v>
      </c>
      <c r="AH372" s="832">
        <v>0</v>
      </c>
      <c r="AI372" s="832">
        <v>0</v>
      </c>
      <c r="AJ372" s="1030" t="str">
        <f t="shared" si="30"/>
        <v>H13003</v>
      </c>
      <c r="AK372" s="1030" t="str">
        <f t="shared" si="31"/>
        <v>VEH. VERT HYUNDAI</v>
      </c>
      <c r="AL372" s="1030">
        <f>IFERROR(INDEX(G372:R372,1,MATCH(Parametres!$B$3,G$1:R$1,0)-1)*IF(OR(F372="L",F372="S",F372="I"),-1,1),"")</f>
        <v>5721743.2800000003</v>
      </c>
      <c r="AM372" s="1030">
        <f t="shared" si="32"/>
        <v>-986642</v>
      </c>
      <c r="AN372" s="1030">
        <f>INDEX(G372:R372,1,MATCH(Parametres!$B$3,G$1:R$1,0))*IF(OR(F372="L",F372="S",F372="I"),-1,1)</f>
        <v>4735101.28</v>
      </c>
      <c r="AO372" s="598" t="str">
        <f>+VLOOKUP($AJ372,Data_Validation!$A:$D,1,0)</f>
        <v>H13003</v>
      </c>
      <c r="AP372" s="598" t="str">
        <f>+VLOOKUP($AJ372,Data_Validation!$A:$D,3,0)</f>
        <v>Bilan</v>
      </c>
      <c r="AQ372" s="598" t="str">
        <f>+VLOOKUP($AJ372,Data_Validation!$A:$D,4,0)</f>
        <v>Inventaire Véhicules Neufs</v>
      </c>
      <c r="AR372" s="598" t="s">
        <v>299</v>
      </c>
      <c r="AS372" s="598">
        <f>+VLOOKUP($AJ372,Data_Validation!$A:$E,5,0)</f>
        <v>0</v>
      </c>
      <c r="AT372" s="1036" t="str">
        <f t="shared" si="33"/>
        <v>H13003</v>
      </c>
      <c r="AU372" s="599" t="str">
        <f t="shared" si="34"/>
        <v>VEH. VERT HYUNDAI</v>
      </c>
      <c r="AV372" s="1030">
        <f>IFERROR(INDEX(V372:AG372,1,MATCH(Parametres!$B$3,V$1:AG$1,0)-1)*IF(OR(C372="L",C372="S",C372="I"),-1,1),"")</f>
        <v>0</v>
      </c>
      <c r="AW372" s="1030">
        <f t="shared" si="35"/>
        <v>0</v>
      </c>
      <c r="AX372" s="1030">
        <f>INDEX(V372:AG372,1,MATCH(Parametres!$B$3,V$1:AG$1,0))*IF(OR(C372="L",C372="S",C372="I"),-1,1)</f>
        <v>0</v>
      </c>
      <c r="AY372" s="598" t="s">
        <v>337</v>
      </c>
      <c r="AZ372" s="598">
        <f>+VLOOKUP($AJ372,Data_Validation!$A:$E,5,0)</f>
        <v>0</v>
      </c>
    </row>
    <row r="373" spans="1:52" ht="15.75" customHeight="1">
      <c r="A373" s="832" t="s">
        <v>1150</v>
      </c>
      <c r="B373" s="832">
        <v>2025</v>
      </c>
      <c r="C373" s="832" t="s">
        <v>1894</v>
      </c>
      <c r="D373" s="832" t="s">
        <v>1895</v>
      </c>
      <c r="E373" s="832" t="s">
        <v>1889</v>
      </c>
      <c r="F373" s="832" t="s">
        <v>1792</v>
      </c>
      <c r="G373" s="832">
        <v>0</v>
      </c>
      <c r="H373" s="832">
        <v>0</v>
      </c>
      <c r="I373" s="832">
        <v>0</v>
      </c>
      <c r="J373" s="832">
        <v>0</v>
      </c>
      <c r="K373" s="832">
        <v>0</v>
      </c>
      <c r="L373" s="832">
        <v>0</v>
      </c>
      <c r="M373" s="832">
        <v>0</v>
      </c>
      <c r="N373" s="832">
        <v>0</v>
      </c>
      <c r="O373" s="832">
        <v>0</v>
      </c>
      <c r="P373" s="832">
        <v>0</v>
      </c>
      <c r="Q373" s="832">
        <v>0</v>
      </c>
      <c r="R373" s="832">
        <v>0</v>
      </c>
      <c r="S373" s="832">
        <v>0</v>
      </c>
      <c r="T373" s="832">
        <v>0</v>
      </c>
      <c r="U373" s="832">
        <v>0</v>
      </c>
      <c r="V373" s="832">
        <v>0</v>
      </c>
      <c r="W373" s="832">
        <v>0</v>
      </c>
      <c r="X373" s="832">
        <v>0</v>
      </c>
      <c r="Y373" s="832">
        <v>0</v>
      </c>
      <c r="Z373" s="832">
        <v>0</v>
      </c>
      <c r="AA373" s="832">
        <v>0</v>
      </c>
      <c r="AB373" s="832">
        <v>0</v>
      </c>
      <c r="AC373" s="832">
        <v>0</v>
      </c>
      <c r="AD373" s="832">
        <v>0</v>
      </c>
      <c r="AE373" s="832">
        <v>0</v>
      </c>
      <c r="AF373" s="832">
        <v>0</v>
      </c>
      <c r="AG373" s="832">
        <v>0</v>
      </c>
      <c r="AH373" s="832">
        <v>0</v>
      </c>
      <c r="AI373" s="832">
        <v>0</v>
      </c>
      <c r="AJ373" s="1030" t="str">
        <f t="shared" si="30"/>
        <v>H13100</v>
      </c>
      <c r="AK373" s="1030" t="str">
        <f t="shared" si="31"/>
        <v>VEHICULES NEUFS AUTRES</v>
      </c>
      <c r="AL373" s="1030">
        <f>IFERROR(INDEX(G373:R373,1,MATCH(Parametres!$B$3,G$1:R$1,0)-1)*IF(OR(F373="L",F373="S",F373="I"),-1,1),"")</f>
        <v>0</v>
      </c>
      <c r="AM373" s="1030">
        <f t="shared" si="32"/>
        <v>0</v>
      </c>
      <c r="AN373" s="1030">
        <f>INDEX(G373:R373,1,MATCH(Parametres!$B$3,G$1:R$1,0))*IF(OR(F373="L",F373="S",F373="I"),-1,1)</f>
        <v>0</v>
      </c>
      <c r="AO373" s="598" t="str">
        <f>+VLOOKUP($AJ373,Data_Validation!$A:$D,1,0)</f>
        <v>H13100</v>
      </c>
      <c r="AP373" s="598" t="str">
        <f>+VLOOKUP($AJ373,Data_Validation!$A:$D,3,0)</f>
        <v>Bilan</v>
      </c>
      <c r="AQ373" s="598" t="str">
        <f>+VLOOKUP($AJ373,Data_Validation!$A:$D,4,0)</f>
        <v>Inventaire Véhicules Neufs</v>
      </c>
      <c r="AR373" s="598" t="s">
        <v>299</v>
      </c>
      <c r="AS373" s="598">
        <f>+VLOOKUP($AJ373,Data_Validation!$A:$E,5,0)</f>
        <v>0</v>
      </c>
      <c r="AT373" s="1036" t="str">
        <f t="shared" si="33"/>
        <v>H13100</v>
      </c>
      <c r="AU373" s="599" t="str">
        <f t="shared" si="34"/>
        <v>VEHICULES NEUFS AUTRES</v>
      </c>
      <c r="AV373" s="1030">
        <f>IFERROR(INDEX(V373:AG373,1,MATCH(Parametres!$B$3,V$1:AG$1,0)-1)*IF(OR(C373="L",C373="S",C373="I"),-1,1),"")</f>
        <v>0</v>
      </c>
      <c r="AW373" s="1030">
        <f t="shared" si="35"/>
        <v>0</v>
      </c>
      <c r="AX373" s="1030">
        <f>INDEX(V373:AG373,1,MATCH(Parametres!$B$3,V$1:AG$1,0))*IF(OR(C373="L",C373="S",C373="I"),-1,1)</f>
        <v>0</v>
      </c>
      <c r="AY373" s="598" t="s">
        <v>337</v>
      </c>
      <c r="AZ373" s="598">
        <f>+VLOOKUP($AJ373,Data_Validation!$A:$E,5,0)</f>
        <v>0</v>
      </c>
    </row>
    <row r="374" spans="1:52" ht="15.75" customHeight="1">
      <c r="A374" s="832" t="s">
        <v>1150</v>
      </c>
      <c r="B374" s="832">
        <v>2025</v>
      </c>
      <c r="C374" s="832" t="s">
        <v>1896</v>
      </c>
      <c r="D374" s="832" t="s">
        <v>1897</v>
      </c>
      <c r="E374" s="832" t="s">
        <v>1889</v>
      </c>
      <c r="F374" s="832" t="s">
        <v>1792</v>
      </c>
      <c r="G374" s="832">
        <v>287439.53999999998</v>
      </c>
      <c r="H374" s="832">
        <v>287439.53999999998</v>
      </c>
      <c r="I374" s="832">
        <v>288226.63</v>
      </c>
      <c r="J374" s="832">
        <v>172509.35</v>
      </c>
      <c r="K374" s="832">
        <v>178965.05</v>
      </c>
      <c r="L374" s="832">
        <v>153786.12</v>
      </c>
      <c r="M374" s="832">
        <v>153786.12</v>
      </c>
      <c r="N374" s="832">
        <v>153864.35</v>
      </c>
      <c r="O374" s="832">
        <v>153038.01999999999</v>
      </c>
      <c r="P374" s="832">
        <v>159620.74</v>
      </c>
      <c r="Q374" s="832">
        <v>148707.63</v>
      </c>
      <c r="R374" s="832">
        <v>148707.63</v>
      </c>
      <c r="S374" s="832">
        <v>0</v>
      </c>
      <c r="T374" s="832">
        <v>0</v>
      </c>
      <c r="U374" s="832">
        <v>0</v>
      </c>
      <c r="V374" s="832">
        <v>0</v>
      </c>
      <c r="W374" s="832">
        <v>0</v>
      </c>
      <c r="X374" s="832">
        <v>0</v>
      </c>
      <c r="Y374" s="832">
        <v>0</v>
      </c>
      <c r="Z374" s="832">
        <v>0</v>
      </c>
      <c r="AA374" s="832">
        <v>0</v>
      </c>
      <c r="AB374" s="832">
        <v>0</v>
      </c>
      <c r="AC374" s="832">
        <v>0</v>
      </c>
      <c r="AD374" s="832">
        <v>0</v>
      </c>
      <c r="AE374" s="832">
        <v>0</v>
      </c>
      <c r="AF374" s="832">
        <v>0</v>
      </c>
      <c r="AG374" s="832">
        <v>0</v>
      </c>
      <c r="AH374" s="832">
        <v>0</v>
      </c>
      <c r="AI374" s="832">
        <v>0</v>
      </c>
      <c r="AJ374" s="1030" t="str">
        <f t="shared" si="30"/>
        <v>H13600</v>
      </c>
      <c r="AK374" s="1030" t="str">
        <f t="shared" si="31"/>
        <v>DEMONSTRATEUR - HYUNDAI</v>
      </c>
      <c r="AL374" s="1030">
        <f>IFERROR(INDEX(G374:R374,1,MATCH(Parametres!$B$3,G$1:R$1,0)-1)*IF(OR(F374="L",F374="S",F374="I"),-1,1),"")</f>
        <v>172509.35</v>
      </c>
      <c r="AM374" s="1030">
        <f t="shared" si="32"/>
        <v>6455.6999999999825</v>
      </c>
      <c r="AN374" s="1030">
        <f>INDEX(G374:R374,1,MATCH(Parametres!$B$3,G$1:R$1,0))*IF(OR(F374="L",F374="S",F374="I"),-1,1)</f>
        <v>178965.05</v>
      </c>
      <c r="AO374" s="598" t="str">
        <f>+VLOOKUP($AJ374,Data_Validation!$A:$D,1,0)</f>
        <v>H13600</v>
      </c>
      <c r="AP374" s="598" t="str">
        <f>+VLOOKUP($AJ374,Data_Validation!$A:$D,3,0)</f>
        <v>Bilan</v>
      </c>
      <c r="AQ374" s="598" t="str">
        <f>+VLOOKUP($AJ374,Data_Validation!$A:$D,4,0)</f>
        <v>Inventaire Véhicules Neufs</v>
      </c>
      <c r="AR374" s="598" t="s">
        <v>299</v>
      </c>
      <c r="AS374" s="598">
        <f>+VLOOKUP($AJ374,Data_Validation!$A:$E,5,0)</f>
        <v>0</v>
      </c>
      <c r="AT374" s="1036" t="str">
        <f t="shared" si="33"/>
        <v>H13600</v>
      </c>
      <c r="AU374" s="599" t="str">
        <f t="shared" si="34"/>
        <v>DEMONSTRATEUR - HYUNDAI</v>
      </c>
      <c r="AV374" s="1030">
        <f>IFERROR(INDEX(V374:AG374,1,MATCH(Parametres!$B$3,V$1:AG$1,0)-1)*IF(OR(C374="L",C374="S",C374="I"),-1,1),"")</f>
        <v>0</v>
      </c>
      <c r="AW374" s="1030">
        <f t="shared" si="35"/>
        <v>0</v>
      </c>
      <c r="AX374" s="1030">
        <f>INDEX(V374:AG374,1,MATCH(Parametres!$B$3,V$1:AG$1,0))*IF(OR(C374="L",C374="S",C374="I"),-1,1)</f>
        <v>0</v>
      </c>
      <c r="AY374" s="598" t="s">
        <v>337</v>
      </c>
      <c r="AZ374" s="598">
        <f>+VLOOKUP($AJ374,Data_Validation!$A:$E,5,0)</f>
        <v>0</v>
      </c>
    </row>
    <row r="375" spans="1:52" ht="15.75" customHeight="1">
      <c r="A375" s="832" t="s">
        <v>1150</v>
      </c>
      <c r="B375" s="832">
        <v>2025</v>
      </c>
      <c r="C375" s="832" t="s">
        <v>1898</v>
      </c>
      <c r="D375" s="832" t="s">
        <v>1899</v>
      </c>
      <c r="E375" s="832" t="s">
        <v>1889</v>
      </c>
      <c r="F375" s="832" t="s">
        <v>1792</v>
      </c>
      <c r="G375" s="832">
        <v>0</v>
      </c>
      <c r="H375" s="832">
        <v>0</v>
      </c>
      <c r="I375" s="832">
        <v>0</v>
      </c>
      <c r="J375" s="832">
        <v>0</v>
      </c>
      <c r="K375" s="832">
        <v>0</v>
      </c>
      <c r="L375" s="832">
        <v>0</v>
      </c>
      <c r="M375" s="832">
        <v>0</v>
      </c>
      <c r="N375" s="832">
        <v>0</v>
      </c>
      <c r="O375" s="832">
        <v>0</v>
      </c>
      <c r="P375" s="832">
        <v>0</v>
      </c>
      <c r="Q375" s="832">
        <v>0</v>
      </c>
      <c r="R375" s="832">
        <v>0</v>
      </c>
      <c r="S375" s="832">
        <v>0</v>
      </c>
      <c r="T375" s="832">
        <v>0</v>
      </c>
      <c r="U375" s="832">
        <v>0</v>
      </c>
      <c r="V375" s="832">
        <v>0</v>
      </c>
      <c r="W375" s="832">
        <v>0</v>
      </c>
      <c r="X375" s="832">
        <v>0</v>
      </c>
      <c r="Y375" s="832">
        <v>0</v>
      </c>
      <c r="Z375" s="832">
        <v>0</v>
      </c>
      <c r="AA375" s="832">
        <v>0</v>
      </c>
      <c r="AB375" s="832">
        <v>0</v>
      </c>
      <c r="AC375" s="832">
        <v>0</v>
      </c>
      <c r="AD375" s="832">
        <v>0</v>
      </c>
      <c r="AE375" s="832">
        <v>0</v>
      </c>
      <c r="AF375" s="832">
        <v>0</v>
      </c>
      <c r="AG375" s="832">
        <v>0</v>
      </c>
      <c r="AH375" s="832">
        <v>0</v>
      </c>
      <c r="AI375" s="832">
        <v>0</v>
      </c>
      <c r="AJ375" s="1030" t="str">
        <f t="shared" si="30"/>
        <v>H13700</v>
      </c>
      <c r="AK375" s="1030" t="str">
        <f t="shared" si="31"/>
        <v>VEHICULES LOUE A L/T</v>
      </c>
      <c r="AL375" s="1030">
        <f>IFERROR(INDEX(G375:R375,1,MATCH(Parametres!$B$3,G$1:R$1,0)-1)*IF(OR(F375="L",F375="S",F375="I"),-1,1),"")</f>
        <v>0</v>
      </c>
      <c r="AM375" s="1030">
        <f t="shared" si="32"/>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t="str">
        <f t="shared" si="33"/>
        <v>H13700</v>
      </c>
      <c r="AU375" s="599" t="str">
        <f t="shared" si="34"/>
        <v>VEHICULES LOUE A L/T</v>
      </c>
      <c r="AV375" s="1030">
        <f>IFERROR(INDEX(V375:AG375,1,MATCH(Parametres!$B$3,V$1:AG$1,0)-1)*IF(OR(C375="L",C375="S",C375="I"),-1,1),"")</f>
        <v>0</v>
      </c>
      <c r="AW375" s="1030">
        <f t="shared" si="35"/>
        <v>0</v>
      </c>
      <c r="AX375" s="1030">
        <f>INDEX(V375:AG375,1,MATCH(Parametres!$B$3,V$1:AG$1,0))*IF(OR(C375="L",C375="S",C375="I"),-1,1)</f>
        <v>0</v>
      </c>
      <c r="AY375" s="598" t="s">
        <v>337</v>
      </c>
      <c r="AZ375" s="598" t="e">
        <f>+VLOOKUP($AJ375,Data_Validation!$A:$E,5,0)</f>
        <v>#N/A</v>
      </c>
    </row>
    <row r="376" spans="1:52" ht="15.75" customHeight="1">
      <c r="A376" s="832" t="s">
        <v>1150</v>
      </c>
      <c r="B376" s="832">
        <v>2025</v>
      </c>
      <c r="C376" s="832" t="s">
        <v>1900</v>
      </c>
      <c r="D376" s="832" t="s">
        <v>1901</v>
      </c>
      <c r="E376" s="832" t="s">
        <v>1889</v>
      </c>
      <c r="F376" s="832" t="s">
        <v>1792</v>
      </c>
      <c r="G376" s="832">
        <v>420958.11</v>
      </c>
      <c r="H376" s="832">
        <v>289639.31</v>
      </c>
      <c r="I376" s="832">
        <v>231919.1</v>
      </c>
      <c r="J376" s="832">
        <v>163287.32</v>
      </c>
      <c r="K376" s="832">
        <v>324406</v>
      </c>
      <c r="L376" s="832">
        <v>232456.67</v>
      </c>
      <c r="M376" s="832">
        <v>95531.51</v>
      </c>
      <c r="N376" s="832">
        <v>229216.64000000001</v>
      </c>
      <c r="O376" s="832">
        <v>242742.71</v>
      </c>
      <c r="P376" s="832">
        <v>326334.90999999997</v>
      </c>
      <c r="Q376" s="832">
        <v>433344.3</v>
      </c>
      <c r="R376" s="832">
        <v>679145.48</v>
      </c>
      <c r="S376" s="832">
        <v>0</v>
      </c>
      <c r="T376" s="832">
        <v>0</v>
      </c>
      <c r="U376" s="832">
        <v>0</v>
      </c>
      <c r="V376" s="832">
        <v>0</v>
      </c>
      <c r="W376" s="832">
        <v>0</v>
      </c>
      <c r="X376" s="832">
        <v>0</v>
      </c>
      <c r="Y376" s="832">
        <v>0</v>
      </c>
      <c r="Z376" s="832">
        <v>0</v>
      </c>
      <c r="AA376" s="832">
        <v>0</v>
      </c>
      <c r="AB376" s="832">
        <v>0</v>
      </c>
      <c r="AC376" s="832">
        <v>0</v>
      </c>
      <c r="AD376" s="832">
        <v>0</v>
      </c>
      <c r="AE376" s="832">
        <v>0</v>
      </c>
      <c r="AF376" s="832">
        <v>0</v>
      </c>
      <c r="AG376" s="832">
        <v>0</v>
      </c>
      <c r="AH376" s="832">
        <v>0</v>
      </c>
      <c r="AI376" s="832">
        <v>0</v>
      </c>
      <c r="AJ376" s="1030" t="str">
        <f t="shared" si="30"/>
        <v>H13800</v>
      </c>
      <c r="AK376" s="1030" t="str">
        <f t="shared" si="31"/>
        <v>VEHICULES D OCCASSION</v>
      </c>
      <c r="AL376" s="1030">
        <f>IFERROR(INDEX(G376:R376,1,MATCH(Parametres!$B$3,G$1:R$1,0)-1)*IF(OR(F376="L",F376="S",F376="I"),-1,1),"")</f>
        <v>163287.32</v>
      </c>
      <c r="AM376" s="1030">
        <f t="shared" si="32"/>
        <v>161118.68</v>
      </c>
      <c r="AN376" s="1030">
        <f>INDEX(G376:R376,1,MATCH(Parametres!$B$3,G$1:R$1,0))*IF(OR(F376="L",F376="S",F376="I"),-1,1)</f>
        <v>324406</v>
      </c>
      <c r="AO376" s="598" t="str">
        <f>+VLOOKUP($AJ376,Data_Validation!$A:$D,1,0)</f>
        <v>H13800</v>
      </c>
      <c r="AP376" s="598" t="str">
        <f>+VLOOKUP($AJ376,Data_Validation!$A:$D,3,0)</f>
        <v>Bilan</v>
      </c>
      <c r="AQ376" s="598" t="str">
        <f>+VLOOKUP($AJ376,Data_Validation!$A:$D,4,0)</f>
        <v>Inventaire Véhicules Usagés</v>
      </c>
      <c r="AR376" s="598" t="s">
        <v>299</v>
      </c>
      <c r="AS376" s="598">
        <f>+VLOOKUP($AJ376,Data_Validation!$A:$E,5,0)</f>
        <v>0</v>
      </c>
      <c r="AT376" s="1036" t="str">
        <f t="shared" si="33"/>
        <v>H13800</v>
      </c>
      <c r="AU376" s="599" t="str">
        <f t="shared" si="34"/>
        <v>VEHICULES D OCCASSION</v>
      </c>
      <c r="AV376" s="1030">
        <f>IFERROR(INDEX(V376:AG376,1,MATCH(Parametres!$B$3,V$1:AG$1,0)-1)*IF(OR(C376="L",C376="S",C376="I"),-1,1),"")</f>
        <v>0</v>
      </c>
      <c r="AW376" s="1030">
        <f t="shared" si="35"/>
        <v>0</v>
      </c>
      <c r="AX376" s="1030">
        <f>INDEX(V376:AG376,1,MATCH(Parametres!$B$3,V$1:AG$1,0))*IF(OR(C376="L",C376="S",C376="I"),-1,1)</f>
        <v>0</v>
      </c>
      <c r="AY376" s="598" t="s">
        <v>337</v>
      </c>
      <c r="AZ376" s="598">
        <f>+VLOOKUP($AJ376,Data_Validation!$A:$E,5,0)</f>
        <v>0</v>
      </c>
    </row>
    <row r="377" spans="1:52" ht="15.75" customHeight="1">
      <c r="A377" s="832" t="s">
        <v>1150</v>
      </c>
      <c r="B377" s="832">
        <v>2025</v>
      </c>
      <c r="C377" s="832" t="s">
        <v>1902</v>
      </c>
      <c r="D377" s="832" t="s">
        <v>1903</v>
      </c>
      <c r="E377" s="832" t="s">
        <v>1889</v>
      </c>
      <c r="F377" s="832" t="s">
        <v>1792</v>
      </c>
      <c r="G377" s="832">
        <v>84691</v>
      </c>
      <c r="H377" s="832">
        <v>50931.88</v>
      </c>
      <c r="I377" s="832">
        <v>80804.149999999994</v>
      </c>
      <c r="J377" s="832">
        <v>190725.97</v>
      </c>
      <c r="K377" s="832">
        <v>48331.88</v>
      </c>
      <c r="L377" s="832">
        <v>44793.7</v>
      </c>
      <c r="M377" s="832">
        <v>99931.88</v>
      </c>
      <c r="N377" s="832">
        <v>149908.60999999999</v>
      </c>
      <c r="O377" s="832">
        <v>63599.45</v>
      </c>
      <c r="P377" s="832">
        <v>59146.39</v>
      </c>
      <c r="Q377" s="832">
        <v>71872.69</v>
      </c>
      <c r="R377" s="832">
        <v>124590.01</v>
      </c>
      <c r="S377" s="832">
        <v>0</v>
      </c>
      <c r="T377" s="832">
        <v>0</v>
      </c>
      <c r="U377" s="832">
        <v>0</v>
      </c>
      <c r="V377" s="832">
        <v>0</v>
      </c>
      <c r="W377" s="832">
        <v>0</v>
      </c>
      <c r="X377" s="832">
        <v>0</v>
      </c>
      <c r="Y377" s="832">
        <v>0</v>
      </c>
      <c r="Z377" s="832">
        <v>0</v>
      </c>
      <c r="AA377" s="832">
        <v>0</v>
      </c>
      <c r="AB377" s="832">
        <v>0</v>
      </c>
      <c r="AC377" s="832">
        <v>0</v>
      </c>
      <c r="AD377" s="832">
        <v>0</v>
      </c>
      <c r="AE377" s="832">
        <v>0</v>
      </c>
      <c r="AF377" s="832">
        <v>0</v>
      </c>
      <c r="AG377" s="832">
        <v>0</v>
      </c>
      <c r="AH377" s="832">
        <v>0</v>
      </c>
      <c r="AI377" s="832">
        <v>0</v>
      </c>
      <c r="AJ377" s="1030" t="str">
        <f t="shared" si="30"/>
        <v>H13801</v>
      </c>
      <c r="AK377" s="1030" t="str">
        <f t="shared" si="31"/>
        <v>VEHICULES OCC AUTRES</v>
      </c>
      <c r="AL377" s="1030">
        <f>IFERROR(INDEX(G377:R377,1,MATCH(Parametres!$B$3,G$1:R$1,0)-1)*IF(OR(F377="L",F377="S",F377="I"),-1,1),"")</f>
        <v>190725.97</v>
      </c>
      <c r="AM377" s="1030">
        <f t="shared" si="32"/>
        <v>-142394.09</v>
      </c>
      <c r="AN377" s="1030">
        <f>INDEX(G377:R377,1,MATCH(Parametres!$B$3,G$1:R$1,0))*IF(OR(F377="L",F377="S",F377="I"),-1,1)</f>
        <v>48331.88</v>
      </c>
      <c r="AO377" s="598" t="str">
        <f>+VLOOKUP($AJ377,Data_Validation!$A:$D,1,0)</f>
        <v>H13801</v>
      </c>
      <c r="AP377" s="598" t="str">
        <f>+VLOOKUP($AJ377,Data_Validation!$A:$D,3,0)</f>
        <v>Bilan</v>
      </c>
      <c r="AQ377" s="598" t="str">
        <f>+VLOOKUP($AJ377,Data_Validation!$A:$D,4,0)</f>
        <v>Inventaire Véhicules Usagés</v>
      </c>
      <c r="AR377" s="598" t="s">
        <v>299</v>
      </c>
      <c r="AS377" s="598">
        <f>+VLOOKUP($AJ377,Data_Validation!$A:$E,5,0)</f>
        <v>0</v>
      </c>
      <c r="AT377" s="1036" t="str">
        <f t="shared" si="33"/>
        <v>H13801</v>
      </c>
      <c r="AU377" s="599" t="str">
        <f t="shared" si="34"/>
        <v>VEHICULES OCC AUTRES</v>
      </c>
      <c r="AV377" s="1030">
        <f>IFERROR(INDEX(V377:AG377,1,MATCH(Parametres!$B$3,V$1:AG$1,0)-1)*IF(OR(C377="L",C377="S",C377="I"),-1,1),"")</f>
        <v>0</v>
      </c>
      <c r="AW377" s="1030">
        <f t="shared" si="35"/>
        <v>0</v>
      </c>
      <c r="AX377" s="1030">
        <f>INDEX(V377:AG377,1,MATCH(Parametres!$B$3,V$1:AG$1,0))*IF(OR(C377="L",C377="S",C377="I"),-1,1)</f>
        <v>0</v>
      </c>
      <c r="AY377" s="598" t="s">
        <v>337</v>
      </c>
      <c r="AZ377" s="598">
        <f>+VLOOKUP($AJ377,Data_Validation!$A:$E,5,0)</f>
        <v>0</v>
      </c>
    </row>
    <row r="378" spans="1:52" ht="15.75" customHeight="1">
      <c r="A378" s="832" t="s">
        <v>1150</v>
      </c>
      <c r="B378" s="832">
        <v>2025</v>
      </c>
      <c r="C378" s="832" t="s">
        <v>1904</v>
      </c>
      <c r="D378" s="832" t="s">
        <v>1905</v>
      </c>
      <c r="E378" s="832" t="s">
        <v>1889</v>
      </c>
      <c r="F378" s="832" t="s">
        <v>1792</v>
      </c>
      <c r="G378" s="832">
        <v>0</v>
      </c>
      <c r="H378" s="832">
        <v>0</v>
      </c>
      <c r="I378" s="832">
        <v>0</v>
      </c>
      <c r="J378" s="832">
        <v>0</v>
      </c>
      <c r="K378" s="832">
        <v>0</v>
      </c>
      <c r="L378" s="832">
        <v>0</v>
      </c>
      <c r="M378" s="832">
        <v>0</v>
      </c>
      <c r="N378" s="832">
        <v>0</v>
      </c>
      <c r="O378" s="832">
        <v>0</v>
      </c>
      <c r="P378" s="832">
        <v>0</v>
      </c>
      <c r="Q378" s="832">
        <v>0</v>
      </c>
      <c r="R378" s="832">
        <v>0</v>
      </c>
      <c r="S378" s="832">
        <v>0</v>
      </c>
      <c r="T378" s="832">
        <v>0</v>
      </c>
      <c r="U378" s="832">
        <v>0</v>
      </c>
      <c r="V378" s="832">
        <v>0</v>
      </c>
      <c r="W378" s="832">
        <v>0</v>
      </c>
      <c r="X378" s="832">
        <v>0</v>
      </c>
      <c r="Y378" s="832">
        <v>0</v>
      </c>
      <c r="Z378" s="832">
        <v>0</v>
      </c>
      <c r="AA378" s="832">
        <v>0</v>
      </c>
      <c r="AB378" s="832">
        <v>0</v>
      </c>
      <c r="AC378" s="832">
        <v>0</v>
      </c>
      <c r="AD378" s="832">
        <v>0</v>
      </c>
      <c r="AE378" s="832">
        <v>0</v>
      </c>
      <c r="AF378" s="832">
        <v>0</v>
      </c>
      <c r="AG378" s="832">
        <v>0</v>
      </c>
      <c r="AH378" s="832">
        <v>0</v>
      </c>
      <c r="AI378" s="832">
        <v>0</v>
      </c>
      <c r="AJ378" s="1030" t="str">
        <f t="shared" si="30"/>
        <v>H13802</v>
      </c>
      <c r="AK378" s="1030" t="str">
        <f t="shared" si="31"/>
        <v>VEHICULES OCC CERTIF HYUN</v>
      </c>
      <c r="AL378" s="1030">
        <f>IFERROR(INDEX(G378:R378,1,MATCH(Parametres!$B$3,G$1:R$1,0)-1)*IF(OR(F378="L",F378="S",F378="I"),-1,1),"")</f>
        <v>0</v>
      </c>
      <c r="AM378" s="1030">
        <f t="shared" si="32"/>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t="str">
        <f t="shared" si="33"/>
        <v>H13802</v>
      </c>
      <c r="AU378" s="599" t="str">
        <f t="shared" si="34"/>
        <v>VEHICULES OCC CERTIF HYUN</v>
      </c>
      <c r="AV378" s="1030">
        <f>IFERROR(INDEX(V378:AG378,1,MATCH(Parametres!$B$3,V$1:AG$1,0)-1)*IF(OR(C378="L",C378="S",C378="I"),-1,1),"")</f>
        <v>0</v>
      </c>
      <c r="AW378" s="1030">
        <f t="shared" si="35"/>
        <v>0</v>
      </c>
      <c r="AX378" s="1030">
        <f>INDEX(V378:AG378,1,MATCH(Parametres!$B$3,V$1:AG$1,0))*IF(OR(C378="L",C378="S",C378="I"),-1,1)</f>
        <v>0</v>
      </c>
      <c r="AY378" s="598" t="s">
        <v>337</v>
      </c>
      <c r="AZ378" s="598" t="e">
        <f>+VLOOKUP($AJ378,Data_Validation!$A:$E,5,0)</f>
        <v>#N/A</v>
      </c>
    </row>
    <row r="379" spans="1:52" ht="15.75" customHeight="1">
      <c r="A379" s="832" t="s">
        <v>1150</v>
      </c>
      <c r="B379" s="832">
        <v>2025</v>
      </c>
      <c r="C379" s="832" t="s">
        <v>1906</v>
      </c>
      <c r="D379" s="832" t="s">
        <v>1907</v>
      </c>
      <c r="E379" s="832" t="s">
        <v>1889</v>
      </c>
      <c r="F379" s="832" t="s">
        <v>1792</v>
      </c>
      <c r="G379" s="832">
        <v>660162.22</v>
      </c>
      <c r="H379" s="832">
        <v>694680.87</v>
      </c>
      <c r="I379" s="832">
        <v>770810.08</v>
      </c>
      <c r="J379" s="832">
        <v>444414.37</v>
      </c>
      <c r="K379" s="832">
        <v>447843.8</v>
      </c>
      <c r="L379" s="832">
        <v>382674.83</v>
      </c>
      <c r="M379" s="832">
        <v>416724.56</v>
      </c>
      <c r="N379" s="832">
        <v>417580.2</v>
      </c>
      <c r="O379" s="832">
        <v>426281.11</v>
      </c>
      <c r="P379" s="832">
        <v>480294.41</v>
      </c>
      <c r="Q379" s="832">
        <v>620232.93999999994</v>
      </c>
      <c r="R379" s="832">
        <v>648619.4</v>
      </c>
      <c r="S379" s="832">
        <v>0</v>
      </c>
      <c r="T379" s="832">
        <v>0</v>
      </c>
      <c r="U379" s="832">
        <v>0</v>
      </c>
      <c r="V379" s="832">
        <v>0</v>
      </c>
      <c r="W379" s="832">
        <v>0</v>
      </c>
      <c r="X379" s="832">
        <v>0</v>
      </c>
      <c r="Y379" s="832">
        <v>0</v>
      </c>
      <c r="Z379" s="832">
        <v>0</v>
      </c>
      <c r="AA379" s="832">
        <v>0</v>
      </c>
      <c r="AB379" s="832">
        <v>0</v>
      </c>
      <c r="AC379" s="832">
        <v>0</v>
      </c>
      <c r="AD379" s="832">
        <v>0</v>
      </c>
      <c r="AE379" s="832">
        <v>0</v>
      </c>
      <c r="AF379" s="832">
        <v>0</v>
      </c>
      <c r="AG379" s="832">
        <v>0</v>
      </c>
      <c r="AH379" s="832">
        <v>0</v>
      </c>
      <c r="AI379" s="832">
        <v>0</v>
      </c>
      <c r="AJ379" s="1030" t="str">
        <f t="shared" si="30"/>
        <v>H13900</v>
      </c>
      <c r="AK379" s="1030" t="str">
        <f t="shared" si="31"/>
        <v>VEHICULE LOCATION A C.T</v>
      </c>
      <c r="AL379" s="1030">
        <f>IFERROR(INDEX(G379:R379,1,MATCH(Parametres!$B$3,G$1:R$1,0)-1)*IF(OR(F379="L",F379="S",F379="I"),-1,1),"")</f>
        <v>444414.37</v>
      </c>
      <c r="AM379" s="1030">
        <f t="shared" si="32"/>
        <v>3429.429999999993</v>
      </c>
      <c r="AN379" s="1030">
        <f>INDEX(G379:R379,1,MATCH(Parametres!$B$3,G$1:R$1,0))*IF(OR(F379="L",F379="S",F379="I"),-1,1)</f>
        <v>447843.8</v>
      </c>
      <c r="AO379" s="598" t="str">
        <f>+VLOOKUP($AJ379,Data_Validation!$A:$D,1,0)</f>
        <v>H13900</v>
      </c>
      <c r="AP379" s="598" t="str">
        <f>+VLOOKUP($AJ379,Data_Validation!$A:$D,3,0)</f>
        <v>Bilan</v>
      </c>
      <c r="AQ379" s="598" t="str">
        <f>+VLOOKUP($AJ379,Data_Validation!$A:$D,4,0)</f>
        <v>Inventaire Véhicules Neufs</v>
      </c>
      <c r="AR379" s="598" t="s">
        <v>299</v>
      </c>
      <c r="AS379" s="598">
        <f>+VLOOKUP($AJ379,Data_Validation!$A:$E,5,0)</f>
        <v>0</v>
      </c>
      <c r="AT379" s="1036" t="str">
        <f t="shared" si="33"/>
        <v>H13900</v>
      </c>
      <c r="AU379" s="599" t="str">
        <f t="shared" si="34"/>
        <v>VEHICULE LOCATION A C.T</v>
      </c>
      <c r="AV379" s="1030">
        <f>IFERROR(INDEX(V379:AG379,1,MATCH(Parametres!$B$3,V$1:AG$1,0)-1)*IF(OR(C379="L",C379="S",C379="I"),-1,1),"")</f>
        <v>0</v>
      </c>
      <c r="AW379" s="1030">
        <f t="shared" si="35"/>
        <v>0</v>
      </c>
      <c r="AX379" s="1030">
        <f>INDEX(V379:AG379,1,MATCH(Parametres!$B$3,V$1:AG$1,0))*IF(OR(C379="L",C379="S",C379="I"),-1,1)</f>
        <v>0</v>
      </c>
      <c r="AY379" s="598" t="s">
        <v>337</v>
      </c>
      <c r="AZ379" s="598">
        <f>+VLOOKUP($AJ379,Data_Validation!$A:$E,5,0)</f>
        <v>0</v>
      </c>
    </row>
    <row r="380" spans="1:52" ht="15.75" customHeight="1">
      <c r="A380" s="832" t="s">
        <v>1150</v>
      </c>
      <c r="B380" s="832">
        <v>2025</v>
      </c>
      <c r="C380" s="832" t="s">
        <v>1908</v>
      </c>
      <c r="D380" s="832" t="s">
        <v>1909</v>
      </c>
      <c r="E380" s="832" t="s">
        <v>333</v>
      </c>
      <c r="F380" s="832" t="s">
        <v>1792</v>
      </c>
      <c r="G380" s="832">
        <v>6009.31</v>
      </c>
      <c r="H380" s="832">
        <v>8230.77</v>
      </c>
      <c r="I380" s="832">
        <v>8408.43</v>
      </c>
      <c r="J380" s="832">
        <v>8000.6</v>
      </c>
      <c r="K380" s="832">
        <v>7083.69</v>
      </c>
      <c r="L380" s="832">
        <v>8511.49</v>
      </c>
      <c r="M380" s="832">
        <v>8277.94</v>
      </c>
      <c r="N380" s="832">
        <v>10272.09</v>
      </c>
      <c r="O380" s="832">
        <v>6122.35</v>
      </c>
      <c r="P380" s="832">
        <v>3834.71</v>
      </c>
      <c r="Q380" s="832">
        <v>15757.8</v>
      </c>
      <c r="R380" s="832">
        <v>17037.07</v>
      </c>
      <c r="S380" s="832">
        <v>0</v>
      </c>
      <c r="T380" s="832">
        <v>0</v>
      </c>
      <c r="U380" s="832">
        <v>0</v>
      </c>
      <c r="V380" s="832">
        <v>0</v>
      </c>
      <c r="W380" s="832">
        <v>0</v>
      </c>
      <c r="X380" s="832">
        <v>0</v>
      </c>
      <c r="Y380" s="832">
        <v>0</v>
      </c>
      <c r="Z380" s="832">
        <v>0</v>
      </c>
      <c r="AA380" s="832">
        <v>0</v>
      </c>
      <c r="AB380" s="832">
        <v>0</v>
      </c>
      <c r="AC380" s="832">
        <v>0</v>
      </c>
      <c r="AD380" s="832">
        <v>0</v>
      </c>
      <c r="AE380" s="832">
        <v>0</v>
      </c>
      <c r="AF380" s="832">
        <v>0</v>
      </c>
      <c r="AG380" s="832">
        <v>0</v>
      </c>
      <c r="AH380" s="832">
        <v>0</v>
      </c>
      <c r="AI380" s="832">
        <v>0</v>
      </c>
      <c r="AJ380" s="1030" t="str">
        <f t="shared" si="30"/>
        <v>H14100</v>
      </c>
      <c r="AK380" s="1030" t="str">
        <f t="shared" si="31"/>
        <v>ESSENCE INV. EN GROS</v>
      </c>
      <c r="AL380" s="1030">
        <f>IFERROR(INDEX(G380:R380,1,MATCH(Parametres!$B$3,G$1:R$1,0)-1)*IF(OR(F380="L",F380="S",F380="I"),-1,1),"")</f>
        <v>8000.6</v>
      </c>
      <c r="AM380" s="1030">
        <f t="shared" si="32"/>
        <v>-916.91000000000076</v>
      </c>
      <c r="AN380" s="1030">
        <f>INDEX(G380:R380,1,MATCH(Parametres!$B$3,G$1:R$1,0))*IF(OR(F380="L",F380="S",F380="I"),-1,1)</f>
        <v>7083.69</v>
      </c>
      <c r="AO380" s="598" t="str">
        <f>+VLOOKUP($AJ380,Data_Validation!$A:$D,1,0)</f>
        <v>H14100</v>
      </c>
      <c r="AP380" s="598" t="str">
        <f>+VLOOKUP($AJ380,Data_Validation!$A:$D,3,0)</f>
        <v>Bilan</v>
      </c>
      <c r="AQ380" s="598" t="str">
        <f>+VLOOKUP($AJ380,Data_Validation!$A:$D,4,0)</f>
        <v>Inventaire Pièces, Pneus, Huile</v>
      </c>
      <c r="AR380" s="598" t="s">
        <v>299</v>
      </c>
      <c r="AS380" s="598">
        <f>+VLOOKUP($AJ380,Data_Validation!$A:$E,5,0)</f>
        <v>0</v>
      </c>
      <c r="AT380" s="1036" t="str">
        <f t="shared" si="33"/>
        <v>H14100</v>
      </c>
      <c r="AU380" s="599" t="str">
        <f t="shared" si="34"/>
        <v>ESSENCE INV. EN GROS</v>
      </c>
      <c r="AV380" s="1030">
        <f>IFERROR(INDEX(V380:AG380,1,MATCH(Parametres!$B$3,V$1:AG$1,0)-1)*IF(OR(C380="L",C380="S",C380="I"),-1,1),"")</f>
        <v>0</v>
      </c>
      <c r="AW380" s="1030">
        <f t="shared" si="35"/>
        <v>0</v>
      </c>
      <c r="AX380" s="1030">
        <f>INDEX(V380:AG380,1,MATCH(Parametres!$B$3,V$1:AG$1,0))*IF(OR(C380="L",C380="S",C380="I"),-1,1)</f>
        <v>0</v>
      </c>
      <c r="AY380" s="598" t="s">
        <v>337</v>
      </c>
      <c r="AZ380" s="598">
        <f>+VLOOKUP($AJ380,Data_Validation!$A:$E,5,0)</f>
        <v>0</v>
      </c>
    </row>
    <row r="381" spans="1:52" ht="15.75" customHeight="1">
      <c r="A381" s="832" t="s">
        <v>1150</v>
      </c>
      <c r="B381" s="832">
        <v>2025</v>
      </c>
      <c r="C381" s="832" t="s">
        <v>1910</v>
      </c>
      <c r="D381" s="832" t="s">
        <v>1911</v>
      </c>
      <c r="E381" s="832" t="s">
        <v>333</v>
      </c>
      <c r="F381" s="832" t="s">
        <v>1792</v>
      </c>
      <c r="G381" s="832">
        <v>177423.2</v>
      </c>
      <c r="H381" s="832">
        <v>170092.55</v>
      </c>
      <c r="I381" s="832">
        <v>177340.94</v>
      </c>
      <c r="J381" s="832">
        <v>181874.03</v>
      </c>
      <c r="K381" s="832">
        <v>206270.57</v>
      </c>
      <c r="L381" s="832">
        <v>252695.56</v>
      </c>
      <c r="M381" s="832">
        <v>252124.92</v>
      </c>
      <c r="N381" s="832">
        <v>270665.77</v>
      </c>
      <c r="O381" s="832">
        <v>253433.5</v>
      </c>
      <c r="P381" s="832">
        <v>174625.37</v>
      </c>
      <c r="Q381" s="832">
        <v>243344.15</v>
      </c>
      <c r="R381" s="832">
        <v>262628.55</v>
      </c>
      <c r="S381" s="832">
        <v>0</v>
      </c>
      <c r="T381" s="832">
        <v>0</v>
      </c>
      <c r="U381" s="832">
        <v>0</v>
      </c>
      <c r="V381" s="832">
        <v>0</v>
      </c>
      <c r="W381" s="832">
        <v>0</v>
      </c>
      <c r="X381" s="832">
        <v>0</v>
      </c>
      <c r="Y381" s="832">
        <v>0</v>
      </c>
      <c r="Z381" s="832">
        <v>0</v>
      </c>
      <c r="AA381" s="832">
        <v>0</v>
      </c>
      <c r="AB381" s="832">
        <v>0</v>
      </c>
      <c r="AC381" s="832">
        <v>0</v>
      </c>
      <c r="AD381" s="832">
        <v>0</v>
      </c>
      <c r="AE381" s="832">
        <v>0</v>
      </c>
      <c r="AF381" s="832">
        <v>0</v>
      </c>
      <c r="AG381" s="832">
        <v>0</v>
      </c>
      <c r="AH381" s="832">
        <v>0</v>
      </c>
      <c r="AI381" s="832">
        <v>0</v>
      </c>
      <c r="AJ381" s="1030" t="str">
        <f t="shared" si="30"/>
        <v>H14400</v>
      </c>
      <c r="AK381" s="1030" t="str">
        <f t="shared" si="31"/>
        <v>PIECES &amp; ACCESS.-HYUNDAI</v>
      </c>
      <c r="AL381" s="1030">
        <f>IFERROR(INDEX(G381:R381,1,MATCH(Parametres!$B$3,G$1:R$1,0)-1)*IF(OR(F381="L",F381="S",F381="I"),-1,1),"")</f>
        <v>181874.03</v>
      </c>
      <c r="AM381" s="1030">
        <f t="shared" si="32"/>
        <v>24396.540000000008</v>
      </c>
      <c r="AN381" s="1030">
        <f>INDEX(G381:R381,1,MATCH(Parametres!$B$3,G$1:R$1,0))*IF(OR(F381="L",F381="S",F381="I"),-1,1)</f>
        <v>206270.57</v>
      </c>
      <c r="AO381" s="598" t="str">
        <f>+VLOOKUP($AJ381,Data_Validation!$A:$D,1,0)</f>
        <v>H14400</v>
      </c>
      <c r="AP381" s="598" t="str">
        <f>+VLOOKUP($AJ381,Data_Validation!$A:$D,3,0)</f>
        <v>Bilan</v>
      </c>
      <c r="AQ381" s="598" t="str">
        <f>+VLOOKUP($AJ381,Data_Validation!$A:$D,4,0)</f>
        <v>Inventaire Pièces, Pneus, Huile</v>
      </c>
      <c r="AR381" s="598" t="s">
        <v>299</v>
      </c>
      <c r="AS381" s="598">
        <f>+VLOOKUP($AJ381,Data_Validation!$A:$E,5,0)</f>
        <v>0</v>
      </c>
      <c r="AT381" s="1036" t="str">
        <f t="shared" si="33"/>
        <v>H14400</v>
      </c>
      <c r="AU381" s="599" t="str">
        <f t="shared" si="34"/>
        <v>PIECES &amp; ACCESS.-HYUNDAI</v>
      </c>
      <c r="AV381" s="1030">
        <f>IFERROR(INDEX(V381:AG381,1,MATCH(Parametres!$B$3,V$1:AG$1,0)-1)*IF(OR(C381="L",C381="S",C381="I"),-1,1),"")</f>
        <v>0</v>
      </c>
      <c r="AW381" s="1030">
        <f t="shared" si="35"/>
        <v>0</v>
      </c>
      <c r="AX381" s="1030">
        <f>INDEX(V381:AG381,1,MATCH(Parametres!$B$3,V$1:AG$1,0))*IF(OR(C381="L",C381="S",C381="I"),-1,1)</f>
        <v>0</v>
      </c>
      <c r="AY381" s="598" t="s">
        <v>337</v>
      </c>
      <c r="AZ381" s="598">
        <f>+VLOOKUP($AJ381,Data_Validation!$A:$E,5,0)</f>
        <v>0</v>
      </c>
    </row>
    <row r="382" spans="1:52" ht="15.75" customHeight="1">
      <c r="A382" s="832" t="s">
        <v>1150</v>
      </c>
      <c r="B382" s="832">
        <v>2025</v>
      </c>
      <c r="C382" s="832" t="s">
        <v>1912</v>
      </c>
      <c r="D382" s="832" t="s">
        <v>1913</v>
      </c>
      <c r="E382" s="832" t="s">
        <v>333</v>
      </c>
      <c r="F382" s="832" t="s">
        <v>1792</v>
      </c>
      <c r="G382" s="832">
        <v>2758.7</v>
      </c>
      <c r="H382" s="832">
        <v>707.04</v>
      </c>
      <c r="I382" s="832">
        <v>648.27</v>
      </c>
      <c r="J382" s="832">
        <v>1814.16</v>
      </c>
      <c r="K382" s="832">
        <v>1315.87</v>
      </c>
      <c r="L382" s="832">
        <v>4050.63</v>
      </c>
      <c r="M382" s="832">
        <v>3705.56</v>
      </c>
      <c r="N382" s="832">
        <v>4631.6000000000004</v>
      </c>
      <c r="O382" s="832">
        <v>10051.07</v>
      </c>
      <c r="P382" s="832">
        <v>16690.03</v>
      </c>
      <c r="Q382" s="832">
        <v>16216.14</v>
      </c>
      <c r="R382" s="832">
        <v>11153.12</v>
      </c>
      <c r="S382" s="832">
        <v>0</v>
      </c>
      <c r="T382" s="832">
        <v>0</v>
      </c>
      <c r="U382" s="832">
        <v>0</v>
      </c>
      <c r="V382" s="832">
        <v>0</v>
      </c>
      <c r="W382" s="832">
        <v>0</v>
      </c>
      <c r="X382" s="832">
        <v>0</v>
      </c>
      <c r="Y382" s="832">
        <v>0</v>
      </c>
      <c r="Z382" s="832">
        <v>0</v>
      </c>
      <c r="AA382" s="832">
        <v>0</v>
      </c>
      <c r="AB382" s="832">
        <v>0</v>
      </c>
      <c r="AC382" s="832">
        <v>0</v>
      </c>
      <c r="AD382" s="832">
        <v>0</v>
      </c>
      <c r="AE382" s="832">
        <v>0</v>
      </c>
      <c r="AF382" s="832">
        <v>0</v>
      </c>
      <c r="AG382" s="832">
        <v>0</v>
      </c>
      <c r="AH382" s="832">
        <v>0</v>
      </c>
      <c r="AI382" s="832">
        <v>0</v>
      </c>
      <c r="AJ382" s="1030" t="str">
        <f t="shared" si="30"/>
        <v>H14401</v>
      </c>
      <c r="AK382" s="1030" t="str">
        <f t="shared" si="31"/>
        <v>ACCESSOIRES HYUNDAI</v>
      </c>
      <c r="AL382" s="1030">
        <f>IFERROR(INDEX(G382:R382,1,MATCH(Parametres!$B$3,G$1:R$1,0)-1)*IF(OR(F382="L",F382="S",F382="I"),-1,1),"")</f>
        <v>1814.16</v>
      </c>
      <c r="AM382" s="1030">
        <f t="shared" si="32"/>
        <v>-498.29000000000019</v>
      </c>
      <c r="AN382" s="1030">
        <f>INDEX(G382:R382,1,MATCH(Parametres!$B$3,G$1:R$1,0))*IF(OR(F382="L",F382="S",F382="I"),-1,1)</f>
        <v>1315.87</v>
      </c>
      <c r="AO382" s="598" t="str">
        <f>+VLOOKUP($AJ382,Data_Validation!$A:$D,1,0)</f>
        <v>H14401</v>
      </c>
      <c r="AP382" s="598" t="str">
        <f>+VLOOKUP($AJ382,Data_Validation!$A:$D,3,0)</f>
        <v>Bilan</v>
      </c>
      <c r="AQ382" s="598" t="str">
        <f>+VLOOKUP($AJ382,Data_Validation!$A:$D,4,0)</f>
        <v>Inventaire Pièces, Pneus, Huile</v>
      </c>
      <c r="AR382" s="598" t="s">
        <v>299</v>
      </c>
      <c r="AS382" s="598">
        <f>+VLOOKUP($AJ382,Data_Validation!$A:$E,5,0)</f>
        <v>0</v>
      </c>
      <c r="AT382" s="1036" t="str">
        <f t="shared" si="33"/>
        <v>H14401</v>
      </c>
      <c r="AU382" s="599" t="str">
        <f t="shared" si="34"/>
        <v>ACCESSOIRES HYUNDAI</v>
      </c>
      <c r="AV382" s="1030">
        <f>IFERROR(INDEX(V382:AG382,1,MATCH(Parametres!$B$3,V$1:AG$1,0)-1)*IF(OR(C382="L",C382="S",C382="I"),-1,1),"")</f>
        <v>0</v>
      </c>
      <c r="AW382" s="1030">
        <f t="shared" si="35"/>
        <v>0</v>
      </c>
      <c r="AX382" s="1030">
        <f>INDEX(V382:AG382,1,MATCH(Parametres!$B$3,V$1:AG$1,0))*IF(OR(C382="L",C382="S",C382="I"),-1,1)</f>
        <v>0</v>
      </c>
      <c r="AY382" s="598" t="s">
        <v>337</v>
      </c>
      <c r="AZ382" s="598">
        <f>+VLOOKUP($AJ382,Data_Validation!$A:$E,5,0)</f>
        <v>0</v>
      </c>
    </row>
    <row r="383" spans="1:52" ht="15.75" customHeight="1">
      <c r="A383" s="832" t="s">
        <v>1150</v>
      </c>
      <c r="B383" s="832">
        <v>2025</v>
      </c>
      <c r="C383" s="832" t="s">
        <v>1914</v>
      </c>
      <c r="D383" s="832" t="s">
        <v>1915</v>
      </c>
      <c r="E383" s="832" t="s">
        <v>336</v>
      </c>
      <c r="F383" s="832" t="s">
        <v>1792</v>
      </c>
      <c r="G383" s="832">
        <v>0</v>
      </c>
      <c r="H383" s="832">
        <v>0</v>
      </c>
      <c r="I383" s="832">
        <v>0</v>
      </c>
      <c r="J383" s="832">
        <v>0</v>
      </c>
      <c r="K383" s="832">
        <v>0</v>
      </c>
      <c r="L383" s="832">
        <v>0</v>
      </c>
      <c r="M383" s="832">
        <v>0</v>
      </c>
      <c r="N383" s="832">
        <v>0</v>
      </c>
      <c r="O383" s="832">
        <v>0</v>
      </c>
      <c r="P383" s="832">
        <v>0</v>
      </c>
      <c r="Q383" s="832">
        <v>0</v>
      </c>
      <c r="R383" s="832">
        <v>0</v>
      </c>
      <c r="S383" s="832">
        <v>0</v>
      </c>
      <c r="T383" s="832">
        <v>0</v>
      </c>
      <c r="U383" s="832">
        <v>0</v>
      </c>
      <c r="V383" s="832">
        <v>0</v>
      </c>
      <c r="W383" s="832">
        <v>0</v>
      </c>
      <c r="X383" s="832">
        <v>0</v>
      </c>
      <c r="Y383" s="832">
        <v>0</v>
      </c>
      <c r="Z383" s="832">
        <v>0</v>
      </c>
      <c r="AA383" s="832">
        <v>0</v>
      </c>
      <c r="AB383" s="832">
        <v>0</v>
      </c>
      <c r="AC383" s="832">
        <v>0</v>
      </c>
      <c r="AD383" s="832">
        <v>0</v>
      </c>
      <c r="AE383" s="832">
        <v>0</v>
      </c>
      <c r="AF383" s="832">
        <v>0</v>
      </c>
      <c r="AG383" s="832">
        <v>0</v>
      </c>
      <c r="AH383" s="832">
        <v>0</v>
      </c>
      <c r="AI383" s="832">
        <v>0</v>
      </c>
      <c r="AJ383" s="1030" t="str">
        <f t="shared" si="30"/>
        <v>H14500</v>
      </c>
      <c r="AK383" s="1030" t="str">
        <f t="shared" si="31"/>
        <v>PIECES &amp; ACCESS.-F&amp;I</v>
      </c>
      <c r="AL383" s="1030">
        <f>IFERROR(INDEX(G383:R383,1,MATCH(Parametres!$B$3,G$1:R$1,0)-1)*IF(OR(F383="L",F383="S",F383="I"),-1,1),"")</f>
        <v>0</v>
      </c>
      <c r="AM383" s="1030">
        <f t="shared" si="32"/>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t="str">
        <f t="shared" si="33"/>
        <v>H14500</v>
      </c>
      <c r="AU383" s="599" t="str">
        <f t="shared" si="34"/>
        <v>PIECES &amp; ACCESS.-F&amp;I</v>
      </c>
      <c r="AV383" s="1030">
        <f>IFERROR(INDEX(V383:AG383,1,MATCH(Parametres!$B$3,V$1:AG$1,0)-1)*IF(OR(C383="L",C383="S",C383="I"),-1,1),"")</f>
        <v>0</v>
      </c>
      <c r="AW383" s="1030">
        <f t="shared" si="35"/>
        <v>0</v>
      </c>
      <c r="AX383" s="1030">
        <f>INDEX(V383:AG383,1,MATCH(Parametres!$B$3,V$1:AG$1,0))*IF(OR(C383="L",C383="S",C383="I"),-1,1)</f>
        <v>0</v>
      </c>
      <c r="AY383" s="598" t="s">
        <v>337</v>
      </c>
      <c r="AZ383" s="598" t="e">
        <f>+VLOOKUP($AJ383,Data_Validation!$A:$E,5,0)</f>
        <v>#N/A</v>
      </c>
    </row>
    <row r="384" spans="1:52" ht="15.75" customHeight="1">
      <c r="A384" s="832" t="s">
        <v>1150</v>
      </c>
      <c r="B384" s="832">
        <v>2025</v>
      </c>
      <c r="C384" s="832" t="s">
        <v>1916</v>
      </c>
      <c r="D384" s="832" t="s">
        <v>1917</v>
      </c>
      <c r="E384" s="832" t="s">
        <v>333</v>
      </c>
      <c r="F384" s="832" t="s">
        <v>1792</v>
      </c>
      <c r="G384" s="832">
        <v>0</v>
      </c>
      <c r="H384" s="832">
        <v>0</v>
      </c>
      <c r="I384" s="832">
        <v>0</v>
      </c>
      <c r="J384" s="832">
        <v>0</v>
      </c>
      <c r="K384" s="832">
        <v>0</v>
      </c>
      <c r="L384" s="832">
        <v>0</v>
      </c>
      <c r="M384" s="832">
        <v>0</v>
      </c>
      <c r="N384" s="832">
        <v>0</v>
      </c>
      <c r="O384" s="832">
        <v>0</v>
      </c>
      <c r="P384" s="832">
        <v>0</v>
      </c>
      <c r="Q384" s="832">
        <v>0</v>
      </c>
      <c r="R384" s="832">
        <v>0</v>
      </c>
      <c r="S384" s="832">
        <v>0</v>
      </c>
      <c r="T384" s="832">
        <v>0</v>
      </c>
      <c r="U384" s="832">
        <v>0</v>
      </c>
      <c r="V384" s="832">
        <v>0</v>
      </c>
      <c r="W384" s="832">
        <v>0</v>
      </c>
      <c r="X384" s="832">
        <v>0</v>
      </c>
      <c r="Y384" s="832">
        <v>0</v>
      </c>
      <c r="Z384" s="832">
        <v>0</v>
      </c>
      <c r="AA384" s="832">
        <v>0</v>
      </c>
      <c r="AB384" s="832">
        <v>0</v>
      </c>
      <c r="AC384" s="832">
        <v>0</v>
      </c>
      <c r="AD384" s="832">
        <v>0</v>
      </c>
      <c r="AE384" s="832">
        <v>0</v>
      </c>
      <c r="AF384" s="832">
        <v>0</v>
      </c>
      <c r="AG384" s="832">
        <v>0</v>
      </c>
      <c r="AH384" s="832">
        <v>0</v>
      </c>
      <c r="AI384" s="832">
        <v>0</v>
      </c>
      <c r="AJ384" s="1030" t="str">
        <f t="shared" si="30"/>
        <v>H14501</v>
      </c>
      <c r="AK384" s="1030" t="str">
        <f t="shared" si="31"/>
        <v>ACCESSOIRES AUTRES</v>
      </c>
      <c r="AL384" s="1030">
        <f>IFERROR(INDEX(G384:R384,1,MATCH(Parametres!$B$3,G$1:R$1,0)-1)*IF(OR(F384="L",F384="S",F384="I"),-1,1),"")</f>
        <v>0</v>
      </c>
      <c r="AM384" s="1030">
        <f t="shared" si="32"/>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t="str">
        <f t="shared" si="33"/>
        <v>H14501</v>
      </c>
      <c r="AU384" s="599" t="str">
        <f t="shared" si="34"/>
        <v>ACCESSOIRES AUTRES</v>
      </c>
      <c r="AV384" s="1030">
        <f>IFERROR(INDEX(V384:AG384,1,MATCH(Parametres!$B$3,V$1:AG$1,0)-1)*IF(OR(C384="L",C384="S",C384="I"),-1,1),"")</f>
        <v>0</v>
      </c>
      <c r="AW384" s="1030">
        <f t="shared" si="35"/>
        <v>0</v>
      </c>
      <c r="AX384" s="1030">
        <f>INDEX(V384:AG384,1,MATCH(Parametres!$B$3,V$1:AG$1,0))*IF(OR(C384="L",C384="S",C384="I"),-1,1)</f>
        <v>0</v>
      </c>
      <c r="AY384" s="598" t="s">
        <v>337</v>
      </c>
      <c r="AZ384" s="598" t="e">
        <f>+VLOOKUP($AJ384,Data_Validation!$A:$E,5,0)</f>
        <v>#N/A</v>
      </c>
    </row>
    <row r="385" spans="1:52" ht="15.75" customHeight="1">
      <c r="A385" s="832" t="s">
        <v>1150</v>
      </c>
      <c r="B385" s="832">
        <v>2025</v>
      </c>
      <c r="C385" s="832" t="s">
        <v>1918</v>
      </c>
      <c r="D385" s="832" t="s">
        <v>650</v>
      </c>
      <c r="E385" s="832" t="s">
        <v>333</v>
      </c>
      <c r="F385" s="832" t="s">
        <v>1792</v>
      </c>
      <c r="G385" s="832">
        <v>24795.71</v>
      </c>
      <c r="H385" s="832">
        <v>24362.01</v>
      </c>
      <c r="I385" s="832">
        <v>23153.22</v>
      </c>
      <c r="J385" s="832">
        <v>17308.43</v>
      </c>
      <c r="K385" s="832">
        <v>6889.11</v>
      </c>
      <c r="L385" s="832">
        <v>9974.4699999999993</v>
      </c>
      <c r="M385" s="832">
        <v>8337.2999999999993</v>
      </c>
      <c r="N385" s="832">
        <v>7125.91</v>
      </c>
      <c r="O385" s="832">
        <v>24420.81</v>
      </c>
      <c r="P385" s="832">
        <v>32579.53</v>
      </c>
      <c r="Q385" s="832">
        <v>46344.57</v>
      </c>
      <c r="R385" s="832">
        <v>36715.379999999997</v>
      </c>
      <c r="S385" s="832">
        <v>0</v>
      </c>
      <c r="T385" s="832">
        <v>0</v>
      </c>
      <c r="U385" s="832">
        <v>0</v>
      </c>
      <c r="V385" s="832">
        <v>0</v>
      </c>
      <c r="W385" s="832">
        <v>0</v>
      </c>
      <c r="X385" s="832">
        <v>0</v>
      </c>
      <c r="Y385" s="832">
        <v>0</v>
      </c>
      <c r="Z385" s="832">
        <v>0</v>
      </c>
      <c r="AA385" s="832">
        <v>0</v>
      </c>
      <c r="AB385" s="832">
        <v>0</v>
      </c>
      <c r="AC385" s="832">
        <v>0</v>
      </c>
      <c r="AD385" s="832">
        <v>0</v>
      </c>
      <c r="AE385" s="832">
        <v>0</v>
      </c>
      <c r="AF385" s="832">
        <v>0</v>
      </c>
      <c r="AG385" s="832">
        <v>0</v>
      </c>
      <c r="AH385" s="832">
        <v>0</v>
      </c>
      <c r="AI385" s="832">
        <v>0</v>
      </c>
      <c r="AJ385" s="1030" t="str">
        <f t="shared" si="30"/>
        <v>H14800</v>
      </c>
      <c r="AK385" s="1030" t="str">
        <f t="shared" si="31"/>
        <v>PNEUS</v>
      </c>
      <c r="AL385" s="1030">
        <f>IFERROR(INDEX(G385:R385,1,MATCH(Parametres!$B$3,G$1:R$1,0)-1)*IF(OR(F385="L",F385="S",F385="I"),-1,1),"")</f>
        <v>17308.43</v>
      </c>
      <c r="AM385" s="1030">
        <f t="shared" si="32"/>
        <v>-10419.32</v>
      </c>
      <c r="AN385" s="1030">
        <f>INDEX(G385:R385,1,MATCH(Parametres!$B$3,G$1:R$1,0))*IF(OR(F385="L",F385="S",F385="I"),-1,1)</f>
        <v>6889.11</v>
      </c>
      <c r="AO385" s="598" t="str">
        <f>+VLOOKUP($AJ385,Data_Validation!$A:$D,1,0)</f>
        <v>H14800</v>
      </c>
      <c r="AP385" s="598" t="str">
        <f>+VLOOKUP($AJ385,Data_Validation!$A:$D,3,0)</f>
        <v>Bilan</v>
      </c>
      <c r="AQ385" s="598" t="str">
        <f>+VLOOKUP($AJ385,Data_Validation!$A:$D,4,0)</f>
        <v>Inventaire Pièces, Pneus, Huile</v>
      </c>
      <c r="AR385" s="598" t="s">
        <v>299</v>
      </c>
      <c r="AS385" s="598">
        <f>+VLOOKUP($AJ385,Data_Validation!$A:$E,5,0)</f>
        <v>0</v>
      </c>
      <c r="AT385" s="1036" t="str">
        <f t="shared" si="33"/>
        <v>H14800</v>
      </c>
      <c r="AU385" s="599" t="str">
        <f t="shared" si="34"/>
        <v>PNEUS</v>
      </c>
      <c r="AV385" s="1030">
        <f>IFERROR(INDEX(V385:AG385,1,MATCH(Parametres!$B$3,V$1:AG$1,0)-1)*IF(OR(C385="L",C385="S",C385="I"),-1,1),"")</f>
        <v>0</v>
      </c>
      <c r="AW385" s="1030">
        <f t="shared" si="35"/>
        <v>0</v>
      </c>
      <c r="AX385" s="1030">
        <f>INDEX(V385:AG385,1,MATCH(Parametres!$B$3,V$1:AG$1,0))*IF(OR(C385="L",C385="S",C385="I"),-1,1)</f>
        <v>0</v>
      </c>
      <c r="AY385" s="598" t="s">
        <v>337</v>
      </c>
      <c r="AZ385" s="598">
        <f>+VLOOKUP($AJ385,Data_Validation!$A:$E,5,0)</f>
        <v>0</v>
      </c>
    </row>
    <row r="386" spans="1:52" ht="15.75" customHeight="1">
      <c r="A386" s="832" t="s">
        <v>1150</v>
      </c>
      <c r="B386" s="832">
        <v>2025</v>
      </c>
      <c r="C386" s="832" t="s">
        <v>1919</v>
      </c>
      <c r="D386" s="832" t="s">
        <v>1920</v>
      </c>
      <c r="E386" s="832" t="s">
        <v>1842</v>
      </c>
      <c r="F386" s="832" t="s">
        <v>1792</v>
      </c>
      <c r="G386" s="832">
        <v>-9196.5499999999993</v>
      </c>
      <c r="H386" s="832">
        <v>-10946.9</v>
      </c>
      <c r="I386" s="832">
        <v>-1301.3399999999999</v>
      </c>
      <c r="J386" s="832">
        <v>-1401.65</v>
      </c>
      <c r="K386" s="832">
        <v>-6061.62</v>
      </c>
      <c r="L386" s="832">
        <v>-4462.08</v>
      </c>
      <c r="M386" s="832">
        <v>-3617.5</v>
      </c>
      <c r="N386" s="832">
        <v>-16613.07</v>
      </c>
      <c r="O386" s="832">
        <v>-5457.55</v>
      </c>
      <c r="P386" s="832">
        <v>9230.64</v>
      </c>
      <c r="Q386" s="832">
        <v>-82.27</v>
      </c>
      <c r="R386" s="832">
        <v>-61.35</v>
      </c>
      <c r="S386" s="832">
        <v>0</v>
      </c>
      <c r="T386" s="832">
        <v>0</v>
      </c>
      <c r="U386" s="832">
        <v>0</v>
      </c>
      <c r="V386" s="832">
        <v>0</v>
      </c>
      <c r="W386" s="832">
        <v>0</v>
      </c>
      <c r="X386" s="832">
        <v>0</v>
      </c>
      <c r="Y386" s="832">
        <v>0</v>
      </c>
      <c r="Z386" s="832">
        <v>0</v>
      </c>
      <c r="AA386" s="832">
        <v>0</v>
      </c>
      <c r="AB386" s="832">
        <v>0</v>
      </c>
      <c r="AC386" s="832">
        <v>0</v>
      </c>
      <c r="AD386" s="832">
        <v>0</v>
      </c>
      <c r="AE386" s="832">
        <v>0</v>
      </c>
      <c r="AF386" s="832">
        <v>0</v>
      </c>
      <c r="AG386" s="832">
        <v>0</v>
      </c>
      <c r="AH386" s="832">
        <v>0</v>
      </c>
      <c r="AI386" s="832">
        <v>0</v>
      </c>
      <c r="AJ386" s="1030" t="str">
        <f t="shared" si="30"/>
        <v>H14900</v>
      </c>
      <c r="AK386" s="1030" t="str">
        <f t="shared" si="31"/>
        <v>REPARATION SOUSTRAITTANCE</v>
      </c>
      <c r="AL386" s="1030">
        <f>IFERROR(INDEX(G386:R386,1,MATCH(Parametres!$B$3,G$1:R$1,0)-1)*IF(OR(F386="L",F386="S",F386="I"),-1,1),"")</f>
        <v>-1401.65</v>
      </c>
      <c r="AM386" s="1030">
        <f t="shared" si="32"/>
        <v>-4659.9699999999993</v>
      </c>
      <c r="AN386" s="1030">
        <f>INDEX(G386:R386,1,MATCH(Parametres!$B$3,G$1:R$1,0))*IF(OR(F386="L",F386="S",F386="I"),-1,1)</f>
        <v>-6061.62</v>
      </c>
      <c r="AO386" s="598" t="str">
        <f>+VLOOKUP($AJ386,Data_Validation!$A:$D,1,0)</f>
        <v>H14900</v>
      </c>
      <c r="AP386" s="598" t="str">
        <f>+VLOOKUP($AJ386,Data_Validation!$A:$D,3,0)</f>
        <v>Bilan</v>
      </c>
      <c r="AQ386" s="598" t="str">
        <f>+VLOOKUP($AJ386,Data_Validation!$A:$D,4,0)</f>
        <v>Sous-Traitance</v>
      </c>
      <c r="AR386" s="598" t="s">
        <v>299</v>
      </c>
      <c r="AS386" s="598">
        <f>+VLOOKUP($AJ386,Data_Validation!$A:$E,5,0)</f>
        <v>0</v>
      </c>
      <c r="AT386" s="1036" t="str">
        <f t="shared" si="33"/>
        <v>H14900</v>
      </c>
      <c r="AU386" s="599" t="str">
        <f t="shared" si="34"/>
        <v>REPARATION SOUSTRAITTANCE</v>
      </c>
      <c r="AV386" s="1030">
        <f>IFERROR(INDEX(V386:AG386,1,MATCH(Parametres!$B$3,V$1:AG$1,0)-1)*IF(OR(C386="L",C386="S",C386="I"),-1,1),"")</f>
        <v>0</v>
      </c>
      <c r="AW386" s="1030">
        <f t="shared" si="35"/>
        <v>0</v>
      </c>
      <c r="AX386" s="1030">
        <f>INDEX(V386:AG386,1,MATCH(Parametres!$B$3,V$1:AG$1,0))*IF(OR(C386="L",C386="S",C386="I"),-1,1)</f>
        <v>0</v>
      </c>
      <c r="AY386" s="598" t="s">
        <v>337</v>
      </c>
      <c r="AZ386" s="598">
        <f>+VLOOKUP($AJ386,Data_Validation!$A:$E,5,0)</f>
        <v>0</v>
      </c>
    </row>
    <row r="387" spans="1:52" ht="15.75" customHeight="1">
      <c r="A387" s="832" t="s">
        <v>1150</v>
      </c>
      <c r="B387" s="832">
        <v>2025</v>
      </c>
      <c r="C387" s="832" t="s">
        <v>1921</v>
      </c>
      <c r="D387" s="832" t="s">
        <v>1922</v>
      </c>
      <c r="E387" s="832" t="s">
        <v>333</v>
      </c>
      <c r="F387" s="832" t="s">
        <v>1792</v>
      </c>
      <c r="G387" s="832">
        <v>20536.580000000002</v>
      </c>
      <c r="H387" s="832">
        <v>29727.56</v>
      </c>
      <c r="I387" s="832">
        <v>15939.58</v>
      </c>
      <c r="J387" s="832">
        <v>7626.74</v>
      </c>
      <c r="K387" s="832">
        <v>10344.06</v>
      </c>
      <c r="L387" s="832">
        <v>6538.77</v>
      </c>
      <c r="M387" s="832">
        <v>6036.35</v>
      </c>
      <c r="N387" s="832">
        <v>6475.74</v>
      </c>
      <c r="O387" s="832">
        <v>-1751.91</v>
      </c>
      <c r="P387" s="832">
        <v>5510.67</v>
      </c>
      <c r="Q387" s="832">
        <v>6723.95</v>
      </c>
      <c r="R387" s="832">
        <v>7690.23</v>
      </c>
      <c r="S387" s="832">
        <v>0</v>
      </c>
      <c r="T387" s="832">
        <v>0</v>
      </c>
      <c r="U387" s="832">
        <v>0</v>
      </c>
      <c r="V387" s="832">
        <v>0</v>
      </c>
      <c r="W387" s="832">
        <v>0</v>
      </c>
      <c r="X387" s="832">
        <v>0</v>
      </c>
      <c r="Y387" s="832">
        <v>0</v>
      </c>
      <c r="Z387" s="832">
        <v>0</v>
      </c>
      <c r="AA387" s="832">
        <v>0</v>
      </c>
      <c r="AB387" s="832">
        <v>0</v>
      </c>
      <c r="AC387" s="832">
        <v>0</v>
      </c>
      <c r="AD387" s="832">
        <v>0</v>
      </c>
      <c r="AE387" s="832">
        <v>0</v>
      </c>
      <c r="AF387" s="832">
        <v>0</v>
      </c>
      <c r="AG387" s="832">
        <v>0</v>
      </c>
      <c r="AH387" s="832">
        <v>0</v>
      </c>
      <c r="AI387" s="832">
        <v>0</v>
      </c>
      <c r="AJ387" s="1030" t="str">
        <f t="shared" si="30"/>
        <v>H15000</v>
      </c>
      <c r="AK387" s="1030" t="str">
        <f t="shared" si="31"/>
        <v>MAIN-D'OEUVRE - MECANO</v>
      </c>
      <c r="AL387" s="1030">
        <f>IFERROR(INDEX(G387:R387,1,MATCH(Parametres!$B$3,G$1:R$1,0)-1)*IF(OR(F387="L",F387="S",F387="I"),-1,1),"")</f>
        <v>7626.74</v>
      </c>
      <c r="AM387" s="1030">
        <f t="shared" si="32"/>
        <v>2717.3199999999997</v>
      </c>
      <c r="AN387" s="1030">
        <f>INDEX(G387:R387,1,MATCH(Parametres!$B$3,G$1:R$1,0))*IF(OR(F387="L",F387="S",F387="I"),-1,1)</f>
        <v>10344.06</v>
      </c>
      <c r="AO387" s="598" t="str">
        <f>+VLOOKUP($AJ387,Data_Validation!$A:$D,1,0)</f>
        <v>H15000</v>
      </c>
      <c r="AP387" s="598" t="str">
        <f>+VLOOKUP($AJ387,Data_Validation!$A:$D,3,0)</f>
        <v>Bilan</v>
      </c>
      <c r="AQ387" s="598" t="str">
        <f>+VLOOKUP($AJ387,Data_Validation!$A:$D,4,0)</f>
        <v>Travaux en Cours</v>
      </c>
      <c r="AR387" s="598" t="s">
        <v>299</v>
      </c>
      <c r="AS387" s="598">
        <f>+VLOOKUP($AJ387,Data_Validation!$A:$E,5,0)</f>
        <v>0</v>
      </c>
      <c r="AT387" s="1036" t="str">
        <f t="shared" si="33"/>
        <v>H15000</v>
      </c>
      <c r="AU387" s="599" t="str">
        <f t="shared" si="34"/>
        <v>MAIN-D'OEUVRE - MECANO</v>
      </c>
      <c r="AV387" s="1030">
        <f>IFERROR(INDEX(V387:AG387,1,MATCH(Parametres!$B$3,V$1:AG$1,0)-1)*IF(OR(C387="L",C387="S",C387="I"),-1,1),"")</f>
        <v>0</v>
      </c>
      <c r="AW387" s="1030">
        <f t="shared" si="35"/>
        <v>0</v>
      </c>
      <c r="AX387" s="1030">
        <f>INDEX(V387:AG387,1,MATCH(Parametres!$B$3,V$1:AG$1,0))*IF(OR(C387="L",C387="S",C387="I"),-1,1)</f>
        <v>0</v>
      </c>
      <c r="AY387" s="598" t="s">
        <v>337</v>
      </c>
      <c r="AZ387" s="598">
        <f>+VLOOKUP($AJ387,Data_Validation!$A:$E,5,0)</f>
        <v>0</v>
      </c>
    </row>
    <row r="388" spans="1:52" ht="15.75" customHeight="1">
      <c r="A388" s="832" t="s">
        <v>1150</v>
      </c>
      <c r="B388" s="832">
        <v>2025</v>
      </c>
      <c r="C388" s="832" t="s">
        <v>1923</v>
      </c>
      <c r="D388" s="832" t="s">
        <v>1924</v>
      </c>
      <c r="E388" s="832" t="s">
        <v>333</v>
      </c>
      <c r="F388" s="832" t="s">
        <v>1792</v>
      </c>
      <c r="G388" s="832">
        <v>-908.23</v>
      </c>
      <c r="H388" s="832">
        <v>888.99</v>
      </c>
      <c r="I388" s="832">
        <v>-1311.53</v>
      </c>
      <c r="J388" s="832">
        <v>-3694.04</v>
      </c>
      <c r="K388" s="832">
        <v>-10173.959999999999</v>
      </c>
      <c r="L388" s="832">
        <v>-9637.1</v>
      </c>
      <c r="M388" s="832">
        <v>-8541.27</v>
      </c>
      <c r="N388" s="832">
        <v>-13300.44</v>
      </c>
      <c r="O388" s="832">
        <v>-18612.87</v>
      </c>
      <c r="P388" s="832">
        <v>-22476.33</v>
      </c>
      <c r="Q388" s="832">
        <v>-26506.97</v>
      </c>
      <c r="R388" s="832">
        <v>-32278.2</v>
      </c>
      <c r="S388" s="832">
        <v>0</v>
      </c>
      <c r="T388" s="832">
        <v>0</v>
      </c>
      <c r="U388" s="832">
        <v>0</v>
      </c>
      <c r="V388" s="832">
        <v>0</v>
      </c>
      <c r="W388" s="832">
        <v>0</v>
      </c>
      <c r="X388" s="832">
        <v>0</v>
      </c>
      <c r="Y388" s="832">
        <v>0</v>
      </c>
      <c r="Z388" s="832">
        <v>0</v>
      </c>
      <c r="AA388" s="832">
        <v>0</v>
      </c>
      <c r="AB388" s="832">
        <v>0</v>
      </c>
      <c r="AC388" s="832">
        <v>0</v>
      </c>
      <c r="AD388" s="832">
        <v>0</v>
      </c>
      <c r="AE388" s="832">
        <v>0</v>
      </c>
      <c r="AF388" s="832">
        <v>0</v>
      </c>
      <c r="AG388" s="832">
        <v>0</v>
      </c>
      <c r="AH388" s="832">
        <v>0</v>
      </c>
      <c r="AI388" s="832">
        <v>0</v>
      </c>
      <c r="AJ388" s="1030" t="str">
        <f t="shared" ref="AJ388:AJ451" si="36">C388</f>
        <v>H15100</v>
      </c>
      <c r="AK388" s="1030" t="str">
        <f t="shared" ref="AK388:AK451" si="37">D388</f>
        <v>ESSENCE-HUILE-GRAISSE</v>
      </c>
      <c r="AL388" s="1030">
        <f>IFERROR(INDEX(G388:R388,1,MATCH(Parametres!$B$3,G$1:R$1,0)-1)*IF(OR(F388="L",F388="S",F388="I"),-1,1),"")</f>
        <v>-3694.04</v>
      </c>
      <c r="AM388" s="1030">
        <f t="shared" ref="AM388:AM451" si="38">AN388-N(AL388)</f>
        <v>-6479.9199999999992</v>
      </c>
      <c r="AN388" s="1030">
        <f>INDEX(G388:R388,1,MATCH(Parametres!$B$3,G$1:R$1,0))*IF(OR(F388="L",F388="S",F388="I"),-1,1)</f>
        <v>-10173.959999999999</v>
      </c>
      <c r="AO388" s="598" t="str">
        <f>+VLOOKUP($AJ388,Data_Validation!$A:$D,1,0)</f>
        <v>H15100</v>
      </c>
      <c r="AP388" s="598" t="str">
        <f>+VLOOKUP($AJ388,Data_Validation!$A:$D,3,0)</f>
        <v>Bilan</v>
      </c>
      <c r="AQ388" s="598" t="str">
        <f>+VLOOKUP($AJ388,Data_Validation!$A:$D,4,0)</f>
        <v>Inventaire Pièces, Pneus, Huile</v>
      </c>
      <c r="AR388" s="598" t="s">
        <v>299</v>
      </c>
      <c r="AS388" s="598">
        <f>+VLOOKUP($AJ388,Data_Validation!$A:$E,5,0)</f>
        <v>0</v>
      </c>
      <c r="AT388" s="1036" t="str">
        <f t="shared" ref="AT388:AT451" si="39">C388</f>
        <v>H15100</v>
      </c>
      <c r="AU388" s="599" t="str">
        <f t="shared" ref="AU388:AU451" si="40">D388</f>
        <v>ESSENCE-HUILE-GRAISSE</v>
      </c>
      <c r="AV388" s="1030">
        <f>IFERROR(INDEX(V388:AG388,1,MATCH(Parametres!$B$3,V$1:AG$1,0)-1)*IF(OR(C388="L",C388="S",C388="I"),-1,1),"")</f>
        <v>0</v>
      </c>
      <c r="AW388" s="1030">
        <f t="shared" ref="AW388:AW451" si="41">AX388-N(AV388)</f>
        <v>0</v>
      </c>
      <c r="AX388" s="1030">
        <f>INDEX(V388:AG388,1,MATCH(Parametres!$B$3,V$1:AG$1,0))*IF(OR(C388="L",C388="S",C388="I"),-1,1)</f>
        <v>0</v>
      </c>
      <c r="AY388" s="598" t="s">
        <v>337</v>
      </c>
      <c r="AZ388" s="598">
        <f>+VLOOKUP($AJ388,Data_Validation!$A:$E,5,0)</f>
        <v>0</v>
      </c>
    </row>
    <row r="389" spans="1:52" ht="15.75" customHeight="1">
      <c r="A389" s="832" t="s">
        <v>1150</v>
      </c>
      <c r="B389" s="832">
        <v>2025</v>
      </c>
      <c r="C389" s="832" t="s">
        <v>1925</v>
      </c>
      <c r="D389" s="832" t="s">
        <v>1926</v>
      </c>
      <c r="E389" s="832" t="s">
        <v>333</v>
      </c>
      <c r="F389" s="832" t="s">
        <v>1792</v>
      </c>
      <c r="G389" s="832">
        <v>0</v>
      </c>
      <c r="H389" s="832">
        <v>0</v>
      </c>
      <c r="I389" s="832">
        <v>0</v>
      </c>
      <c r="J389" s="832">
        <v>0</v>
      </c>
      <c r="K389" s="832">
        <v>0</v>
      </c>
      <c r="L389" s="832">
        <v>0</v>
      </c>
      <c r="M389" s="832">
        <v>0</v>
      </c>
      <c r="N389" s="832">
        <v>0</v>
      </c>
      <c r="O389" s="832">
        <v>0</v>
      </c>
      <c r="P389" s="832">
        <v>0</v>
      </c>
      <c r="Q389" s="832">
        <v>0</v>
      </c>
      <c r="R389" s="832">
        <v>0</v>
      </c>
      <c r="S389" s="832">
        <v>0</v>
      </c>
      <c r="T389" s="832">
        <v>0</v>
      </c>
      <c r="U389" s="832">
        <v>0</v>
      </c>
      <c r="V389" s="832">
        <v>0</v>
      </c>
      <c r="W389" s="832">
        <v>0</v>
      </c>
      <c r="X389" s="832">
        <v>0</v>
      </c>
      <c r="Y389" s="832">
        <v>0</v>
      </c>
      <c r="Z389" s="832">
        <v>0</v>
      </c>
      <c r="AA389" s="832">
        <v>0</v>
      </c>
      <c r="AB389" s="832">
        <v>0</v>
      </c>
      <c r="AC389" s="832">
        <v>0</v>
      </c>
      <c r="AD389" s="832">
        <v>0</v>
      </c>
      <c r="AE389" s="832">
        <v>0</v>
      </c>
      <c r="AF389" s="832">
        <v>0</v>
      </c>
      <c r="AG389" s="832">
        <v>0</v>
      </c>
      <c r="AH389" s="832">
        <v>0</v>
      </c>
      <c r="AI389" s="832">
        <v>0</v>
      </c>
      <c r="AJ389" s="1030" t="str">
        <f t="shared" si="36"/>
        <v>H15200</v>
      </c>
      <c r="AK389" s="1030" t="str">
        <f t="shared" si="37"/>
        <v>FOURN. ATELIER &amp; PEINTURE</v>
      </c>
      <c r="AL389" s="1030">
        <f>IFERROR(INDEX(G389:R389,1,MATCH(Parametres!$B$3,G$1:R$1,0)-1)*IF(OR(F389="L",F389="S",F389="I"),-1,1),"")</f>
        <v>0</v>
      </c>
      <c r="AM389" s="1030">
        <f t="shared" si="38"/>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t="str">
        <f t="shared" si="39"/>
        <v>H15200</v>
      </c>
      <c r="AU389" s="599" t="str">
        <f t="shared" si="40"/>
        <v>FOURN. ATELIER &amp; PEINTURE</v>
      </c>
      <c r="AV389" s="1030">
        <f>IFERROR(INDEX(V389:AG389,1,MATCH(Parametres!$B$3,V$1:AG$1,0)-1)*IF(OR(C389="L",C389="S",C389="I"),-1,1),"")</f>
        <v>0</v>
      </c>
      <c r="AW389" s="1030">
        <f t="shared" si="41"/>
        <v>0</v>
      </c>
      <c r="AX389" s="1030">
        <f>INDEX(V389:AG389,1,MATCH(Parametres!$B$3,V$1:AG$1,0))*IF(OR(C389="L",C389="S",C389="I"),-1,1)</f>
        <v>0</v>
      </c>
      <c r="AY389" s="598" t="s">
        <v>337</v>
      </c>
      <c r="AZ389" s="598" t="e">
        <f>+VLOOKUP($AJ389,Data_Validation!$A:$E,5,0)</f>
        <v>#N/A</v>
      </c>
    </row>
    <row r="390" spans="1:52" ht="15.75" customHeight="1">
      <c r="A390" s="832" t="s">
        <v>1150</v>
      </c>
      <c r="B390" s="832">
        <v>2025</v>
      </c>
      <c r="C390" s="832" t="s">
        <v>1927</v>
      </c>
      <c r="D390" s="832" t="s">
        <v>1928</v>
      </c>
      <c r="E390" s="832" t="s">
        <v>333</v>
      </c>
      <c r="F390" s="832" t="s">
        <v>1792</v>
      </c>
      <c r="G390" s="832">
        <v>0</v>
      </c>
      <c r="H390" s="832">
        <v>0</v>
      </c>
      <c r="I390" s="832">
        <v>0</v>
      </c>
      <c r="J390" s="832">
        <v>0</v>
      </c>
      <c r="K390" s="832">
        <v>0</v>
      </c>
      <c r="L390" s="832">
        <v>0</v>
      </c>
      <c r="M390" s="832">
        <v>0</v>
      </c>
      <c r="N390" s="832">
        <v>0</v>
      </c>
      <c r="O390" s="832">
        <v>0</v>
      </c>
      <c r="P390" s="832">
        <v>0</v>
      </c>
      <c r="Q390" s="832">
        <v>0</v>
      </c>
      <c r="R390" s="832">
        <v>0</v>
      </c>
      <c r="S390" s="832">
        <v>0</v>
      </c>
      <c r="T390" s="832">
        <v>0</v>
      </c>
      <c r="U390" s="832">
        <v>0</v>
      </c>
      <c r="V390" s="832">
        <v>0</v>
      </c>
      <c r="W390" s="832">
        <v>0</v>
      </c>
      <c r="X390" s="832">
        <v>0</v>
      </c>
      <c r="Y390" s="832">
        <v>0</v>
      </c>
      <c r="Z390" s="832">
        <v>0</v>
      </c>
      <c r="AA390" s="832">
        <v>0</v>
      </c>
      <c r="AB390" s="832">
        <v>0</v>
      </c>
      <c r="AC390" s="832">
        <v>0</v>
      </c>
      <c r="AD390" s="832">
        <v>0</v>
      </c>
      <c r="AE390" s="832">
        <v>0</v>
      </c>
      <c r="AF390" s="832">
        <v>0</v>
      </c>
      <c r="AG390" s="832">
        <v>0</v>
      </c>
      <c r="AH390" s="832">
        <v>0</v>
      </c>
      <c r="AI390" s="832">
        <v>0</v>
      </c>
      <c r="AJ390" s="1030" t="str">
        <f t="shared" si="36"/>
        <v>H15400</v>
      </c>
      <c r="AK390" s="1030" t="str">
        <f t="shared" si="37"/>
        <v>LOYER PAYE D'AVANCE</v>
      </c>
      <c r="AL390" s="1030">
        <f>IFERROR(INDEX(G390:R390,1,MATCH(Parametres!$B$3,G$1:R$1,0)-1)*IF(OR(F390="L",F390="S",F390="I"),-1,1),"")</f>
        <v>0</v>
      </c>
      <c r="AM390" s="1030">
        <f t="shared" si="38"/>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t="str">
        <f t="shared" si="39"/>
        <v>H15400</v>
      </c>
      <c r="AU390" s="599" t="str">
        <f t="shared" si="40"/>
        <v>LOYER PAYE D'AVANCE</v>
      </c>
      <c r="AV390" s="1030">
        <f>IFERROR(INDEX(V390:AG390,1,MATCH(Parametres!$B$3,V$1:AG$1,0)-1)*IF(OR(C390="L",C390="S",C390="I"),-1,1),"")</f>
        <v>0</v>
      </c>
      <c r="AW390" s="1030">
        <f t="shared" si="41"/>
        <v>0</v>
      </c>
      <c r="AX390" s="1030">
        <f>INDEX(V390:AG390,1,MATCH(Parametres!$B$3,V$1:AG$1,0))*IF(OR(C390="L",C390="S",C390="I"),-1,1)</f>
        <v>0</v>
      </c>
      <c r="AY390" s="598" t="s">
        <v>337</v>
      </c>
      <c r="AZ390" s="598" t="e">
        <f>+VLOOKUP($AJ390,Data_Validation!$A:$E,5,0)</f>
        <v>#N/A</v>
      </c>
    </row>
    <row r="391" spans="1:52" ht="15.75" customHeight="1">
      <c r="A391" s="832" t="s">
        <v>1150</v>
      </c>
      <c r="B391" s="832">
        <v>2025</v>
      </c>
      <c r="C391" s="832" t="s">
        <v>1929</v>
      </c>
      <c r="D391" s="832" t="s">
        <v>1930</v>
      </c>
      <c r="E391" s="832" t="s">
        <v>333</v>
      </c>
      <c r="F391" s="832" t="s">
        <v>1792</v>
      </c>
      <c r="G391" s="832">
        <v>-95272.77</v>
      </c>
      <c r="H391" s="832">
        <v>-95272.77</v>
      </c>
      <c r="I391" s="832">
        <v>-95272.77</v>
      </c>
      <c r="J391" s="832">
        <v>-95272.77</v>
      </c>
      <c r="K391" s="832">
        <v>-95272.77</v>
      </c>
      <c r="L391" s="832">
        <v>-95272.77</v>
      </c>
      <c r="M391" s="832">
        <v>-95272.77</v>
      </c>
      <c r="N391" s="832">
        <v>-95272.77</v>
      </c>
      <c r="O391" s="832">
        <v>-95272.77</v>
      </c>
      <c r="P391" s="832">
        <v>-95272.77</v>
      </c>
      <c r="Q391" s="832">
        <v>-95272.77</v>
      </c>
      <c r="R391" s="832">
        <v>-95272.77</v>
      </c>
      <c r="S391" s="832">
        <v>0</v>
      </c>
      <c r="T391" s="832">
        <v>0</v>
      </c>
      <c r="U391" s="832">
        <v>0</v>
      </c>
      <c r="V391" s="832">
        <v>0</v>
      </c>
      <c r="W391" s="832">
        <v>0</v>
      </c>
      <c r="X391" s="832">
        <v>0</v>
      </c>
      <c r="Y391" s="832">
        <v>0</v>
      </c>
      <c r="Z391" s="832">
        <v>0</v>
      </c>
      <c r="AA391" s="832">
        <v>0</v>
      </c>
      <c r="AB391" s="832">
        <v>0</v>
      </c>
      <c r="AC391" s="832">
        <v>0</v>
      </c>
      <c r="AD391" s="832">
        <v>0</v>
      </c>
      <c r="AE391" s="832">
        <v>0</v>
      </c>
      <c r="AF391" s="832">
        <v>0</v>
      </c>
      <c r="AG391" s="832">
        <v>0</v>
      </c>
      <c r="AH391" s="832">
        <v>0</v>
      </c>
      <c r="AI391" s="832">
        <v>0</v>
      </c>
      <c r="AJ391" s="1030" t="str">
        <f t="shared" si="36"/>
        <v>H15500</v>
      </c>
      <c r="AK391" s="1030" t="str">
        <f t="shared" si="37"/>
        <v>IMPOT PAYE D'AVANCE</v>
      </c>
      <c r="AL391" s="1030">
        <f>IFERROR(INDEX(G391:R391,1,MATCH(Parametres!$B$3,G$1:R$1,0)-1)*IF(OR(F391="L",F391="S",F391="I"),-1,1),"")</f>
        <v>-95272.77</v>
      </c>
      <c r="AM391" s="1030">
        <f t="shared" si="38"/>
        <v>0</v>
      </c>
      <c r="AN391" s="1030">
        <f>INDEX(G391:R391,1,MATCH(Parametres!$B$3,G$1:R$1,0))*IF(OR(F391="L",F391="S",F391="I"),-1,1)</f>
        <v>-95272.77</v>
      </c>
      <c r="AO391" s="598" t="str">
        <f>+VLOOKUP($AJ391,Data_Validation!$A:$D,1,0)</f>
        <v>H15500</v>
      </c>
      <c r="AP391" s="598" t="str">
        <f>+VLOOKUP($AJ391,Data_Validation!$A:$D,3,0)</f>
        <v>Bilan</v>
      </c>
      <c r="AQ391" s="598" t="str">
        <f>+VLOOKUP($AJ391,Data_Validation!$A:$D,4,0)</f>
        <v>Frais Payés d'Avance</v>
      </c>
      <c r="AR391" s="598" t="s">
        <v>299</v>
      </c>
      <c r="AS391" s="598">
        <f>+VLOOKUP($AJ391,Data_Validation!$A:$E,5,0)</f>
        <v>0</v>
      </c>
      <c r="AT391" s="1036" t="str">
        <f t="shared" si="39"/>
        <v>H15500</v>
      </c>
      <c r="AU391" s="599" t="str">
        <f t="shared" si="40"/>
        <v>IMPOT PAYE D'AVANCE</v>
      </c>
      <c r="AV391" s="1030">
        <f>IFERROR(INDEX(V391:AG391,1,MATCH(Parametres!$B$3,V$1:AG$1,0)-1)*IF(OR(C391="L",C391="S",C391="I"),-1,1),"")</f>
        <v>0</v>
      </c>
      <c r="AW391" s="1030">
        <f t="shared" si="41"/>
        <v>0</v>
      </c>
      <c r="AX391" s="1030">
        <f>INDEX(V391:AG391,1,MATCH(Parametres!$B$3,V$1:AG$1,0))*IF(OR(C391="L",C391="S",C391="I"),-1,1)</f>
        <v>0</v>
      </c>
      <c r="AY391" s="598" t="s">
        <v>337</v>
      </c>
      <c r="AZ391" s="598">
        <f>+VLOOKUP($AJ391,Data_Validation!$A:$E,5,0)</f>
        <v>0</v>
      </c>
    </row>
    <row r="392" spans="1:52" ht="15.75" customHeight="1">
      <c r="A392" s="832" t="s">
        <v>1150</v>
      </c>
      <c r="B392" s="832">
        <v>2025</v>
      </c>
      <c r="C392" s="832" t="s">
        <v>1931</v>
      </c>
      <c r="D392" s="832" t="s">
        <v>1932</v>
      </c>
      <c r="E392" s="832" t="s">
        <v>333</v>
      </c>
      <c r="F392" s="832" t="s">
        <v>1153</v>
      </c>
      <c r="G392" s="832">
        <v>-575251.26</v>
      </c>
      <c r="H392" s="832">
        <v>-531092.43000000005</v>
      </c>
      <c r="I392" s="832">
        <v>-486777.71</v>
      </c>
      <c r="J392" s="832">
        <v>-442462.99</v>
      </c>
      <c r="K392" s="832">
        <v>-398148.27</v>
      </c>
      <c r="L392" s="832">
        <v>-353833.55</v>
      </c>
      <c r="M392" s="832">
        <v>-309518.83</v>
      </c>
      <c r="N392" s="832">
        <v>-265204.11</v>
      </c>
      <c r="O392" s="832">
        <v>-235531.46</v>
      </c>
      <c r="P392" s="832">
        <v>-191216.74</v>
      </c>
      <c r="Q392" s="832">
        <v>-146902.01999999999</v>
      </c>
      <c r="R392" s="832">
        <v>-102587.3</v>
      </c>
      <c r="S392" s="832">
        <v>0</v>
      </c>
      <c r="T392" s="832">
        <v>0</v>
      </c>
      <c r="U392" s="832">
        <v>0</v>
      </c>
      <c r="V392" s="832">
        <v>0</v>
      </c>
      <c r="W392" s="832">
        <v>0</v>
      </c>
      <c r="X392" s="832">
        <v>0</v>
      </c>
      <c r="Y392" s="832">
        <v>0</v>
      </c>
      <c r="Z392" s="832">
        <v>0</v>
      </c>
      <c r="AA392" s="832">
        <v>0</v>
      </c>
      <c r="AB392" s="832">
        <v>0</v>
      </c>
      <c r="AC392" s="832">
        <v>0</v>
      </c>
      <c r="AD392" s="832">
        <v>0</v>
      </c>
      <c r="AE392" s="832">
        <v>0</v>
      </c>
      <c r="AF392" s="832">
        <v>0</v>
      </c>
      <c r="AG392" s="832">
        <v>0</v>
      </c>
      <c r="AH392" s="832">
        <v>0</v>
      </c>
      <c r="AI392" s="832">
        <v>0</v>
      </c>
      <c r="AJ392" s="1030" t="str">
        <f t="shared" si="36"/>
        <v>H15510</v>
      </c>
      <c r="AK392" s="1030" t="str">
        <f t="shared" si="37"/>
        <v>TAXES PAYÉ D'AVANCE</v>
      </c>
      <c r="AL392" s="1030">
        <f>IFERROR(INDEX(G392:R392,1,MATCH(Parametres!$B$3,G$1:R$1,0)-1)*IF(OR(F392="L",F392="S",F392="I"),-1,1),"")</f>
        <v>442462.99</v>
      </c>
      <c r="AM392" s="1030">
        <f t="shared" si="38"/>
        <v>-44314.719999999972</v>
      </c>
      <c r="AN392" s="1030">
        <f>INDEX(G392:R392,1,MATCH(Parametres!$B$3,G$1:R$1,0))*IF(OR(F392="L",F392="S",F392="I"),-1,1)</f>
        <v>398148.27</v>
      </c>
      <c r="AO392" s="598" t="str">
        <f>+VLOOKUP($AJ392,Data_Validation!$A:$D,1,0)</f>
        <v>H15510</v>
      </c>
      <c r="AP392" s="598" t="str">
        <f>+VLOOKUP($AJ392,Data_Validation!$A:$D,3,0)</f>
        <v>Bilan</v>
      </c>
      <c r="AQ392" s="598" t="str">
        <f>+VLOOKUP($AJ392,Data_Validation!$A:$D,4,0)</f>
        <v>Frais Payés d'Avance</v>
      </c>
      <c r="AR392" s="598" t="s">
        <v>299</v>
      </c>
      <c r="AS392" s="598">
        <f>+VLOOKUP($AJ392,Data_Validation!$A:$E,5,0)</f>
        <v>0</v>
      </c>
      <c r="AT392" s="1036" t="str">
        <f t="shared" si="39"/>
        <v>H15510</v>
      </c>
      <c r="AU392" s="599" t="str">
        <f t="shared" si="40"/>
        <v>TAXES PAYÉ D'AVANCE</v>
      </c>
      <c r="AV392" s="1030">
        <f>IFERROR(INDEX(V392:AG392,1,MATCH(Parametres!$B$3,V$1:AG$1,0)-1)*IF(OR(C392="L",C392="S",C392="I"),-1,1),"")</f>
        <v>0</v>
      </c>
      <c r="AW392" s="1030">
        <f t="shared" si="41"/>
        <v>0</v>
      </c>
      <c r="AX392" s="1030">
        <f>INDEX(V392:AG392,1,MATCH(Parametres!$B$3,V$1:AG$1,0))*IF(OR(C392="L",C392="S",C392="I"),-1,1)</f>
        <v>0</v>
      </c>
      <c r="AY392" s="598" t="s">
        <v>337</v>
      </c>
      <c r="AZ392" s="598">
        <f>+VLOOKUP($AJ392,Data_Validation!$A:$E,5,0)</f>
        <v>0</v>
      </c>
    </row>
    <row r="393" spans="1:52" ht="15.75" customHeight="1">
      <c r="A393" s="832" t="s">
        <v>1150</v>
      </c>
      <c r="B393" s="832">
        <v>2025</v>
      </c>
      <c r="C393" s="832" t="s">
        <v>1933</v>
      </c>
      <c r="D393" s="832" t="s">
        <v>1934</v>
      </c>
      <c r="E393" s="832" t="s">
        <v>333</v>
      </c>
      <c r="F393" s="832" t="s">
        <v>1792</v>
      </c>
      <c r="G393" s="832">
        <v>25689.43</v>
      </c>
      <c r="H393" s="832">
        <v>20951.04</v>
      </c>
      <c r="I393" s="832">
        <v>16212.65</v>
      </c>
      <c r="J393" s="832">
        <v>11474.26</v>
      </c>
      <c r="K393" s="832">
        <v>6735.87</v>
      </c>
      <c r="L393" s="832">
        <v>1997.48</v>
      </c>
      <c r="M393" s="832">
        <v>-2740.91</v>
      </c>
      <c r="N393" s="832">
        <v>42951.98</v>
      </c>
      <c r="O393" s="832">
        <v>38798.080000000002</v>
      </c>
      <c r="P393" s="832">
        <v>34644.18</v>
      </c>
      <c r="Q393" s="832">
        <v>26294.38</v>
      </c>
      <c r="R393" s="832">
        <v>23372.78</v>
      </c>
      <c r="S393" s="832">
        <v>0</v>
      </c>
      <c r="T393" s="832">
        <v>0</v>
      </c>
      <c r="U393" s="832">
        <v>0</v>
      </c>
      <c r="V393" s="832">
        <v>0</v>
      </c>
      <c r="W393" s="832">
        <v>0</v>
      </c>
      <c r="X393" s="832">
        <v>0</v>
      </c>
      <c r="Y393" s="832">
        <v>0</v>
      </c>
      <c r="Z393" s="832">
        <v>0</v>
      </c>
      <c r="AA393" s="832">
        <v>0</v>
      </c>
      <c r="AB393" s="832">
        <v>0</v>
      </c>
      <c r="AC393" s="832">
        <v>0</v>
      </c>
      <c r="AD393" s="832">
        <v>0</v>
      </c>
      <c r="AE393" s="832">
        <v>0</v>
      </c>
      <c r="AF393" s="832">
        <v>0</v>
      </c>
      <c r="AG393" s="832">
        <v>0</v>
      </c>
      <c r="AH393" s="832">
        <v>0</v>
      </c>
      <c r="AI393" s="832">
        <v>0</v>
      </c>
      <c r="AJ393" s="1030" t="str">
        <f t="shared" si="36"/>
        <v>H15600</v>
      </c>
      <c r="AK393" s="1030" t="str">
        <f t="shared" si="37"/>
        <v>ASSURANCE PAYÉ D'AVANCE</v>
      </c>
      <c r="AL393" s="1030">
        <f>IFERROR(INDEX(G393:R393,1,MATCH(Parametres!$B$3,G$1:R$1,0)-1)*IF(OR(F393="L",F393="S",F393="I"),-1,1),"")</f>
        <v>11474.26</v>
      </c>
      <c r="AM393" s="1030">
        <f t="shared" si="38"/>
        <v>-4738.3900000000003</v>
      </c>
      <c r="AN393" s="1030">
        <f>INDEX(G393:R393,1,MATCH(Parametres!$B$3,G$1:R$1,0))*IF(OR(F393="L",F393="S",F393="I"),-1,1)</f>
        <v>6735.87</v>
      </c>
      <c r="AO393" s="598" t="str">
        <f>+VLOOKUP($AJ393,Data_Validation!$A:$D,1,0)</f>
        <v>H15600</v>
      </c>
      <c r="AP393" s="598" t="str">
        <f>+VLOOKUP($AJ393,Data_Validation!$A:$D,3,0)</f>
        <v>Bilan</v>
      </c>
      <c r="AQ393" s="598" t="str">
        <f>+VLOOKUP($AJ393,Data_Validation!$A:$D,4,0)</f>
        <v>Frais Payés d'Avance</v>
      </c>
      <c r="AR393" s="598" t="s">
        <v>299</v>
      </c>
      <c r="AS393" s="598">
        <f>+VLOOKUP($AJ393,Data_Validation!$A:$E,5,0)</f>
        <v>0</v>
      </c>
      <c r="AT393" s="1036" t="str">
        <f t="shared" si="39"/>
        <v>H15600</v>
      </c>
      <c r="AU393" s="599" t="str">
        <f t="shared" si="40"/>
        <v>ASSURANCE PAYÉ D'AVANCE</v>
      </c>
      <c r="AV393" s="1030">
        <f>IFERROR(INDEX(V393:AG393,1,MATCH(Parametres!$B$3,V$1:AG$1,0)-1)*IF(OR(C393="L",C393="S",C393="I"),-1,1),"")</f>
        <v>0</v>
      </c>
      <c r="AW393" s="1030">
        <f t="shared" si="41"/>
        <v>0</v>
      </c>
      <c r="AX393" s="1030">
        <f>INDEX(V393:AG393,1,MATCH(Parametres!$B$3,V$1:AG$1,0))*IF(OR(C393="L",C393="S",C393="I"),-1,1)</f>
        <v>0</v>
      </c>
      <c r="AY393" s="598" t="s">
        <v>337</v>
      </c>
      <c r="AZ393" s="598">
        <f>+VLOOKUP($AJ393,Data_Validation!$A:$E,5,0)</f>
        <v>0</v>
      </c>
    </row>
    <row r="394" spans="1:52" ht="15.75" customHeight="1">
      <c r="A394" s="832" t="s">
        <v>1150</v>
      </c>
      <c r="B394" s="832">
        <v>2025</v>
      </c>
      <c r="C394" s="832" t="s">
        <v>1935</v>
      </c>
      <c r="D394" s="832" t="s">
        <v>1936</v>
      </c>
      <c r="E394" s="832" t="s">
        <v>333</v>
      </c>
      <c r="F394" s="832" t="s">
        <v>1153</v>
      </c>
      <c r="G394" s="832">
        <v>0</v>
      </c>
      <c r="H394" s="832">
        <v>0</v>
      </c>
      <c r="I394" s="832">
        <v>0</v>
      </c>
      <c r="J394" s="832">
        <v>0</v>
      </c>
      <c r="K394" s="832">
        <v>0</v>
      </c>
      <c r="L394" s="832">
        <v>0</v>
      </c>
      <c r="M394" s="832">
        <v>0</v>
      </c>
      <c r="N394" s="832">
        <v>0</v>
      </c>
      <c r="O394" s="832">
        <v>0</v>
      </c>
      <c r="P394" s="832">
        <v>0</v>
      </c>
      <c r="Q394" s="832">
        <v>0</v>
      </c>
      <c r="R394" s="832">
        <v>0</v>
      </c>
      <c r="S394" s="832">
        <v>0</v>
      </c>
      <c r="T394" s="832">
        <v>0</v>
      </c>
      <c r="U394" s="832">
        <v>0</v>
      </c>
      <c r="V394" s="832">
        <v>0</v>
      </c>
      <c r="W394" s="832">
        <v>0</v>
      </c>
      <c r="X394" s="832">
        <v>0</v>
      </c>
      <c r="Y394" s="832">
        <v>0</v>
      </c>
      <c r="Z394" s="832">
        <v>0</v>
      </c>
      <c r="AA394" s="832">
        <v>0</v>
      </c>
      <c r="AB394" s="832">
        <v>0</v>
      </c>
      <c r="AC394" s="832">
        <v>0</v>
      </c>
      <c r="AD394" s="832">
        <v>0</v>
      </c>
      <c r="AE394" s="832">
        <v>0</v>
      </c>
      <c r="AF394" s="832">
        <v>0</v>
      </c>
      <c r="AG394" s="832">
        <v>0</v>
      </c>
      <c r="AH394" s="832">
        <v>0</v>
      </c>
      <c r="AI394" s="832">
        <v>0</v>
      </c>
      <c r="AJ394" s="1030" t="str">
        <f t="shared" si="36"/>
        <v>H15610</v>
      </c>
      <c r="AK394" s="1030" t="str">
        <f t="shared" si="37"/>
        <v>ASSURANCE</v>
      </c>
      <c r="AL394" s="1030">
        <f>IFERROR(INDEX(G394:R394,1,MATCH(Parametres!$B$3,G$1:R$1,0)-1)*IF(OR(F394="L",F394="S",F394="I"),-1,1),"")</f>
        <v>0</v>
      </c>
      <c r="AM394" s="1030">
        <f t="shared" si="38"/>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t="str">
        <f t="shared" si="39"/>
        <v>H15610</v>
      </c>
      <c r="AU394" s="599" t="str">
        <f t="shared" si="40"/>
        <v>ASSURANCE</v>
      </c>
      <c r="AV394" s="1030">
        <f>IFERROR(INDEX(V394:AG394,1,MATCH(Parametres!$B$3,V$1:AG$1,0)-1)*IF(OR(C394="L",C394="S",C394="I"),-1,1),"")</f>
        <v>0</v>
      </c>
      <c r="AW394" s="1030">
        <f t="shared" si="41"/>
        <v>0</v>
      </c>
      <c r="AX394" s="1030">
        <f>INDEX(V394:AG394,1,MATCH(Parametres!$B$3,V$1:AG$1,0))*IF(OR(C394="L",C394="S",C394="I"),-1,1)</f>
        <v>0</v>
      </c>
      <c r="AY394" s="598" t="s">
        <v>337</v>
      </c>
      <c r="AZ394" s="598" t="e">
        <f>+VLOOKUP($AJ394,Data_Validation!$A:$E,5,0)</f>
        <v>#N/A</v>
      </c>
    </row>
    <row r="395" spans="1:52" ht="15.75" customHeight="1">
      <c r="A395" s="832" t="s">
        <v>1150</v>
      </c>
      <c r="B395" s="832">
        <v>2025</v>
      </c>
      <c r="C395" s="832" t="s">
        <v>1937</v>
      </c>
      <c r="D395" s="832" t="s">
        <v>1938</v>
      </c>
      <c r="E395" s="832" t="s">
        <v>333</v>
      </c>
      <c r="F395" s="832" t="s">
        <v>1792</v>
      </c>
      <c r="G395" s="832">
        <v>0</v>
      </c>
      <c r="H395" s="832">
        <v>0</v>
      </c>
      <c r="I395" s="832">
        <v>0</v>
      </c>
      <c r="J395" s="832">
        <v>0</v>
      </c>
      <c r="K395" s="832">
        <v>0</v>
      </c>
      <c r="L395" s="832">
        <v>0</v>
      </c>
      <c r="M395" s="832">
        <v>0</v>
      </c>
      <c r="N395" s="832">
        <v>0</v>
      </c>
      <c r="O395" s="832">
        <v>0</v>
      </c>
      <c r="P395" s="832">
        <v>0</v>
      </c>
      <c r="Q395" s="832">
        <v>0</v>
      </c>
      <c r="R395" s="832">
        <v>0</v>
      </c>
      <c r="S395" s="832">
        <v>0</v>
      </c>
      <c r="T395" s="832">
        <v>0</v>
      </c>
      <c r="U395" s="832">
        <v>0</v>
      </c>
      <c r="V395" s="832">
        <v>0</v>
      </c>
      <c r="W395" s="832">
        <v>0</v>
      </c>
      <c r="X395" s="832">
        <v>0</v>
      </c>
      <c r="Y395" s="832">
        <v>0</v>
      </c>
      <c r="Z395" s="832">
        <v>0</v>
      </c>
      <c r="AA395" s="832">
        <v>0</v>
      </c>
      <c r="AB395" s="832">
        <v>0</v>
      </c>
      <c r="AC395" s="832">
        <v>0</v>
      </c>
      <c r="AD395" s="832">
        <v>0</v>
      </c>
      <c r="AE395" s="832">
        <v>0</v>
      </c>
      <c r="AF395" s="832">
        <v>0</v>
      </c>
      <c r="AG395" s="832">
        <v>0</v>
      </c>
      <c r="AH395" s="832">
        <v>0</v>
      </c>
      <c r="AI395" s="832">
        <v>0</v>
      </c>
      <c r="AJ395" s="1030" t="str">
        <f t="shared" si="36"/>
        <v>H15700</v>
      </c>
      <c r="AK395" s="1030" t="str">
        <f t="shared" si="37"/>
        <v>C.S.S.T.</v>
      </c>
      <c r="AL395" s="1030">
        <f>IFERROR(INDEX(G395:R395,1,MATCH(Parametres!$B$3,G$1:R$1,0)-1)*IF(OR(F395="L",F395="S",F395="I"),-1,1),"")</f>
        <v>0</v>
      </c>
      <c r="AM395" s="1030">
        <f t="shared" si="38"/>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t="str">
        <f t="shared" si="39"/>
        <v>H15700</v>
      </c>
      <c r="AU395" s="599" t="str">
        <f t="shared" si="40"/>
        <v>C.S.S.T.</v>
      </c>
      <c r="AV395" s="1030">
        <f>IFERROR(INDEX(V395:AG395,1,MATCH(Parametres!$B$3,V$1:AG$1,0)-1)*IF(OR(C395="L",C395="S",C395="I"),-1,1),"")</f>
        <v>0</v>
      </c>
      <c r="AW395" s="1030">
        <f t="shared" si="41"/>
        <v>0</v>
      </c>
      <c r="AX395" s="1030">
        <f>INDEX(V395:AG395,1,MATCH(Parametres!$B$3,V$1:AG$1,0))*IF(OR(C395="L",C395="S",C395="I"),-1,1)</f>
        <v>0</v>
      </c>
      <c r="AY395" s="598" t="s">
        <v>337</v>
      </c>
      <c r="AZ395" s="598" t="e">
        <f>+VLOOKUP($AJ395,Data_Validation!$A:$E,5,0)</f>
        <v>#N/A</v>
      </c>
    </row>
    <row r="396" spans="1:52" ht="15.75" customHeight="1">
      <c r="A396" s="832" t="s">
        <v>1150</v>
      </c>
      <c r="B396" s="832">
        <v>2025</v>
      </c>
      <c r="C396" s="832" t="s">
        <v>1939</v>
      </c>
      <c r="D396" s="832" t="s">
        <v>1940</v>
      </c>
      <c r="E396" s="832" t="s">
        <v>333</v>
      </c>
      <c r="F396" s="832" t="s">
        <v>1792</v>
      </c>
      <c r="G396" s="832">
        <v>1275.31</v>
      </c>
      <c r="H396" s="832">
        <v>-1058.02</v>
      </c>
      <c r="I396" s="832">
        <v>56608.65</v>
      </c>
      <c r="J396" s="832">
        <v>63865.32</v>
      </c>
      <c r="K396" s="832">
        <v>61531.99</v>
      </c>
      <c r="L396" s="832">
        <v>59198.66</v>
      </c>
      <c r="M396" s="832">
        <v>56865.33</v>
      </c>
      <c r="N396" s="832">
        <v>62532</v>
      </c>
      <c r="O396" s="832">
        <v>63798.67</v>
      </c>
      <c r="P396" s="832">
        <v>64465.34</v>
      </c>
      <c r="Q396" s="832">
        <v>65632.009999999995</v>
      </c>
      <c r="R396" s="832">
        <v>63500</v>
      </c>
      <c r="S396" s="832">
        <v>0</v>
      </c>
      <c r="T396" s="832">
        <v>0</v>
      </c>
      <c r="U396" s="832">
        <v>0</v>
      </c>
      <c r="V396" s="832">
        <v>0</v>
      </c>
      <c r="W396" s="832">
        <v>0</v>
      </c>
      <c r="X396" s="832">
        <v>0</v>
      </c>
      <c r="Y396" s="832">
        <v>0</v>
      </c>
      <c r="Z396" s="832">
        <v>0</v>
      </c>
      <c r="AA396" s="832">
        <v>0</v>
      </c>
      <c r="AB396" s="832">
        <v>0</v>
      </c>
      <c r="AC396" s="832">
        <v>0</v>
      </c>
      <c r="AD396" s="832">
        <v>0</v>
      </c>
      <c r="AE396" s="832">
        <v>0</v>
      </c>
      <c r="AF396" s="832">
        <v>0</v>
      </c>
      <c r="AG396" s="832">
        <v>0</v>
      </c>
      <c r="AH396" s="832">
        <v>0</v>
      </c>
      <c r="AI396" s="832">
        <v>0</v>
      </c>
      <c r="AJ396" s="1030" t="str">
        <f t="shared" si="36"/>
        <v>H15800</v>
      </c>
      <c r="AK396" s="1030" t="str">
        <f t="shared" si="37"/>
        <v>DIVERS PAYÉ D'AVANCE</v>
      </c>
      <c r="AL396" s="1030">
        <f>IFERROR(INDEX(G396:R396,1,MATCH(Parametres!$B$3,G$1:R$1,0)-1)*IF(OR(F396="L",F396="S",F396="I"),-1,1),"")</f>
        <v>63865.32</v>
      </c>
      <c r="AM396" s="1030">
        <f t="shared" si="38"/>
        <v>-2333.3300000000017</v>
      </c>
      <c r="AN396" s="1030">
        <f>INDEX(G396:R396,1,MATCH(Parametres!$B$3,G$1:R$1,0))*IF(OR(F396="L",F396="S",F396="I"),-1,1)</f>
        <v>61531.99</v>
      </c>
      <c r="AO396" s="598" t="str">
        <f>+VLOOKUP($AJ396,Data_Validation!$A:$D,1,0)</f>
        <v>H15800</v>
      </c>
      <c r="AP396" s="598" t="str">
        <f>+VLOOKUP($AJ396,Data_Validation!$A:$D,3,0)</f>
        <v>Bilan</v>
      </c>
      <c r="AQ396" s="598" t="str">
        <f>+VLOOKUP($AJ396,Data_Validation!$A:$D,4,0)</f>
        <v>Frais Payés d'Avance</v>
      </c>
      <c r="AR396" s="598" t="s">
        <v>299</v>
      </c>
      <c r="AS396" s="598">
        <f>+VLOOKUP($AJ396,Data_Validation!$A:$E,5,0)</f>
        <v>0</v>
      </c>
      <c r="AT396" s="1036" t="str">
        <f t="shared" si="39"/>
        <v>H15800</v>
      </c>
      <c r="AU396" s="599" t="str">
        <f t="shared" si="40"/>
        <v>DIVERS PAYÉ D'AVANCE</v>
      </c>
      <c r="AV396" s="1030">
        <f>IFERROR(INDEX(V396:AG396,1,MATCH(Parametres!$B$3,V$1:AG$1,0)-1)*IF(OR(C396="L",C396="S",C396="I"),-1,1),"")</f>
        <v>0</v>
      </c>
      <c r="AW396" s="1030">
        <f t="shared" si="41"/>
        <v>0</v>
      </c>
      <c r="AX396" s="1030">
        <f>INDEX(V396:AG396,1,MATCH(Parametres!$B$3,V$1:AG$1,0))*IF(OR(C396="L",C396="S",C396="I"),-1,1)</f>
        <v>0</v>
      </c>
      <c r="AY396" s="598" t="s">
        <v>337</v>
      </c>
      <c r="AZ396" s="598">
        <f>+VLOOKUP($AJ396,Data_Validation!$A:$E,5,0)</f>
        <v>0</v>
      </c>
    </row>
    <row r="397" spans="1:52" ht="15.75" customHeight="1">
      <c r="A397" s="832" t="s">
        <v>1150</v>
      </c>
      <c r="B397" s="832">
        <v>2025</v>
      </c>
      <c r="C397" s="832" t="s">
        <v>1941</v>
      </c>
      <c r="D397" s="832" t="s">
        <v>1942</v>
      </c>
      <c r="E397" s="832" t="s">
        <v>1813</v>
      </c>
      <c r="F397" s="832" t="s">
        <v>1792</v>
      </c>
      <c r="G397" s="832">
        <v>0</v>
      </c>
      <c r="H397" s="832">
        <v>0</v>
      </c>
      <c r="I397" s="832">
        <v>4298.16</v>
      </c>
      <c r="J397" s="832">
        <v>8812.5400000000009</v>
      </c>
      <c r="K397" s="832">
        <v>8011.3</v>
      </c>
      <c r="L397" s="832">
        <v>8011.3</v>
      </c>
      <c r="M397" s="832">
        <v>8011.3</v>
      </c>
      <c r="N397" s="832">
        <v>8011.3</v>
      </c>
      <c r="O397" s="832">
        <v>8011.3</v>
      </c>
      <c r="P397" s="832">
        <v>4005.1</v>
      </c>
      <c r="Q397" s="832">
        <v>3203.86</v>
      </c>
      <c r="R397" s="832">
        <v>2402.62</v>
      </c>
      <c r="S397" s="832">
        <v>0</v>
      </c>
      <c r="T397" s="832">
        <v>0</v>
      </c>
      <c r="U397" s="832">
        <v>0</v>
      </c>
      <c r="V397" s="832">
        <v>0</v>
      </c>
      <c r="W397" s="832">
        <v>0</v>
      </c>
      <c r="X397" s="832">
        <v>0</v>
      </c>
      <c r="Y397" s="832">
        <v>0</v>
      </c>
      <c r="Z397" s="832">
        <v>0</v>
      </c>
      <c r="AA397" s="832">
        <v>0</v>
      </c>
      <c r="AB397" s="832">
        <v>0</v>
      </c>
      <c r="AC397" s="832">
        <v>0</v>
      </c>
      <c r="AD397" s="832">
        <v>0</v>
      </c>
      <c r="AE397" s="832">
        <v>0</v>
      </c>
      <c r="AF397" s="832">
        <v>0</v>
      </c>
      <c r="AG397" s="832">
        <v>0</v>
      </c>
      <c r="AH397" s="832">
        <v>0</v>
      </c>
      <c r="AI397" s="832">
        <v>0</v>
      </c>
      <c r="AJ397" s="1030" t="str">
        <f t="shared" si="36"/>
        <v>H15801</v>
      </c>
      <c r="AK397" s="1030" t="str">
        <f t="shared" si="37"/>
        <v>PLAQUES PAYÉ D'AVANCE</v>
      </c>
      <c r="AL397" s="1030">
        <f>IFERROR(INDEX(G397:R397,1,MATCH(Parametres!$B$3,G$1:R$1,0)-1)*IF(OR(F397="L",F397="S",F397="I"),-1,1),"")</f>
        <v>8812.5400000000009</v>
      </c>
      <c r="AM397" s="1030">
        <f t="shared" si="38"/>
        <v>-801.24000000000069</v>
      </c>
      <c r="AN397" s="1030">
        <f>INDEX(G397:R397,1,MATCH(Parametres!$B$3,G$1:R$1,0))*IF(OR(F397="L",F397="S",F397="I"),-1,1)</f>
        <v>8011.3</v>
      </c>
      <c r="AO397" s="598" t="str">
        <f>+VLOOKUP($AJ397,Data_Validation!$A:$D,1,0)</f>
        <v>H15801</v>
      </c>
      <c r="AP397" s="598" t="str">
        <f>+VLOOKUP($AJ397,Data_Validation!$A:$D,3,0)</f>
        <v>Bilan</v>
      </c>
      <c r="AQ397" s="598" t="str">
        <f>+VLOOKUP($AJ397,Data_Validation!$A:$D,4,0)</f>
        <v>Frais Payés d'Avance</v>
      </c>
      <c r="AR397" s="598" t="s">
        <v>299</v>
      </c>
      <c r="AS397" s="598">
        <f>+VLOOKUP($AJ397,Data_Validation!$A:$E,5,0)</f>
        <v>0</v>
      </c>
      <c r="AT397" s="1036" t="str">
        <f t="shared" si="39"/>
        <v>H15801</v>
      </c>
      <c r="AU397" s="599" t="str">
        <f t="shared" si="40"/>
        <v>PLAQUES PAYÉ D'AVANCE</v>
      </c>
      <c r="AV397" s="1030">
        <f>IFERROR(INDEX(V397:AG397,1,MATCH(Parametres!$B$3,V$1:AG$1,0)-1)*IF(OR(C397="L",C397="S",C397="I"),-1,1),"")</f>
        <v>0</v>
      </c>
      <c r="AW397" s="1030">
        <f t="shared" si="41"/>
        <v>0</v>
      </c>
      <c r="AX397" s="1030">
        <f>INDEX(V397:AG397,1,MATCH(Parametres!$B$3,V$1:AG$1,0))*IF(OR(C397="L",C397="S",C397="I"),-1,1)</f>
        <v>0</v>
      </c>
      <c r="AY397" s="598" t="s">
        <v>337</v>
      </c>
      <c r="AZ397" s="598">
        <f>+VLOOKUP($AJ397,Data_Validation!$A:$E,5,0)</f>
        <v>0</v>
      </c>
    </row>
    <row r="398" spans="1:52" ht="15.75" customHeight="1">
      <c r="A398" s="832" t="s">
        <v>1150</v>
      </c>
      <c r="B398" s="832">
        <v>2025</v>
      </c>
      <c r="C398" s="832" t="s">
        <v>1943</v>
      </c>
      <c r="D398" s="832" t="s">
        <v>1944</v>
      </c>
      <c r="E398" s="832" t="s">
        <v>333</v>
      </c>
      <c r="F398" s="832" t="s">
        <v>1792</v>
      </c>
      <c r="G398" s="832">
        <v>94160.14</v>
      </c>
      <c r="H398" s="832">
        <v>94160.14</v>
      </c>
      <c r="I398" s="832">
        <v>94160.14</v>
      </c>
      <c r="J398" s="832">
        <v>94160.14</v>
      </c>
      <c r="K398" s="832">
        <v>94160.14</v>
      </c>
      <c r="L398" s="832">
        <v>94160.14</v>
      </c>
      <c r="M398" s="832">
        <v>94160.14</v>
      </c>
      <c r="N398" s="832">
        <v>0</v>
      </c>
      <c r="O398" s="832">
        <v>0</v>
      </c>
      <c r="P398" s="832">
        <v>0</v>
      </c>
      <c r="Q398" s="832">
        <v>0</v>
      </c>
      <c r="R398" s="832">
        <v>0</v>
      </c>
      <c r="S398" s="832">
        <v>0</v>
      </c>
      <c r="T398" s="832">
        <v>0</v>
      </c>
      <c r="U398" s="832">
        <v>0</v>
      </c>
      <c r="V398" s="832">
        <v>0</v>
      </c>
      <c r="W398" s="832">
        <v>0</v>
      </c>
      <c r="X398" s="832">
        <v>0</v>
      </c>
      <c r="Y398" s="832">
        <v>0</v>
      </c>
      <c r="Z398" s="832">
        <v>0</v>
      </c>
      <c r="AA398" s="832">
        <v>0</v>
      </c>
      <c r="AB398" s="832">
        <v>0</v>
      </c>
      <c r="AC398" s="832">
        <v>0</v>
      </c>
      <c r="AD398" s="832">
        <v>0</v>
      </c>
      <c r="AE398" s="832">
        <v>0</v>
      </c>
      <c r="AF398" s="832">
        <v>0</v>
      </c>
      <c r="AG398" s="832">
        <v>0</v>
      </c>
      <c r="AH398" s="832">
        <v>0</v>
      </c>
      <c r="AI398" s="832">
        <v>0</v>
      </c>
      <c r="AJ398" s="1030" t="str">
        <f t="shared" si="36"/>
        <v>H15900</v>
      </c>
      <c r="AK398" s="1030" t="str">
        <f t="shared" si="37"/>
        <v>AVOCAT PAYÉ D'AVANCE</v>
      </c>
      <c r="AL398" s="1030">
        <f>IFERROR(INDEX(G398:R398,1,MATCH(Parametres!$B$3,G$1:R$1,0)-1)*IF(OR(F398="L",F398="S",F398="I"),-1,1),"")</f>
        <v>94160.14</v>
      </c>
      <c r="AM398" s="1030">
        <f t="shared" si="38"/>
        <v>0</v>
      </c>
      <c r="AN398" s="1030">
        <f>INDEX(G398:R398,1,MATCH(Parametres!$B$3,G$1:R$1,0))*IF(OR(F398="L",F398="S",F398="I"),-1,1)</f>
        <v>94160.14</v>
      </c>
      <c r="AO398" s="598" t="str">
        <f>+VLOOKUP($AJ398,Data_Validation!$A:$D,1,0)</f>
        <v>H15900</v>
      </c>
      <c r="AP398" s="598" t="str">
        <f>+VLOOKUP($AJ398,Data_Validation!$A:$D,3,0)</f>
        <v>Bilan</v>
      </c>
      <c r="AQ398" s="598" t="str">
        <f>+VLOOKUP($AJ398,Data_Validation!$A:$D,4,0)</f>
        <v>Frais Payés d'Avance</v>
      </c>
      <c r="AR398" s="598" t="s">
        <v>299</v>
      </c>
      <c r="AS398" s="598">
        <f>+VLOOKUP($AJ398,Data_Validation!$A:$E,5,0)</f>
        <v>0</v>
      </c>
      <c r="AT398" s="1036" t="str">
        <f t="shared" si="39"/>
        <v>H15900</v>
      </c>
      <c r="AU398" s="599" t="str">
        <f t="shared" si="40"/>
        <v>AVOCAT PAYÉ D'AVANCE</v>
      </c>
      <c r="AV398" s="1030">
        <f>IFERROR(INDEX(V398:AG398,1,MATCH(Parametres!$B$3,V$1:AG$1,0)-1)*IF(OR(C398="L",C398="S",C398="I"),-1,1),"")</f>
        <v>0</v>
      </c>
      <c r="AW398" s="1030">
        <f t="shared" si="41"/>
        <v>0</v>
      </c>
      <c r="AX398" s="1030">
        <f>INDEX(V398:AG398,1,MATCH(Parametres!$B$3,V$1:AG$1,0))*IF(OR(C398="L",C398="S",C398="I"),-1,1)</f>
        <v>0</v>
      </c>
      <c r="AY398" s="598" t="s">
        <v>337</v>
      </c>
      <c r="AZ398" s="598">
        <f>+VLOOKUP($AJ398,Data_Validation!$A:$E,5,0)</f>
        <v>0</v>
      </c>
    </row>
    <row r="399" spans="1:52" ht="15.75" customHeight="1">
      <c r="A399" s="832" t="s">
        <v>1150</v>
      </c>
      <c r="B399" s="832">
        <v>2025</v>
      </c>
      <c r="C399" s="832" t="s">
        <v>1945</v>
      </c>
      <c r="D399" s="832" t="s">
        <v>1946</v>
      </c>
      <c r="E399" s="832" t="s">
        <v>333</v>
      </c>
      <c r="F399" s="832" t="s">
        <v>1792</v>
      </c>
      <c r="G399" s="832">
        <v>0</v>
      </c>
      <c r="H399" s="832">
        <v>-8000</v>
      </c>
      <c r="I399" s="832">
        <v>-9000</v>
      </c>
      <c r="J399" s="832">
        <v>-10000</v>
      </c>
      <c r="K399" s="832">
        <v>-11000</v>
      </c>
      <c r="L399" s="832">
        <v>-12000</v>
      </c>
      <c r="M399" s="832">
        <v>-13000</v>
      </c>
      <c r="N399" s="832">
        <v>-14000</v>
      </c>
      <c r="O399" s="832">
        <v>-2491.1</v>
      </c>
      <c r="P399" s="832">
        <v>-16000</v>
      </c>
      <c r="Q399" s="832">
        <v>-17000</v>
      </c>
      <c r="R399" s="832">
        <v>-18000</v>
      </c>
      <c r="S399" s="832">
        <v>0</v>
      </c>
      <c r="T399" s="832">
        <v>0</v>
      </c>
      <c r="U399" s="832">
        <v>0</v>
      </c>
      <c r="V399" s="832">
        <v>0</v>
      </c>
      <c r="W399" s="832">
        <v>0</v>
      </c>
      <c r="X399" s="832">
        <v>0</v>
      </c>
      <c r="Y399" s="832">
        <v>0</v>
      </c>
      <c r="Z399" s="832">
        <v>0</v>
      </c>
      <c r="AA399" s="832">
        <v>0</v>
      </c>
      <c r="AB399" s="832">
        <v>0</v>
      </c>
      <c r="AC399" s="832">
        <v>0</v>
      </c>
      <c r="AD399" s="832">
        <v>0</v>
      </c>
      <c r="AE399" s="832">
        <v>0</v>
      </c>
      <c r="AF399" s="832">
        <v>0</v>
      </c>
      <c r="AG399" s="832">
        <v>0</v>
      </c>
      <c r="AH399" s="832">
        <v>0</v>
      </c>
      <c r="AI399" s="832">
        <v>0</v>
      </c>
      <c r="AJ399" s="1030" t="str">
        <f t="shared" si="36"/>
        <v>H16000</v>
      </c>
      <c r="AK399" s="1030" t="str">
        <f t="shared" si="37"/>
        <v>VÉRIF PAYÉ D'AVANCE</v>
      </c>
      <c r="AL399" s="1030">
        <f>IFERROR(INDEX(G399:R399,1,MATCH(Parametres!$B$3,G$1:R$1,0)-1)*IF(OR(F399="L",F399="S",F399="I"),-1,1),"")</f>
        <v>-10000</v>
      </c>
      <c r="AM399" s="1030">
        <f t="shared" si="38"/>
        <v>-1000</v>
      </c>
      <c r="AN399" s="1030">
        <f>INDEX(G399:R399,1,MATCH(Parametres!$B$3,G$1:R$1,0))*IF(OR(F399="L",F399="S",F399="I"),-1,1)</f>
        <v>-11000</v>
      </c>
      <c r="AO399" s="598" t="str">
        <f>+VLOOKUP($AJ399,Data_Validation!$A:$D,1,0)</f>
        <v>H16000</v>
      </c>
      <c r="AP399" s="598" t="str">
        <f>+VLOOKUP($AJ399,Data_Validation!$A:$D,3,0)</f>
        <v>Bilan</v>
      </c>
      <c r="AQ399" s="598" t="str">
        <f>+VLOOKUP($AJ399,Data_Validation!$A:$D,4,0)</f>
        <v>Frais Payés d'Avance</v>
      </c>
      <c r="AR399" s="598" t="s">
        <v>299</v>
      </c>
      <c r="AS399" s="598">
        <f>+VLOOKUP($AJ399,Data_Validation!$A:$E,5,0)</f>
        <v>0</v>
      </c>
      <c r="AT399" s="1036" t="str">
        <f t="shared" si="39"/>
        <v>H16000</v>
      </c>
      <c r="AU399" s="599" t="str">
        <f t="shared" si="40"/>
        <v>VÉRIF PAYÉ D'AVANCE</v>
      </c>
      <c r="AV399" s="1030">
        <f>IFERROR(INDEX(V399:AG399,1,MATCH(Parametres!$B$3,V$1:AG$1,0)-1)*IF(OR(C399="L",C399="S",C399="I"),-1,1),"")</f>
        <v>0</v>
      </c>
      <c r="AW399" s="1030">
        <f t="shared" si="41"/>
        <v>0</v>
      </c>
      <c r="AX399" s="1030">
        <f>INDEX(V399:AG399,1,MATCH(Parametres!$B$3,V$1:AG$1,0))*IF(OR(C399="L",C399="S",C399="I"),-1,1)</f>
        <v>0</v>
      </c>
      <c r="AY399" s="598" t="s">
        <v>337</v>
      </c>
      <c r="AZ399" s="598">
        <f>+VLOOKUP($AJ399,Data_Validation!$A:$E,5,0)</f>
        <v>0</v>
      </c>
    </row>
    <row r="400" spans="1:52" ht="15.75" customHeight="1">
      <c r="A400" s="832" t="s">
        <v>1150</v>
      </c>
      <c r="B400" s="832">
        <v>2025</v>
      </c>
      <c r="C400" s="832" t="s">
        <v>1947</v>
      </c>
      <c r="D400" s="832" t="s">
        <v>1948</v>
      </c>
      <c r="E400" s="832" t="s">
        <v>333</v>
      </c>
      <c r="F400" s="832" t="s">
        <v>1792</v>
      </c>
      <c r="G400" s="832">
        <v>0</v>
      </c>
      <c r="H400" s="832">
        <v>0</v>
      </c>
      <c r="I400" s="832">
        <v>0</v>
      </c>
      <c r="J400" s="832">
        <v>0</v>
      </c>
      <c r="K400" s="832">
        <v>0</v>
      </c>
      <c r="L400" s="832">
        <v>0</v>
      </c>
      <c r="M400" s="832">
        <v>0</v>
      </c>
      <c r="N400" s="832">
        <v>0</v>
      </c>
      <c r="O400" s="832">
        <v>0</v>
      </c>
      <c r="P400" s="832">
        <v>0</v>
      </c>
      <c r="Q400" s="832">
        <v>0</v>
      </c>
      <c r="R400" s="832">
        <v>0</v>
      </c>
      <c r="S400" s="832">
        <v>0</v>
      </c>
      <c r="T400" s="832">
        <v>0</v>
      </c>
      <c r="U400" s="832">
        <v>0</v>
      </c>
      <c r="V400" s="832">
        <v>0</v>
      </c>
      <c r="W400" s="832">
        <v>0</v>
      </c>
      <c r="X400" s="832">
        <v>0</v>
      </c>
      <c r="Y400" s="832">
        <v>0</v>
      </c>
      <c r="Z400" s="832">
        <v>0</v>
      </c>
      <c r="AA400" s="832">
        <v>0</v>
      </c>
      <c r="AB400" s="832">
        <v>0</v>
      </c>
      <c r="AC400" s="832">
        <v>0</v>
      </c>
      <c r="AD400" s="832">
        <v>0</v>
      </c>
      <c r="AE400" s="832">
        <v>0</v>
      </c>
      <c r="AF400" s="832">
        <v>0</v>
      </c>
      <c r="AG400" s="832">
        <v>0</v>
      </c>
      <c r="AH400" s="832">
        <v>0</v>
      </c>
      <c r="AI400" s="832">
        <v>0</v>
      </c>
      <c r="AJ400" s="1030" t="str">
        <f t="shared" si="36"/>
        <v>H16100</v>
      </c>
      <c r="AK400" s="1030" t="str">
        <f t="shared" si="37"/>
        <v>OTHER CURRENT ASSETS</v>
      </c>
      <c r="AL400" s="1030">
        <f>IFERROR(INDEX(G400:R400,1,MATCH(Parametres!$B$3,G$1:R$1,0)-1)*IF(OR(F400="L",F400="S",F400="I"),-1,1),"")</f>
        <v>0</v>
      </c>
      <c r="AM400" s="1030">
        <f t="shared" si="38"/>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t="str">
        <f t="shared" si="39"/>
        <v>H16100</v>
      </c>
      <c r="AU400" s="599" t="str">
        <f t="shared" si="40"/>
        <v>OTHER CURRENT ASSETS</v>
      </c>
      <c r="AV400" s="1030">
        <f>IFERROR(INDEX(V400:AG400,1,MATCH(Parametres!$B$3,V$1:AG$1,0)-1)*IF(OR(C400="L",C400="S",C400="I"),-1,1),"")</f>
        <v>0</v>
      </c>
      <c r="AW400" s="1030">
        <f t="shared" si="41"/>
        <v>0</v>
      </c>
      <c r="AX400" s="1030">
        <f>INDEX(V400:AG400,1,MATCH(Parametres!$B$3,V$1:AG$1,0))*IF(OR(C400="L",C400="S",C400="I"),-1,1)</f>
        <v>0</v>
      </c>
      <c r="AY400" s="598" t="s">
        <v>337</v>
      </c>
      <c r="AZ400" s="598" t="e">
        <f>+VLOOKUP($AJ400,Data_Validation!$A:$E,5,0)</f>
        <v>#N/A</v>
      </c>
    </row>
    <row r="401" spans="1:52" ht="15.75" customHeight="1">
      <c r="A401" s="832" t="s">
        <v>1150</v>
      </c>
      <c r="B401" s="832">
        <v>2025</v>
      </c>
      <c r="C401" s="832" t="s">
        <v>1949</v>
      </c>
      <c r="D401" s="832" t="s">
        <v>1950</v>
      </c>
      <c r="E401" s="832" t="s">
        <v>333</v>
      </c>
      <c r="F401" s="832" t="s">
        <v>1792</v>
      </c>
      <c r="G401" s="832">
        <v>0</v>
      </c>
      <c r="H401" s="832">
        <v>0</v>
      </c>
      <c r="I401" s="832">
        <v>0</v>
      </c>
      <c r="J401" s="832">
        <v>0</v>
      </c>
      <c r="K401" s="832">
        <v>0</v>
      </c>
      <c r="L401" s="832">
        <v>0</v>
      </c>
      <c r="M401" s="832">
        <v>0</v>
      </c>
      <c r="N401" s="832">
        <v>0</v>
      </c>
      <c r="O401" s="832">
        <v>0</v>
      </c>
      <c r="P401" s="832">
        <v>0</v>
      </c>
      <c r="Q401" s="832">
        <v>0</v>
      </c>
      <c r="R401" s="832">
        <v>0</v>
      </c>
      <c r="S401" s="832">
        <v>0</v>
      </c>
      <c r="T401" s="832">
        <v>0</v>
      </c>
      <c r="U401" s="832">
        <v>0</v>
      </c>
      <c r="V401" s="832">
        <v>0</v>
      </c>
      <c r="W401" s="832">
        <v>0</v>
      </c>
      <c r="X401" s="832">
        <v>0</v>
      </c>
      <c r="Y401" s="832">
        <v>0</v>
      </c>
      <c r="Z401" s="832">
        <v>0</v>
      </c>
      <c r="AA401" s="832">
        <v>0</v>
      </c>
      <c r="AB401" s="832">
        <v>0</v>
      </c>
      <c r="AC401" s="832">
        <v>0</v>
      </c>
      <c r="AD401" s="832">
        <v>0</v>
      </c>
      <c r="AE401" s="832">
        <v>0</v>
      </c>
      <c r="AF401" s="832">
        <v>0</v>
      </c>
      <c r="AG401" s="832">
        <v>0</v>
      </c>
      <c r="AH401" s="832">
        <v>0</v>
      </c>
      <c r="AI401" s="832">
        <v>0</v>
      </c>
      <c r="AJ401" s="1030" t="str">
        <f t="shared" si="36"/>
        <v>H16500</v>
      </c>
      <c r="AK401" s="1030" t="str">
        <f t="shared" si="37"/>
        <v>TERRAIN</v>
      </c>
      <c r="AL401" s="1030">
        <f>IFERROR(INDEX(G401:R401,1,MATCH(Parametres!$B$3,G$1:R$1,0)-1)*IF(OR(F401="L",F401="S",F401="I"),-1,1),"")</f>
        <v>0</v>
      </c>
      <c r="AM401" s="1030">
        <f t="shared" si="38"/>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t="str">
        <f t="shared" si="39"/>
        <v>H16500</v>
      </c>
      <c r="AU401" s="599" t="str">
        <f t="shared" si="40"/>
        <v>TERRAIN</v>
      </c>
      <c r="AV401" s="1030">
        <f>IFERROR(INDEX(V401:AG401,1,MATCH(Parametres!$B$3,V$1:AG$1,0)-1)*IF(OR(C401="L",C401="S",C401="I"),-1,1),"")</f>
        <v>0</v>
      </c>
      <c r="AW401" s="1030">
        <f t="shared" si="41"/>
        <v>0</v>
      </c>
      <c r="AX401" s="1030">
        <f>INDEX(V401:AG401,1,MATCH(Parametres!$B$3,V$1:AG$1,0))*IF(OR(C401="L",C401="S",C401="I"),-1,1)</f>
        <v>0</v>
      </c>
      <c r="AY401" s="598" t="s">
        <v>337</v>
      </c>
      <c r="AZ401" s="598" t="e">
        <f>+VLOOKUP($AJ401,Data_Validation!$A:$E,5,0)</f>
        <v>#N/A</v>
      </c>
    </row>
    <row r="402" spans="1:52" ht="15.75" customHeight="1">
      <c r="A402" s="832" t="s">
        <v>1150</v>
      </c>
      <c r="B402" s="832">
        <v>2025</v>
      </c>
      <c r="C402" s="832" t="s">
        <v>1951</v>
      </c>
      <c r="D402" s="832" t="s">
        <v>1952</v>
      </c>
      <c r="E402" s="832" t="s">
        <v>333</v>
      </c>
      <c r="F402" s="832" t="s">
        <v>1792</v>
      </c>
      <c r="G402" s="832">
        <v>0</v>
      </c>
      <c r="H402" s="832">
        <v>0</v>
      </c>
      <c r="I402" s="832">
        <v>0</v>
      </c>
      <c r="J402" s="832">
        <v>0</v>
      </c>
      <c r="K402" s="832">
        <v>0</v>
      </c>
      <c r="L402" s="832">
        <v>0</v>
      </c>
      <c r="M402" s="832">
        <v>0</v>
      </c>
      <c r="N402" s="832">
        <v>0</v>
      </c>
      <c r="O402" s="832">
        <v>0</v>
      </c>
      <c r="P402" s="832">
        <v>0</v>
      </c>
      <c r="Q402" s="832">
        <v>0</v>
      </c>
      <c r="R402" s="832">
        <v>0</v>
      </c>
      <c r="S402" s="832">
        <v>0</v>
      </c>
      <c r="T402" s="832">
        <v>0</v>
      </c>
      <c r="U402" s="832">
        <v>0</v>
      </c>
      <c r="V402" s="832">
        <v>0</v>
      </c>
      <c r="W402" s="832">
        <v>0</v>
      </c>
      <c r="X402" s="832">
        <v>0</v>
      </c>
      <c r="Y402" s="832">
        <v>0</v>
      </c>
      <c r="Z402" s="832">
        <v>0</v>
      </c>
      <c r="AA402" s="832">
        <v>0</v>
      </c>
      <c r="AB402" s="832">
        <v>0</v>
      </c>
      <c r="AC402" s="832">
        <v>0</v>
      </c>
      <c r="AD402" s="832">
        <v>0</v>
      </c>
      <c r="AE402" s="832">
        <v>0</v>
      </c>
      <c r="AF402" s="832">
        <v>0</v>
      </c>
      <c r="AG402" s="832">
        <v>0</v>
      </c>
      <c r="AH402" s="832">
        <v>0</v>
      </c>
      <c r="AI402" s="832">
        <v>0</v>
      </c>
      <c r="AJ402" s="1030" t="str">
        <f t="shared" si="36"/>
        <v>H16700</v>
      </c>
      <c r="AK402" s="1030" t="str">
        <f t="shared" si="37"/>
        <v>BATIMENTS</v>
      </c>
      <c r="AL402" s="1030">
        <f>IFERROR(INDEX(G402:R402,1,MATCH(Parametres!$B$3,G$1:R$1,0)-1)*IF(OR(F402="L",F402="S",F402="I"),-1,1),"")</f>
        <v>0</v>
      </c>
      <c r="AM402" s="1030">
        <f t="shared" si="38"/>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t="str">
        <f t="shared" si="39"/>
        <v>H16700</v>
      </c>
      <c r="AU402" s="599" t="str">
        <f t="shared" si="40"/>
        <v>BATIMENTS</v>
      </c>
      <c r="AV402" s="1030">
        <f>IFERROR(INDEX(V402:AG402,1,MATCH(Parametres!$B$3,V$1:AG$1,0)-1)*IF(OR(C402="L",C402="S",C402="I"),-1,1),"")</f>
        <v>0</v>
      </c>
      <c r="AW402" s="1030">
        <f t="shared" si="41"/>
        <v>0</v>
      </c>
      <c r="AX402" s="1030">
        <f>INDEX(V402:AG402,1,MATCH(Parametres!$B$3,V$1:AG$1,0))*IF(OR(C402="L",C402="S",C402="I"),-1,1)</f>
        <v>0</v>
      </c>
      <c r="AY402" s="598" t="s">
        <v>337</v>
      </c>
      <c r="AZ402" s="598" t="e">
        <f>+VLOOKUP($AJ402,Data_Validation!$A:$E,5,0)</f>
        <v>#N/A</v>
      </c>
    </row>
    <row r="403" spans="1:52" ht="15.75" customHeight="1">
      <c r="A403" s="832" t="s">
        <v>1150</v>
      </c>
      <c r="B403" s="832">
        <v>2025</v>
      </c>
      <c r="C403" s="832" t="s">
        <v>1953</v>
      </c>
      <c r="D403" s="832" t="s">
        <v>1954</v>
      </c>
      <c r="E403" s="832" t="s">
        <v>333</v>
      </c>
      <c r="F403" s="832" t="s">
        <v>1792</v>
      </c>
      <c r="G403" s="832">
        <v>0</v>
      </c>
      <c r="H403" s="832">
        <v>0</v>
      </c>
      <c r="I403" s="832">
        <v>0</v>
      </c>
      <c r="J403" s="832">
        <v>0</v>
      </c>
      <c r="K403" s="832">
        <v>0</v>
      </c>
      <c r="L403" s="832">
        <v>0</v>
      </c>
      <c r="M403" s="832">
        <v>0</v>
      </c>
      <c r="N403" s="832">
        <v>0</v>
      </c>
      <c r="O403" s="832">
        <v>0</v>
      </c>
      <c r="P403" s="832">
        <v>0</v>
      </c>
      <c r="Q403" s="832">
        <v>0</v>
      </c>
      <c r="R403" s="832">
        <v>0</v>
      </c>
      <c r="S403" s="832">
        <v>0</v>
      </c>
      <c r="T403" s="832">
        <v>0</v>
      </c>
      <c r="U403" s="832">
        <v>0</v>
      </c>
      <c r="V403" s="832">
        <v>0</v>
      </c>
      <c r="W403" s="832">
        <v>0</v>
      </c>
      <c r="X403" s="832">
        <v>0</v>
      </c>
      <c r="Y403" s="832">
        <v>0</v>
      </c>
      <c r="Z403" s="832">
        <v>0</v>
      </c>
      <c r="AA403" s="832">
        <v>0</v>
      </c>
      <c r="AB403" s="832">
        <v>0</v>
      </c>
      <c r="AC403" s="832">
        <v>0</v>
      </c>
      <c r="AD403" s="832">
        <v>0</v>
      </c>
      <c r="AE403" s="832">
        <v>0</v>
      </c>
      <c r="AF403" s="832">
        <v>0</v>
      </c>
      <c r="AG403" s="832">
        <v>0</v>
      </c>
      <c r="AH403" s="832">
        <v>0</v>
      </c>
      <c r="AI403" s="832">
        <v>0</v>
      </c>
      <c r="AJ403" s="1030" t="str">
        <f t="shared" si="36"/>
        <v>H16800</v>
      </c>
      <c r="AK403" s="1030" t="str">
        <f t="shared" si="37"/>
        <v>AMORT-BATIMENTS</v>
      </c>
      <c r="AL403" s="1030">
        <f>IFERROR(INDEX(G403:R403,1,MATCH(Parametres!$B$3,G$1:R$1,0)-1)*IF(OR(F403="L",F403="S",F403="I"),-1,1),"")</f>
        <v>0</v>
      </c>
      <c r="AM403" s="1030">
        <f t="shared" si="38"/>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t="str">
        <f t="shared" si="39"/>
        <v>H16800</v>
      </c>
      <c r="AU403" s="599" t="str">
        <f t="shared" si="40"/>
        <v>AMORT-BATIMENTS</v>
      </c>
      <c r="AV403" s="1030">
        <f>IFERROR(INDEX(V403:AG403,1,MATCH(Parametres!$B$3,V$1:AG$1,0)-1)*IF(OR(C403="L",C403="S",C403="I"),-1,1),"")</f>
        <v>0</v>
      </c>
      <c r="AW403" s="1030">
        <f t="shared" si="41"/>
        <v>0</v>
      </c>
      <c r="AX403" s="1030">
        <f>INDEX(V403:AG403,1,MATCH(Parametres!$B$3,V$1:AG$1,0))*IF(OR(C403="L",C403="S",C403="I"),-1,1)</f>
        <v>0</v>
      </c>
      <c r="AY403" s="598" t="s">
        <v>337</v>
      </c>
      <c r="AZ403" s="598" t="e">
        <f>+VLOOKUP($AJ403,Data_Validation!$A:$E,5,0)</f>
        <v>#N/A</v>
      </c>
    </row>
    <row r="404" spans="1:52" ht="15.75" customHeight="1">
      <c r="A404" s="832" t="s">
        <v>1150</v>
      </c>
      <c r="B404" s="832">
        <v>2025</v>
      </c>
      <c r="C404" s="832" t="s">
        <v>1955</v>
      </c>
      <c r="D404" s="832" t="s">
        <v>1956</v>
      </c>
      <c r="E404" s="832" t="s">
        <v>333</v>
      </c>
      <c r="F404" s="832" t="s">
        <v>1792</v>
      </c>
      <c r="G404" s="832">
        <v>0</v>
      </c>
      <c r="H404" s="832">
        <v>0</v>
      </c>
      <c r="I404" s="832">
        <v>0</v>
      </c>
      <c r="J404" s="832">
        <v>0</v>
      </c>
      <c r="K404" s="832">
        <v>0</v>
      </c>
      <c r="L404" s="832">
        <v>0</v>
      </c>
      <c r="M404" s="832">
        <v>0</v>
      </c>
      <c r="N404" s="832">
        <v>0</v>
      </c>
      <c r="O404" s="832">
        <v>0</v>
      </c>
      <c r="P404" s="832">
        <v>0</v>
      </c>
      <c r="Q404" s="832">
        <v>0</v>
      </c>
      <c r="R404" s="832">
        <v>0</v>
      </c>
      <c r="S404" s="832">
        <v>0</v>
      </c>
      <c r="T404" s="832">
        <v>0</v>
      </c>
      <c r="U404" s="832">
        <v>0</v>
      </c>
      <c r="V404" s="832">
        <v>0</v>
      </c>
      <c r="W404" s="832">
        <v>0</v>
      </c>
      <c r="X404" s="832">
        <v>0</v>
      </c>
      <c r="Y404" s="832">
        <v>0</v>
      </c>
      <c r="Z404" s="832">
        <v>0</v>
      </c>
      <c r="AA404" s="832">
        <v>0</v>
      </c>
      <c r="AB404" s="832">
        <v>0</v>
      </c>
      <c r="AC404" s="832">
        <v>0</v>
      </c>
      <c r="AD404" s="832">
        <v>0</v>
      </c>
      <c r="AE404" s="832">
        <v>0</v>
      </c>
      <c r="AF404" s="832">
        <v>0</v>
      </c>
      <c r="AG404" s="832">
        <v>0</v>
      </c>
      <c r="AH404" s="832">
        <v>0</v>
      </c>
      <c r="AI404" s="832">
        <v>0</v>
      </c>
      <c r="AJ404" s="1030" t="str">
        <f t="shared" si="36"/>
        <v>H17000</v>
      </c>
      <c r="AK404" s="1030" t="str">
        <f t="shared" si="37"/>
        <v>INSTALLATIONS FIXES</v>
      </c>
      <c r="AL404" s="1030">
        <f>IFERROR(INDEX(G404:R404,1,MATCH(Parametres!$B$3,G$1:R$1,0)-1)*IF(OR(F404="L",F404="S",F404="I"),-1,1),"")</f>
        <v>0</v>
      </c>
      <c r="AM404" s="1030">
        <f t="shared" si="38"/>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t="str">
        <f t="shared" si="39"/>
        <v>H17000</v>
      </c>
      <c r="AU404" s="599" t="str">
        <f t="shared" si="40"/>
        <v>INSTALLATIONS FIXES</v>
      </c>
      <c r="AV404" s="1030">
        <f>IFERROR(INDEX(V404:AG404,1,MATCH(Parametres!$B$3,V$1:AG$1,0)-1)*IF(OR(C404="L",C404="S",C404="I"),-1,1),"")</f>
        <v>0</v>
      </c>
      <c r="AW404" s="1030">
        <f t="shared" si="41"/>
        <v>0</v>
      </c>
      <c r="AX404" s="1030">
        <f>INDEX(V404:AG404,1,MATCH(Parametres!$B$3,V$1:AG$1,0))*IF(OR(C404="L",C404="S",C404="I"),-1,1)</f>
        <v>0</v>
      </c>
      <c r="AY404" s="598" t="s">
        <v>337</v>
      </c>
      <c r="AZ404" s="598" t="e">
        <f>+VLOOKUP($AJ404,Data_Validation!$A:$E,5,0)</f>
        <v>#N/A</v>
      </c>
    </row>
    <row r="405" spans="1:52" ht="15.75" customHeight="1">
      <c r="A405" s="832" t="s">
        <v>1150</v>
      </c>
      <c r="B405" s="832">
        <v>2025</v>
      </c>
      <c r="C405" s="832" t="s">
        <v>1957</v>
      </c>
      <c r="D405" s="832" t="s">
        <v>1958</v>
      </c>
      <c r="E405" s="832" t="s">
        <v>333</v>
      </c>
      <c r="F405" s="832" t="s">
        <v>1792</v>
      </c>
      <c r="G405" s="832">
        <v>0</v>
      </c>
      <c r="H405" s="832">
        <v>0</v>
      </c>
      <c r="I405" s="832">
        <v>0</v>
      </c>
      <c r="J405" s="832">
        <v>0</v>
      </c>
      <c r="K405" s="832">
        <v>0</v>
      </c>
      <c r="L405" s="832">
        <v>0</v>
      </c>
      <c r="M405" s="832">
        <v>0</v>
      </c>
      <c r="N405" s="832">
        <v>0</v>
      </c>
      <c r="O405" s="832">
        <v>0</v>
      </c>
      <c r="P405" s="832">
        <v>0</v>
      </c>
      <c r="Q405" s="832">
        <v>0</v>
      </c>
      <c r="R405" s="832">
        <v>0</v>
      </c>
      <c r="S405" s="832">
        <v>0</v>
      </c>
      <c r="T405" s="832">
        <v>0</v>
      </c>
      <c r="U405" s="832">
        <v>0</v>
      </c>
      <c r="V405" s="832">
        <v>0</v>
      </c>
      <c r="W405" s="832">
        <v>0</v>
      </c>
      <c r="X405" s="832">
        <v>0</v>
      </c>
      <c r="Y405" s="832">
        <v>0</v>
      </c>
      <c r="Z405" s="832">
        <v>0</v>
      </c>
      <c r="AA405" s="832">
        <v>0</v>
      </c>
      <c r="AB405" s="832">
        <v>0</v>
      </c>
      <c r="AC405" s="832">
        <v>0</v>
      </c>
      <c r="AD405" s="832">
        <v>0</v>
      </c>
      <c r="AE405" s="832">
        <v>0</v>
      </c>
      <c r="AF405" s="832">
        <v>0</v>
      </c>
      <c r="AG405" s="832">
        <v>0</v>
      </c>
      <c r="AH405" s="832">
        <v>0</v>
      </c>
      <c r="AI405" s="832">
        <v>0</v>
      </c>
      <c r="AJ405" s="1030" t="str">
        <f t="shared" si="36"/>
        <v>H17100</v>
      </c>
      <c r="AK405" s="1030" t="str">
        <f t="shared" si="37"/>
        <v>AMORT-INSTALLATIONS FIXES</v>
      </c>
      <c r="AL405" s="1030">
        <f>IFERROR(INDEX(G405:R405,1,MATCH(Parametres!$B$3,G$1:R$1,0)-1)*IF(OR(F405="L",F405="S",F405="I"),-1,1),"")</f>
        <v>0</v>
      </c>
      <c r="AM405" s="1030">
        <f t="shared" si="38"/>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t="str">
        <f t="shared" si="39"/>
        <v>H17100</v>
      </c>
      <c r="AU405" s="599" t="str">
        <f t="shared" si="40"/>
        <v>AMORT-INSTALLATIONS FIXES</v>
      </c>
      <c r="AV405" s="1030">
        <f>IFERROR(INDEX(V405:AG405,1,MATCH(Parametres!$B$3,V$1:AG$1,0)-1)*IF(OR(C405="L",C405="S",C405="I"),-1,1),"")</f>
        <v>0</v>
      </c>
      <c r="AW405" s="1030">
        <f t="shared" si="41"/>
        <v>0</v>
      </c>
      <c r="AX405" s="1030">
        <f>INDEX(V405:AG405,1,MATCH(Parametres!$B$3,V$1:AG$1,0))*IF(OR(C405="L",C405="S",C405="I"),-1,1)</f>
        <v>0</v>
      </c>
      <c r="AY405" s="598" t="s">
        <v>337</v>
      </c>
      <c r="AZ405" s="598" t="e">
        <f>+VLOOKUP($AJ405,Data_Validation!$A:$E,5,0)</f>
        <v>#N/A</v>
      </c>
    </row>
    <row r="406" spans="1:52" ht="15.75" customHeight="1">
      <c r="A406" s="832" t="s">
        <v>1150</v>
      </c>
      <c r="B406" s="832">
        <v>2025</v>
      </c>
      <c r="C406" s="832" t="s">
        <v>1959</v>
      </c>
      <c r="D406" s="832" t="s">
        <v>1960</v>
      </c>
      <c r="E406" s="832" t="s">
        <v>333</v>
      </c>
      <c r="F406" s="832" t="s">
        <v>1792</v>
      </c>
      <c r="G406" s="832">
        <v>132559.74</v>
      </c>
      <c r="H406" s="832">
        <v>132559.74</v>
      </c>
      <c r="I406" s="832">
        <v>132559.74</v>
      </c>
      <c r="J406" s="832">
        <v>132559.74</v>
      </c>
      <c r="K406" s="832">
        <v>139216.13</v>
      </c>
      <c r="L406" s="832">
        <v>132620.64000000001</v>
      </c>
      <c r="M406" s="832">
        <v>132620.64000000001</v>
      </c>
      <c r="N406" s="832">
        <v>132620.64000000001</v>
      </c>
      <c r="O406" s="832">
        <v>132620.64000000001</v>
      </c>
      <c r="P406" s="832">
        <v>132620.64000000001</v>
      </c>
      <c r="Q406" s="832">
        <v>132620.64000000001</v>
      </c>
      <c r="R406" s="832">
        <v>132620.64000000001</v>
      </c>
      <c r="S406" s="832">
        <v>0</v>
      </c>
      <c r="T406" s="832">
        <v>0</v>
      </c>
      <c r="U406" s="832">
        <v>0</v>
      </c>
      <c r="V406" s="832">
        <v>0</v>
      </c>
      <c r="W406" s="832">
        <v>0</v>
      </c>
      <c r="X406" s="832">
        <v>0</v>
      </c>
      <c r="Y406" s="832">
        <v>0</v>
      </c>
      <c r="Z406" s="832">
        <v>0</v>
      </c>
      <c r="AA406" s="832">
        <v>0</v>
      </c>
      <c r="AB406" s="832">
        <v>0</v>
      </c>
      <c r="AC406" s="832">
        <v>0</v>
      </c>
      <c r="AD406" s="832">
        <v>0</v>
      </c>
      <c r="AE406" s="832">
        <v>0</v>
      </c>
      <c r="AF406" s="832">
        <v>0</v>
      </c>
      <c r="AG406" s="832">
        <v>0</v>
      </c>
      <c r="AH406" s="832">
        <v>0</v>
      </c>
      <c r="AI406" s="832">
        <v>0</v>
      </c>
      <c r="AJ406" s="1030" t="str">
        <f t="shared" si="36"/>
        <v>H17200</v>
      </c>
      <c r="AK406" s="1030" t="str">
        <f t="shared" si="37"/>
        <v>AMELIORATIONS LOCATIVES</v>
      </c>
      <c r="AL406" s="1030">
        <f>IFERROR(INDEX(G406:R406,1,MATCH(Parametres!$B$3,G$1:R$1,0)-1)*IF(OR(F406="L",F406="S",F406="I"),-1,1),"")</f>
        <v>132559.74</v>
      </c>
      <c r="AM406" s="1030">
        <f t="shared" si="38"/>
        <v>6656.390000000014</v>
      </c>
      <c r="AN406" s="1030">
        <f>INDEX(G406:R406,1,MATCH(Parametres!$B$3,G$1:R$1,0))*IF(OR(F406="L",F406="S",F406="I"),-1,1)</f>
        <v>139216.13</v>
      </c>
      <c r="AO406" s="598" t="str">
        <f>+VLOOKUP($AJ406,Data_Validation!$A:$D,1,0)</f>
        <v>H17200</v>
      </c>
      <c r="AP406" s="598" t="str">
        <f>+VLOOKUP($AJ406,Data_Validation!$A:$D,3,0)</f>
        <v>Bilan</v>
      </c>
      <c r="AQ406" s="598" t="str">
        <f>+VLOOKUP($AJ406,Data_Validation!$A:$D,4,0)</f>
        <v>Améliorations Locatives</v>
      </c>
      <c r="AR406" s="598" t="s">
        <v>299</v>
      </c>
      <c r="AS406" s="598">
        <f>+VLOOKUP($AJ406,Data_Validation!$A:$E,5,0)</f>
        <v>0</v>
      </c>
      <c r="AT406" s="1036" t="str">
        <f t="shared" si="39"/>
        <v>H17200</v>
      </c>
      <c r="AU406" s="599" t="str">
        <f t="shared" si="40"/>
        <v>AMELIORATIONS LOCATIVES</v>
      </c>
      <c r="AV406" s="1030">
        <f>IFERROR(INDEX(V406:AG406,1,MATCH(Parametres!$B$3,V$1:AG$1,0)-1)*IF(OR(C406="L",C406="S",C406="I"),-1,1),"")</f>
        <v>0</v>
      </c>
      <c r="AW406" s="1030">
        <f t="shared" si="41"/>
        <v>0</v>
      </c>
      <c r="AX406" s="1030">
        <f>INDEX(V406:AG406,1,MATCH(Parametres!$B$3,V$1:AG$1,0))*IF(OR(C406="L",C406="S",C406="I"),-1,1)</f>
        <v>0</v>
      </c>
      <c r="AY406" s="598" t="s">
        <v>337</v>
      </c>
      <c r="AZ406" s="598">
        <f>+VLOOKUP($AJ406,Data_Validation!$A:$E,5,0)</f>
        <v>0</v>
      </c>
    </row>
    <row r="407" spans="1:52" ht="15.75" customHeight="1">
      <c r="A407" s="832" t="s">
        <v>1150</v>
      </c>
      <c r="B407" s="832">
        <v>2025</v>
      </c>
      <c r="C407" s="832" t="s">
        <v>1961</v>
      </c>
      <c r="D407" s="832" t="s">
        <v>1962</v>
      </c>
      <c r="E407" s="832" t="s">
        <v>333</v>
      </c>
      <c r="F407" s="832" t="s">
        <v>1792</v>
      </c>
      <c r="G407" s="832">
        <v>-103170.53</v>
      </c>
      <c r="H407" s="832">
        <v>-103763.17</v>
      </c>
      <c r="I407" s="832">
        <v>-104339.1</v>
      </c>
      <c r="J407" s="832">
        <v>-104903.51</v>
      </c>
      <c r="K407" s="832">
        <v>-105589.75999999999</v>
      </c>
      <c r="L407" s="832">
        <v>-106262.29</v>
      </c>
      <c r="M407" s="832">
        <v>-106789.46</v>
      </c>
      <c r="N407" s="832">
        <v>-120727.08</v>
      </c>
      <c r="O407" s="832">
        <v>-121233.37</v>
      </c>
      <c r="P407" s="832">
        <v>-121461.12</v>
      </c>
      <c r="Q407" s="832">
        <v>-121679.85</v>
      </c>
      <c r="R407" s="832">
        <v>-121898.58</v>
      </c>
      <c r="S407" s="832">
        <v>0</v>
      </c>
      <c r="T407" s="832">
        <v>0</v>
      </c>
      <c r="U407" s="832">
        <v>0</v>
      </c>
      <c r="V407" s="832">
        <v>0</v>
      </c>
      <c r="W407" s="832">
        <v>0</v>
      </c>
      <c r="X407" s="832">
        <v>0</v>
      </c>
      <c r="Y407" s="832">
        <v>0</v>
      </c>
      <c r="Z407" s="832">
        <v>0</v>
      </c>
      <c r="AA407" s="832">
        <v>0</v>
      </c>
      <c r="AB407" s="832">
        <v>0</v>
      </c>
      <c r="AC407" s="832">
        <v>0</v>
      </c>
      <c r="AD407" s="832">
        <v>0</v>
      </c>
      <c r="AE407" s="832">
        <v>0</v>
      </c>
      <c r="AF407" s="832">
        <v>0</v>
      </c>
      <c r="AG407" s="832">
        <v>0</v>
      </c>
      <c r="AH407" s="832">
        <v>0</v>
      </c>
      <c r="AI407" s="832">
        <v>0</v>
      </c>
      <c r="AJ407" s="1030" t="str">
        <f t="shared" si="36"/>
        <v>H17300</v>
      </c>
      <c r="AK407" s="1030" t="str">
        <f t="shared" si="37"/>
        <v>AMORT-AMELIORATIONS LOC.</v>
      </c>
      <c r="AL407" s="1030">
        <f>IFERROR(INDEX(G407:R407,1,MATCH(Parametres!$B$3,G$1:R$1,0)-1)*IF(OR(F407="L",F407="S",F407="I"),-1,1),"")</f>
        <v>-104903.51</v>
      </c>
      <c r="AM407" s="1030">
        <f t="shared" si="38"/>
        <v>-686.25</v>
      </c>
      <c r="AN407" s="1030">
        <f>INDEX(G407:R407,1,MATCH(Parametres!$B$3,G$1:R$1,0))*IF(OR(F407="L",F407="S",F407="I"),-1,1)</f>
        <v>-105589.75999999999</v>
      </c>
      <c r="AO407" s="598" t="str">
        <f>+VLOOKUP($AJ407,Data_Validation!$A:$D,1,0)</f>
        <v>H17300</v>
      </c>
      <c r="AP407" s="598" t="str">
        <f>+VLOOKUP($AJ407,Data_Validation!$A:$D,3,0)</f>
        <v>Bilan</v>
      </c>
      <c r="AQ407" s="598" t="str">
        <f>+VLOOKUP($AJ407,Data_Validation!$A:$D,4,0)</f>
        <v>Améliorations Locatives</v>
      </c>
      <c r="AR407" s="598" t="s">
        <v>299</v>
      </c>
      <c r="AS407" s="598">
        <f>+VLOOKUP($AJ407,Data_Validation!$A:$E,5,0)</f>
        <v>0</v>
      </c>
      <c r="AT407" s="1036" t="str">
        <f t="shared" si="39"/>
        <v>H17300</v>
      </c>
      <c r="AU407" s="599" t="str">
        <f t="shared" si="40"/>
        <v>AMORT-AMELIORATIONS LOC.</v>
      </c>
      <c r="AV407" s="1030">
        <f>IFERROR(INDEX(V407:AG407,1,MATCH(Parametres!$B$3,V$1:AG$1,0)-1)*IF(OR(C407="L",C407="S",C407="I"),-1,1),"")</f>
        <v>0</v>
      </c>
      <c r="AW407" s="1030">
        <f t="shared" si="41"/>
        <v>0</v>
      </c>
      <c r="AX407" s="1030">
        <f>INDEX(V407:AG407,1,MATCH(Parametres!$B$3,V$1:AG$1,0))*IF(OR(C407="L",C407="S",C407="I"),-1,1)</f>
        <v>0</v>
      </c>
      <c r="AY407" s="598" t="s">
        <v>337</v>
      </c>
      <c r="AZ407" s="598">
        <f>+VLOOKUP($AJ407,Data_Validation!$A:$E,5,0)</f>
        <v>0</v>
      </c>
    </row>
    <row r="408" spans="1:52" ht="15.75" customHeight="1">
      <c r="A408" s="832" t="s">
        <v>1150</v>
      </c>
      <c r="B408" s="832">
        <v>2025</v>
      </c>
      <c r="C408" s="832" t="s">
        <v>1963</v>
      </c>
      <c r="D408" s="832" t="s">
        <v>1964</v>
      </c>
      <c r="E408" s="832" t="s">
        <v>333</v>
      </c>
      <c r="F408" s="832" t="s">
        <v>1792</v>
      </c>
      <c r="G408" s="832">
        <v>295882.26</v>
      </c>
      <c r="H408" s="832">
        <v>295882.26</v>
      </c>
      <c r="I408" s="832">
        <v>297482.23999999999</v>
      </c>
      <c r="J408" s="832">
        <v>297482.23999999999</v>
      </c>
      <c r="K408" s="832">
        <v>297482.23999999999</v>
      </c>
      <c r="L408" s="832">
        <v>297482.23999999999</v>
      </c>
      <c r="M408" s="832">
        <v>298248.71000000002</v>
      </c>
      <c r="N408" s="832">
        <v>298574.2</v>
      </c>
      <c r="O408" s="832">
        <v>298574.2</v>
      </c>
      <c r="P408" s="832">
        <v>315848.05</v>
      </c>
      <c r="Q408" s="832">
        <v>316923.05</v>
      </c>
      <c r="R408" s="832">
        <v>316923.05</v>
      </c>
      <c r="S408" s="832">
        <v>0</v>
      </c>
      <c r="T408" s="832">
        <v>0</v>
      </c>
      <c r="U408" s="832">
        <v>0</v>
      </c>
      <c r="V408" s="832">
        <v>0</v>
      </c>
      <c r="W408" s="832">
        <v>0</v>
      </c>
      <c r="X408" s="832">
        <v>0</v>
      </c>
      <c r="Y408" s="832">
        <v>0</v>
      </c>
      <c r="Z408" s="832">
        <v>0</v>
      </c>
      <c r="AA408" s="832">
        <v>0</v>
      </c>
      <c r="AB408" s="832">
        <v>0</v>
      </c>
      <c r="AC408" s="832">
        <v>0</v>
      </c>
      <c r="AD408" s="832">
        <v>0</v>
      </c>
      <c r="AE408" s="832">
        <v>0</v>
      </c>
      <c r="AF408" s="832">
        <v>0</v>
      </c>
      <c r="AG408" s="832">
        <v>0</v>
      </c>
      <c r="AH408" s="832">
        <v>0</v>
      </c>
      <c r="AI408" s="832">
        <v>0</v>
      </c>
      <c r="AJ408" s="1030" t="str">
        <f t="shared" si="36"/>
        <v>H17400</v>
      </c>
      <c r="AK408" s="1030" t="str">
        <f t="shared" si="37"/>
        <v>EQUIPEMENT DE BUREAU</v>
      </c>
      <c r="AL408" s="1030">
        <f>IFERROR(INDEX(G408:R408,1,MATCH(Parametres!$B$3,G$1:R$1,0)-1)*IF(OR(F408="L",F408="S",F408="I"),-1,1),"")</f>
        <v>297482.23999999999</v>
      </c>
      <c r="AM408" s="1030">
        <f t="shared" si="38"/>
        <v>0</v>
      </c>
      <c r="AN408" s="1030">
        <f>INDEX(G408:R408,1,MATCH(Parametres!$B$3,G$1:R$1,0))*IF(OR(F408="L",F408="S",F408="I"),-1,1)</f>
        <v>297482.23999999999</v>
      </c>
      <c r="AO408" s="598" t="str">
        <f>+VLOOKUP($AJ408,Data_Validation!$A:$D,1,0)</f>
        <v>H17400</v>
      </c>
      <c r="AP408" s="598" t="str">
        <f>+VLOOKUP($AJ408,Data_Validation!$A:$D,3,0)</f>
        <v>Bilan</v>
      </c>
      <c r="AQ408" s="598" t="str">
        <f>+VLOOKUP($AJ408,Data_Validation!$A:$D,4,0)</f>
        <v>Mobilier</v>
      </c>
      <c r="AR408" s="598" t="s">
        <v>299</v>
      </c>
      <c r="AS408" s="598">
        <f>+VLOOKUP($AJ408,Data_Validation!$A:$E,5,0)</f>
        <v>0</v>
      </c>
      <c r="AT408" s="1036" t="str">
        <f t="shared" si="39"/>
        <v>H17400</v>
      </c>
      <c r="AU408" s="599" t="str">
        <f t="shared" si="40"/>
        <v>EQUIPEMENT DE BUREAU</v>
      </c>
      <c r="AV408" s="1030">
        <f>IFERROR(INDEX(V408:AG408,1,MATCH(Parametres!$B$3,V$1:AG$1,0)-1)*IF(OR(C408="L",C408="S",C408="I"),-1,1),"")</f>
        <v>0</v>
      </c>
      <c r="AW408" s="1030">
        <f t="shared" si="41"/>
        <v>0</v>
      </c>
      <c r="AX408" s="1030">
        <f>INDEX(V408:AG408,1,MATCH(Parametres!$B$3,V$1:AG$1,0))*IF(OR(C408="L",C408="S",C408="I"),-1,1)</f>
        <v>0</v>
      </c>
      <c r="AY408" s="598" t="s">
        <v>337</v>
      </c>
      <c r="AZ408" s="598">
        <f>+VLOOKUP($AJ408,Data_Validation!$A:$E,5,0)</f>
        <v>0</v>
      </c>
    </row>
    <row r="409" spans="1:52" ht="15.75" customHeight="1">
      <c r="A409" s="832" t="s">
        <v>1150</v>
      </c>
      <c r="B409" s="832">
        <v>2025</v>
      </c>
      <c r="C409" s="832" t="s">
        <v>1965</v>
      </c>
      <c r="D409" s="832" t="s">
        <v>1966</v>
      </c>
      <c r="E409" s="832" t="s">
        <v>333</v>
      </c>
      <c r="F409" s="832" t="s">
        <v>1792</v>
      </c>
      <c r="G409" s="832">
        <v>-254427.78</v>
      </c>
      <c r="H409" s="832">
        <v>-255348.51</v>
      </c>
      <c r="I409" s="832">
        <v>-256191.18</v>
      </c>
      <c r="J409" s="832">
        <v>-257017</v>
      </c>
      <c r="K409" s="832">
        <v>-257826.3</v>
      </c>
      <c r="L409" s="832">
        <v>-258619.42</v>
      </c>
      <c r="M409" s="832">
        <v>-259412.01</v>
      </c>
      <c r="N409" s="832">
        <v>-260526.74</v>
      </c>
      <c r="O409" s="832">
        <v>-261287.94</v>
      </c>
      <c r="P409" s="832">
        <v>-262027.16</v>
      </c>
      <c r="Q409" s="832">
        <v>-263096.74</v>
      </c>
      <c r="R409" s="832">
        <v>-264166.32</v>
      </c>
      <c r="S409" s="832">
        <v>0</v>
      </c>
      <c r="T409" s="832">
        <v>0</v>
      </c>
      <c r="U409" s="832">
        <v>0</v>
      </c>
      <c r="V409" s="832">
        <v>0</v>
      </c>
      <c r="W409" s="832">
        <v>0</v>
      </c>
      <c r="X409" s="832">
        <v>0</v>
      </c>
      <c r="Y409" s="832">
        <v>0</v>
      </c>
      <c r="Z409" s="832">
        <v>0</v>
      </c>
      <c r="AA409" s="832">
        <v>0</v>
      </c>
      <c r="AB409" s="832">
        <v>0</v>
      </c>
      <c r="AC409" s="832">
        <v>0</v>
      </c>
      <c r="AD409" s="832">
        <v>0</v>
      </c>
      <c r="AE409" s="832">
        <v>0</v>
      </c>
      <c r="AF409" s="832">
        <v>0</v>
      </c>
      <c r="AG409" s="832">
        <v>0</v>
      </c>
      <c r="AH409" s="832">
        <v>0</v>
      </c>
      <c r="AI409" s="832">
        <v>0</v>
      </c>
      <c r="AJ409" s="1030" t="str">
        <f t="shared" si="36"/>
        <v>H17500</v>
      </c>
      <c r="AK409" s="1030" t="str">
        <f t="shared" si="37"/>
        <v>AMORT-EQUIP DE BUREAU</v>
      </c>
      <c r="AL409" s="1030">
        <f>IFERROR(INDEX(G409:R409,1,MATCH(Parametres!$B$3,G$1:R$1,0)-1)*IF(OR(F409="L",F409="S",F409="I"),-1,1),"")</f>
        <v>-257017</v>
      </c>
      <c r="AM409" s="1030">
        <f t="shared" si="38"/>
        <v>-809.29999999998836</v>
      </c>
      <c r="AN409" s="1030">
        <f>INDEX(G409:R409,1,MATCH(Parametres!$B$3,G$1:R$1,0))*IF(OR(F409="L",F409="S",F409="I"),-1,1)</f>
        <v>-257826.3</v>
      </c>
      <c r="AO409" s="598" t="str">
        <f>+VLOOKUP($AJ409,Data_Validation!$A:$D,1,0)</f>
        <v>H17500</v>
      </c>
      <c r="AP409" s="598" t="str">
        <f>+VLOOKUP($AJ409,Data_Validation!$A:$D,3,0)</f>
        <v>Bilan</v>
      </c>
      <c r="AQ409" s="598" t="str">
        <f>+VLOOKUP($AJ409,Data_Validation!$A:$D,4,0)</f>
        <v>Mobilier</v>
      </c>
      <c r="AR409" s="598" t="s">
        <v>299</v>
      </c>
      <c r="AS409" s="598">
        <f>+VLOOKUP($AJ409,Data_Validation!$A:$E,5,0)</f>
        <v>0</v>
      </c>
      <c r="AT409" s="1036" t="str">
        <f t="shared" si="39"/>
        <v>H17500</v>
      </c>
      <c r="AU409" s="599" t="str">
        <f t="shared" si="40"/>
        <v>AMORT-EQUIP DE BUREAU</v>
      </c>
      <c r="AV409" s="1030">
        <f>IFERROR(INDEX(V409:AG409,1,MATCH(Parametres!$B$3,V$1:AG$1,0)-1)*IF(OR(C409="L",C409="S",C409="I"),-1,1),"")</f>
        <v>0</v>
      </c>
      <c r="AW409" s="1030">
        <f t="shared" si="41"/>
        <v>0</v>
      </c>
      <c r="AX409" s="1030">
        <f>INDEX(V409:AG409,1,MATCH(Parametres!$B$3,V$1:AG$1,0))*IF(OR(C409="L",C409="S",C409="I"),-1,1)</f>
        <v>0</v>
      </c>
      <c r="AY409" s="598" t="s">
        <v>337</v>
      </c>
      <c r="AZ409" s="598">
        <f>+VLOOKUP($AJ409,Data_Validation!$A:$E,5,0)</f>
        <v>0</v>
      </c>
    </row>
    <row r="410" spans="1:52" ht="15.75" customHeight="1">
      <c r="A410" s="832" t="s">
        <v>1150</v>
      </c>
      <c r="B410" s="832">
        <v>2025</v>
      </c>
      <c r="C410" s="832" t="s">
        <v>1967</v>
      </c>
      <c r="D410" s="832" t="s">
        <v>1968</v>
      </c>
      <c r="E410" s="832" t="s">
        <v>333</v>
      </c>
      <c r="F410" s="832" t="s">
        <v>1792</v>
      </c>
      <c r="G410" s="832">
        <v>12656.55</v>
      </c>
      <c r="H410" s="832">
        <v>12656.55</v>
      </c>
      <c r="I410" s="832">
        <v>12656.55</v>
      </c>
      <c r="J410" s="832">
        <v>12656.55</v>
      </c>
      <c r="K410" s="832">
        <v>12656.55</v>
      </c>
      <c r="L410" s="832">
        <v>12656.55</v>
      </c>
      <c r="M410" s="832">
        <v>12656.55</v>
      </c>
      <c r="N410" s="832">
        <v>12656.55</v>
      </c>
      <c r="O410" s="832">
        <v>12656.55</v>
      </c>
      <c r="P410" s="832">
        <v>12656.55</v>
      </c>
      <c r="Q410" s="832">
        <v>12656.55</v>
      </c>
      <c r="R410" s="832">
        <v>12656.55</v>
      </c>
      <c r="S410" s="832">
        <v>0</v>
      </c>
      <c r="T410" s="832">
        <v>0</v>
      </c>
      <c r="U410" s="832">
        <v>0</v>
      </c>
      <c r="V410" s="832">
        <v>0</v>
      </c>
      <c r="W410" s="832">
        <v>0</v>
      </c>
      <c r="X410" s="832">
        <v>0</v>
      </c>
      <c r="Y410" s="832">
        <v>0</v>
      </c>
      <c r="Z410" s="832">
        <v>0</v>
      </c>
      <c r="AA410" s="832">
        <v>0</v>
      </c>
      <c r="AB410" s="832">
        <v>0</v>
      </c>
      <c r="AC410" s="832">
        <v>0</v>
      </c>
      <c r="AD410" s="832">
        <v>0</v>
      </c>
      <c r="AE410" s="832">
        <v>0</v>
      </c>
      <c r="AF410" s="832">
        <v>0</v>
      </c>
      <c r="AG410" s="832">
        <v>0</v>
      </c>
      <c r="AH410" s="832">
        <v>0</v>
      </c>
      <c r="AI410" s="832">
        <v>0</v>
      </c>
      <c r="AJ410" s="1030" t="str">
        <f t="shared" si="36"/>
        <v>H17600</v>
      </c>
      <c r="AK410" s="1030" t="str">
        <f t="shared" si="37"/>
        <v>EQUIP DU SERVICE PIECES</v>
      </c>
      <c r="AL410" s="1030">
        <f>IFERROR(INDEX(G410:R410,1,MATCH(Parametres!$B$3,G$1:R$1,0)-1)*IF(OR(F410="L",F410="S",F410="I"),-1,1),"")</f>
        <v>12656.55</v>
      </c>
      <c r="AM410" s="1030">
        <f t="shared" si="38"/>
        <v>0</v>
      </c>
      <c r="AN410" s="1030">
        <f>INDEX(G410:R410,1,MATCH(Parametres!$B$3,G$1:R$1,0))*IF(OR(F410="L",F410="S",F410="I"),-1,1)</f>
        <v>12656.55</v>
      </c>
      <c r="AO410" s="598" t="str">
        <f>+VLOOKUP($AJ410,Data_Validation!$A:$D,1,0)</f>
        <v>H17600</v>
      </c>
      <c r="AP410" s="598" t="str">
        <f>+VLOOKUP($AJ410,Data_Validation!$A:$D,3,0)</f>
        <v>Bilan</v>
      </c>
      <c r="AQ410" s="598" t="str">
        <f>+VLOOKUP($AJ410,Data_Validation!$A:$D,4,0)</f>
        <v>Équipements Service</v>
      </c>
      <c r="AR410" s="598" t="s">
        <v>299</v>
      </c>
      <c r="AS410" s="598">
        <f>+VLOOKUP($AJ410,Data_Validation!$A:$E,5,0)</f>
        <v>0</v>
      </c>
      <c r="AT410" s="1036" t="str">
        <f t="shared" si="39"/>
        <v>H17600</v>
      </c>
      <c r="AU410" s="599" t="str">
        <f t="shared" si="40"/>
        <v>EQUIP DU SERVICE PIECES</v>
      </c>
      <c r="AV410" s="1030">
        <f>IFERROR(INDEX(V410:AG410,1,MATCH(Parametres!$B$3,V$1:AG$1,0)-1)*IF(OR(C410="L",C410="S",C410="I"),-1,1),"")</f>
        <v>0</v>
      </c>
      <c r="AW410" s="1030">
        <f t="shared" si="41"/>
        <v>0</v>
      </c>
      <c r="AX410" s="1030">
        <f>INDEX(V410:AG410,1,MATCH(Parametres!$B$3,V$1:AG$1,0))*IF(OR(C410="L",C410="S",C410="I"),-1,1)</f>
        <v>0</v>
      </c>
      <c r="AY410" s="598" t="s">
        <v>337</v>
      </c>
      <c r="AZ410" s="598">
        <f>+VLOOKUP($AJ410,Data_Validation!$A:$E,5,0)</f>
        <v>0</v>
      </c>
    </row>
    <row r="411" spans="1:52" ht="15.75" customHeight="1">
      <c r="A411" s="832" t="s">
        <v>1150</v>
      </c>
      <c r="B411" s="832">
        <v>2025</v>
      </c>
      <c r="C411" s="832" t="s">
        <v>1969</v>
      </c>
      <c r="D411" s="832" t="s">
        <v>1970</v>
      </c>
      <c r="E411" s="832" t="s">
        <v>333</v>
      </c>
      <c r="F411" s="832" t="s">
        <v>1792</v>
      </c>
      <c r="G411" s="832">
        <v>-12637.43</v>
      </c>
      <c r="H411" s="832">
        <v>-12637.66</v>
      </c>
      <c r="I411" s="832">
        <v>-12638.04</v>
      </c>
      <c r="J411" s="832">
        <v>-12638.41</v>
      </c>
      <c r="K411" s="832">
        <v>-12638.77</v>
      </c>
      <c r="L411" s="832">
        <v>-12639.13</v>
      </c>
      <c r="M411" s="832">
        <v>-12639.48</v>
      </c>
      <c r="N411" s="832">
        <v>-12639.82</v>
      </c>
      <c r="O411" s="832">
        <v>-12640.15</v>
      </c>
      <c r="P411" s="832">
        <v>-12640.48</v>
      </c>
      <c r="Q411" s="832">
        <v>-12640.8</v>
      </c>
      <c r="R411" s="832">
        <v>-12641.11</v>
      </c>
      <c r="S411" s="832">
        <v>0</v>
      </c>
      <c r="T411" s="832">
        <v>0</v>
      </c>
      <c r="U411" s="832">
        <v>0</v>
      </c>
      <c r="V411" s="832">
        <v>0</v>
      </c>
      <c r="W411" s="832">
        <v>0</v>
      </c>
      <c r="X411" s="832">
        <v>0</v>
      </c>
      <c r="Y411" s="832">
        <v>0</v>
      </c>
      <c r="Z411" s="832">
        <v>0</v>
      </c>
      <c r="AA411" s="832">
        <v>0</v>
      </c>
      <c r="AB411" s="832">
        <v>0</v>
      </c>
      <c r="AC411" s="832">
        <v>0</v>
      </c>
      <c r="AD411" s="832">
        <v>0</v>
      </c>
      <c r="AE411" s="832">
        <v>0</v>
      </c>
      <c r="AF411" s="832">
        <v>0</v>
      </c>
      <c r="AG411" s="832">
        <v>0</v>
      </c>
      <c r="AH411" s="832">
        <v>0</v>
      </c>
      <c r="AI411" s="832">
        <v>0</v>
      </c>
      <c r="AJ411" s="1030" t="str">
        <f t="shared" si="36"/>
        <v>H17700</v>
      </c>
      <c r="AK411" s="1030" t="str">
        <f t="shared" si="37"/>
        <v>AMORT- EQUIP DES PIECES</v>
      </c>
      <c r="AL411" s="1030">
        <f>IFERROR(INDEX(G411:R411,1,MATCH(Parametres!$B$3,G$1:R$1,0)-1)*IF(OR(F411="L",F411="S",F411="I"),-1,1),"")</f>
        <v>-12638.41</v>
      </c>
      <c r="AM411" s="1030">
        <f t="shared" si="38"/>
        <v>-0.36000000000058208</v>
      </c>
      <c r="AN411" s="1030">
        <f>INDEX(G411:R411,1,MATCH(Parametres!$B$3,G$1:R$1,0))*IF(OR(F411="L",F411="S",F411="I"),-1,1)</f>
        <v>-12638.77</v>
      </c>
      <c r="AO411" s="598" t="str">
        <f>+VLOOKUP($AJ411,Data_Validation!$A:$D,1,0)</f>
        <v>H17700</v>
      </c>
      <c r="AP411" s="598" t="str">
        <f>+VLOOKUP($AJ411,Data_Validation!$A:$D,3,0)</f>
        <v>Bilan</v>
      </c>
      <c r="AQ411" s="598" t="str">
        <f>+VLOOKUP($AJ411,Data_Validation!$A:$D,4,0)</f>
        <v>Équipements Service</v>
      </c>
      <c r="AR411" s="598" t="s">
        <v>299</v>
      </c>
      <c r="AS411" s="598">
        <f>+VLOOKUP($AJ411,Data_Validation!$A:$E,5,0)</f>
        <v>0</v>
      </c>
      <c r="AT411" s="1036" t="str">
        <f t="shared" si="39"/>
        <v>H17700</v>
      </c>
      <c r="AU411" s="599" t="str">
        <f t="shared" si="40"/>
        <v>AMORT- EQUIP DES PIECES</v>
      </c>
      <c r="AV411" s="1030">
        <f>IFERROR(INDEX(V411:AG411,1,MATCH(Parametres!$B$3,V$1:AG$1,0)-1)*IF(OR(C411="L",C411="S",C411="I"),-1,1),"")</f>
        <v>0</v>
      </c>
      <c r="AW411" s="1030">
        <f t="shared" si="41"/>
        <v>0</v>
      </c>
      <c r="AX411" s="1030">
        <f>INDEX(V411:AG411,1,MATCH(Parametres!$B$3,V$1:AG$1,0))*IF(OR(C411="L",C411="S",C411="I"),-1,1)</f>
        <v>0</v>
      </c>
      <c r="AY411" s="598" t="s">
        <v>337</v>
      </c>
      <c r="AZ411" s="598">
        <f>+VLOOKUP($AJ411,Data_Validation!$A:$E,5,0)</f>
        <v>0</v>
      </c>
    </row>
    <row r="412" spans="1:52" ht="15.75" customHeight="1">
      <c r="A412" s="832" t="s">
        <v>1150</v>
      </c>
      <c r="B412" s="832">
        <v>2025</v>
      </c>
      <c r="C412" s="832" t="s">
        <v>1971</v>
      </c>
      <c r="D412" s="832" t="s">
        <v>1972</v>
      </c>
      <c r="E412" s="832" t="s">
        <v>333</v>
      </c>
      <c r="F412" s="832" t="s">
        <v>1792</v>
      </c>
      <c r="G412" s="832">
        <v>740727.05</v>
      </c>
      <c r="H412" s="832">
        <v>740727.05</v>
      </c>
      <c r="I412" s="832">
        <v>740727.05</v>
      </c>
      <c r="J412" s="832">
        <v>742773.48</v>
      </c>
      <c r="K412" s="832">
        <v>742773.48</v>
      </c>
      <c r="L412" s="832">
        <v>742773.48</v>
      </c>
      <c r="M412" s="832">
        <v>745424.53</v>
      </c>
      <c r="N412" s="832">
        <v>745424.53</v>
      </c>
      <c r="O412" s="832">
        <v>745424.53</v>
      </c>
      <c r="P412" s="832">
        <v>768463.33</v>
      </c>
      <c r="Q412" s="832">
        <v>768463.33</v>
      </c>
      <c r="R412" s="832">
        <v>768463.33</v>
      </c>
      <c r="S412" s="832">
        <v>0</v>
      </c>
      <c r="T412" s="832">
        <v>0</v>
      </c>
      <c r="U412" s="832">
        <v>0</v>
      </c>
      <c r="V412" s="832">
        <v>0</v>
      </c>
      <c r="W412" s="832">
        <v>0</v>
      </c>
      <c r="X412" s="832">
        <v>0</v>
      </c>
      <c r="Y412" s="832">
        <v>0</v>
      </c>
      <c r="Z412" s="832">
        <v>0</v>
      </c>
      <c r="AA412" s="832">
        <v>0</v>
      </c>
      <c r="AB412" s="832">
        <v>0</v>
      </c>
      <c r="AC412" s="832">
        <v>0</v>
      </c>
      <c r="AD412" s="832">
        <v>0</v>
      </c>
      <c r="AE412" s="832">
        <v>0</v>
      </c>
      <c r="AF412" s="832">
        <v>0</v>
      </c>
      <c r="AG412" s="832">
        <v>0</v>
      </c>
      <c r="AH412" s="832">
        <v>0</v>
      </c>
      <c r="AI412" s="832">
        <v>0</v>
      </c>
      <c r="AJ412" s="1030" t="str">
        <f t="shared" si="36"/>
        <v>H17800</v>
      </c>
      <c r="AK412" s="1030" t="str">
        <f t="shared" si="37"/>
        <v>EQUIPEMENT DU SERVICE</v>
      </c>
      <c r="AL412" s="1030">
        <f>IFERROR(INDEX(G412:R412,1,MATCH(Parametres!$B$3,G$1:R$1,0)-1)*IF(OR(F412="L",F412="S",F412="I"),-1,1),"")</f>
        <v>742773.48</v>
      </c>
      <c r="AM412" s="1030">
        <f t="shared" si="38"/>
        <v>0</v>
      </c>
      <c r="AN412" s="1030">
        <f>INDEX(G412:R412,1,MATCH(Parametres!$B$3,G$1:R$1,0))*IF(OR(F412="L",F412="S",F412="I"),-1,1)</f>
        <v>742773.48</v>
      </c>
      <c r="AO412" s="598" t="str">
        <f>+VLOOKUP($AJ412,Data_Validation!$A:$D,1,0)</f>
        <v>H17800</v>
      </c>
      <c r="AP412" s="598" t="str">
        <f>+VLOOKUP($AJ412,Data_Validation!$A:$D,3,0)</f>
        <v>Bilan</v>
      </c>
      <c r="AQ412" s="598" t="str">
        <f>+VLOOKUP($AJ412,Data_Validation!$A:$D,4,0)</f>
        <v>Équipements Service</v>
      </c>
      <c r="AR412" s="598" t="s">
        <v>299</v>
      </c>
      <c r="AS412" s="598">
        <f>+VLOOKUP($AJ412,Data_Validation!$A:$E,5,0)</f>
        <v>0</v>
      </c>
      <c r="AT412" s="1036" t="str">
        <f t="shared" si="39"/>
        <v>H17800</v>
      </c>
      <c r="AU412" s="599" t="str">
        <f t="shared" si="40"/>
        <v>EQUIPEMENT DU SERVICE</v>
      </c>
      <c r="AV412" s="1030">
        <f>IFERROR(INDEX(V412:AG412,1,MATCH(Parametres!$B$3,V$1:AG$1,0)-1)*IF(OR(C412="L",C412="S",C412="I"),-1,1),"")</f>
        <v>0</v>
      </c>
      <c r="AW412" s="1030">
        <f t="shared" si="41"/>
        <v>0</v>
      </c>
      <c r="AX412" s="1030">
        <f>INDEX(V412:AG412,1,MATCH(Parametres!$B$3,V$1:AG$1,0))*IF(OR(C412="L",C412="S",C412="I"),-1,1)</f>
        <v>0</v>
      </c>
      <c r="AY412" s="598" t="s">
        <v>337</v>
      </c>
      <c r="AZ412" s="598">
        <f>+VLOOKUP($AJ412,Data_Validation!$A:$E,5,0)</f>
        <v>0</v>
      </c>
    </row>
    <row r="413" spans="1:52" ht="15.75" customHeight="1">
      <c r="A413" s="832" t="s">
        <v>1150</v>
      </c>
      <c r="B413" s="832">
        <v>2025</v>
      </c>
      <c r="C413" s="832" t="s">
        <v>1973</v>
      </c>
      <c r="D413" s="832" t="s">
        <v>1974</v>
      </c>
      <c r="E413" s="832" t="s">
        <v>333</v>
      </c>
      <c r="F413" s="832" t="s">
        <v>1792</v>
      </c>
      <c r="G413" s="832">
        <v>-630823.15</v>
      </c>
      <c r="H413" s="832">
        <v>-632872.35</v>
      </c>
      <c r="I413" s="832">
        <v>-635029.43999999994</v>
      </c>
      <c r="J413" s="832">
        <v>-637184.31999999995</v>
      </c>
      <c r="K413" s="832">
        <v>-639296.1</v>
      </c>
      <c r="L413" s="832">
        <v>-641365.65</v>
      </c>
      <c r="M413" s="832">
        <v>-643446.82999999996</v>
      </c>
      <c r="N413" s="832">
        <v>-640930.38</v>
      </c>
      <c r="O413" s="832">
        <v>-642929.14</v>
      </c>
      <c r="P413" s="832">
        <v>-645439.81000000006</v>
      </c>
      <c r="Q413" s="832">
        <v>-647900.26</v>
      </c>
      <c r="R413" s="832">
        <v>-650311.51</v>
      </c>
      <c r="S413" s="832">
        <v>0</v>
      </c>
      <c r="T413" s="832">
        <v>0</v>
      </c>
      <c r="U413" s="832">
        <v>0</v>
      </c>
      <c r="V413" s="832">
        <v>0</v>
      </c>
      <c r="W413" s="832">
        <v>0</v>
      </c>
      <c r="X413" s="832">
        <v>0</v>
      </c>
      <c r="Y413" s="832">
        <v>0</v>
      </c>
      <c r="Z413" s="832">
        <v>0</v>
      </c>
      <c r="AA413" s="832">
        <v>0</v>
      </c>
      <c r="AB413" s="832">
        <v>0</v>
      </c>
      <c r="AC413" s="832">
        <v>0</v>
      </c>
      <c r="AD413" s="832">
        <v>0</v>
      </c>
      <c r="AE413" s="832">
        <v>0</v>
      </c>
      <c r="AF413" s="832">
        <v>0</v>
      </c>
      <c r="AG413" s="832">
        <v>0</v>
      </c>
      <c r="AH413" s="832">
        <v>0</v>
      </c>
      <c r="AI413" s="832">
        <v>0</v>
      </c>
      <c r="AJ413" s="1030" t="str">
        <f t="shared" si="36"/>
        <v>H17900</v>
      </c>
      <c r="AK413" s="1030" t="str">
        <f t="shared" si="37"/>
        <v>AMORT-EQUIPEMENT DU SERV</v>
      </c>
      <c r="AL413" s="1030">
        <f>IFERROR(INDEX(G413:R413,1,MATCH(Parametres!$B$3,G$1:R$1,0)-1)*IF(OR(F413="L",F413="S",F413="I"),-1,1),"")</f>
        <v>-637184.31999999995</v>
      </c>
      <c r="AM413" s="1030">
        <f t="shared" si="38"/>
        <v>-2111.7800000000279</v>
      </c>
      <c r="AN413" s="1030">
        <f>INDEX(G413:R413,1,MATCH(Parametres!$B$3,G$1:R$1,0))*IF(OR(F413="L",F413="S",F413="I"),-1,1)</f>
        <v>-639296.1</v>
      </c>
      <c r="AO413" s="598" t="str">
        <f>+VLOOKUP($AJ413,Data_Validation!$A:$D,1,0)</f>
        <v>H17900</v>
      </c>
      <c r="AP413" s="598" t="str">
        <f>+VLOOKUP($AJ413,Data_Validation!$A:$D,3,0)</f>
        <v>Bilan</v>
      </c>
      <c r="AQ413" s="598" t="str">
        <f>+VLOOKUP($AJ413,Data_Validation!$A:$D,4,0)</f>
        <v>Équipements Service</v>
      </c>
      <c r="AR413" s="598" t="s">
        <v>299</v>
      </c>
      <c r="AS413" s="598">
        <f>+VLOOKUP($AJ413,Data_Validation!$A:$E,5,0)</f>
        <v>0</v>
      </c>
      <c r="AT413" s="1036" t="str">
        <f t="shared" si="39"/>
        <v>H17900</v>
      </c>
      <c r="AU413" s="599" t="str">
        <f t="shared" si="40"/>
        <v>AMORT-EQUIPEMENT DU SERV</v>
      </c>
      <c r="AV413" s="1030">
        <f>IFERROR(INDEX(V413:AG413,1,MATCH(Parametres!$B$3,V$1:AG$1,0)-1)*IF(OR(C413="L",C413="S",C413="I"),-1,1),"")</f>
        <v>0</v>
      </c>
      <c r="AW413" s="1030">
        <f t="shared" si="41"/>
        <v>0</v>
      </c>
      <c r="AX413" s="1030">
        <f>INDEX(V413:AG413,1,MATCH(Parametres!$B$3,V$1:AG$1,0))*IF(OR(C413="L",C413="S",C413="I"),-1,1)</f>
        <v>0</v>
      </c>
      <c r="AY413" s="598" t="s">
        <v>337</v>
      </c>
      <c r="AZ413" s="598">
        <f>+VLOOKUP($AJ413,Data_Validation!$A:$E,5,0)</f>
        <v>0</v>
      </c>
    </row>
    <row r="414" spans="1:52" ht="15.75" customHeight="1">
      <c r="A414" s="832" t="s">
        <v>1150</v>
      </c>
      <c r="B414" s="832">
        <v>2025</v>
      </c>
      <c r="C414" s="832" t="s">
        <v>1975</v>
      </c>
      <c r="D414" s="832" t="s">
        <v>652</v>
      </c>
      <c r="E414" s="832" t="s">
        <v>333</v>
      </c>
      <c r="F414" s="832" t="s">
        <v>1792</v>
      </c>
      <c r="G414" s="832">
        <v>77476.800000000003</v>
      </c>
      <c r="H414" s="832">
        <v>77476.800000000003</v>
      </c>
      <c r="I414" s="832">
        <v>77476.800000000003</v>
      </c>
      <c r="J414" s="832">
        <v>77476.800000000003</v>
      </c>
      <c r="K414" s="832">
        <v>77476.800000000003</v>
      </c>
      <c r="L414" s="832">
        <v>77476.800000000003</v>
      </c>
      <c r="M414" s="832">
        <v>77476.800000000003</v>
      </c>
      <c r="N414" s="832">
        <v>77476.800000000003</v>
      </c>
      <c r="O414" s="832">
        <v>77476.800000000003</v>
      </c>
      <c r="P414" s="832">
        <v>77476.800000000003</v>
      </c>
      <c r="Q414" s="832">
        <v>77476.800000000003</v>
      </c>
      <c r="R414" s="832">
        <v>77476.800000000003</v>
      </c>
      <c r="S414" s="832">
        <v>0</v>
      </c>
      <c r="T414" s="832">
        <v>0</v>
      </c>
      <c r="U414" s="832">
        <v>0</v>
      </c>
      <c r="V414" s="832">
        <v>0</v>
      </c>
      <c r="W414" s="832">
        <v>0</v>
      </c>
      <c r="X414" s="832">
        <v>0</v>
      </c>
      <c r="Y414" s="832">
        <v>0</v>
      </c>
      <c r="Z414" s="832">
        <v>0</v>
      </c>
      <c r="AA414" s="832">
        <v>0</v>
      </c>
      <c r="AB414" s="832">
        <v>0</v>
      </c>
      <c r="AC414" s="832">
        <v>0</v>
      </c>
      <c r="AD414" s="832">
        <v>0</v>
      </c>
      <c r="AE414" s="832">
        <v>0</v>
      </c>
      <c r="AF414" s="832">
        <v>0</v>
      </c>
      <c r="AG414" s="832">
        <v>0</v>
      </c>
      <c r="AH414" s="832">
        <v>0</v>
      </c>
      <c r="AI414" s="832">
        <v>0</v>
      </c>
      <c r="AJ414" s="1030" t="str">
        <f t="shared" si="36"/>
        <v>H18100</v>
      </c>
      <c r="AK414" s="1030" t="str">
        <f t="shared" si="37"/>
        <v>ENSEIGNES</v>
      </c>
      <c r="AL414" s="1030">
        <f>IFERROR(INDEX(G414:R414,1,MATCH(Parametres!$B$3,G$1:R$1,0)-1)*IF(OR(F414="L",F414="S",F414="I"),-1,1),"")</f>
        <v>77476.800000000003</v>
      </c>
      <c r="AM414" s="1030">
        <f t="shared" si="38"/>
        <v>0</v>
      </c>
      <c r="AN414" s="1030">
        <f>INDEX(G414:R414,1,MATCH(Parametres!$B$3,G$1:R$1,0))*IF(OR(F414="L",F414="S",F414="I"),-1,1)</f>
        <v>77476.800000000003</v>
      </c>
      <c r="AO414" s="598" t="str">
        <f>+VLOOKUP($AJ414,Data_Validation!$A:$D,1,0)</f>
        <v>H18100</v>
      </c>
      <c r="AP414" s="598" t="str">
        <f>+VLOOKUP($AJ414,Data_Validation!$A:$D,3,0)</f>
        <v>Bilan</v>
      </c>
      <c r="AQ414" s="598" t="str">
        <f>+VLOOKUP($AJ414,Data_Validation!$A:$D,4,0)</f>
        <v>Enseigne</v>
      </c>
      <c r="AR414" s="598" t="s">
        <v>299</v>
      </c>
      <c r="AS414" s="598">
        <f>+VLOOKUP($AJ414,Data_Validation!$A:$E,5,0)</f>
        <v>0</v>
      </c>
      <c r="AT414" s="1036" t="str">
        <f t="shared" si="39"/>
        <v>H18100</v>
      </c>
      <c r="AU414" s="599" t="str">
        <f t="shared" si="40"/>
        <v>ENSEIGNES</v>
      </c>
      <c r="AV414" s="1030">
        <f>IFERROR(INDEX(V414:AG414,1,MATCH(Parametres!$B$3,V$1:AG$1,0)-1)*IF(OR(C414="L",C414="S",C414="I"),-1,1),"")</f>
        <v>0</v>
      </c>
      <c r="AW414" s="1030">
        <f t="shared" si="41"/>
        <v>0</v>
      </c>
      <c r="AX414" s="1030">
        <f>INDEX(V414:AG414,1,MATCH(Parametres!$B$3,V$1:AG$1,0))*IF(OR(C414="L",C414="S",C414="I"),-1,1)</f>
        <v>0</v>
      </c>
      <c r="AY414" s="598" t="s">
        <v>337</v>
      </c>
      <c r="AZ414" s="598">
        <f>+VLOOKUP($AJ414,Data_Validation!$A:$E,5,0)</f>
        <v>0</v>
      </c>
    </row>
    <row r="415" spans="1:52" ht="15.75" customHeight="1">
      <c r="A415" s="832" t="s">
        <v>1150</v>
      </c>
      <c r="B415" s="832">
        <v>2025</v>
      </c>
      <c r="C415" s="832" t="s">
        <v>1976</v>
      </c>
      <c r="D415" s="832" t="s">
        <v>1977</v>
      </c>
      <c r="E415" s="832" t="s">
        <v>333</v>
      </c>
      <c r="F415" s="832" t="s">
        <v>1792</v>
      </c>
      <c r="G415" s="832">
        <v>-66843.67</v>
      </c>
      <c r="H415" s="832">
        <v>-67157.8</v>
      </c>
      <c r="I415" s="832">
        <v>-67364.179999999993</v>
      </c>
      <c r="J415" s="832">
        <v>-67566.429999999993</v>
      </c>
      <c r="K415" s="832">
        <v>-67764.639999999999</v>
      </c>
      <c r="L415" s="832">
        <v>-67958.880000000005</v>
      </c>
      <c r="M415" s="832">
        <v>-68149.240000000005</v>
      </c>
      <c r="N415" s="832">
        <v>-67901.789999999994</v>
      </c>
      <c r="O415" s="832">
        <v>-68084.61</v>
      </c>
      <c r="P415" s="832">
        <v>-68272.45</v>
      </c>
      <c r="Q415" s="832">
        <v>-68456.539999999994</v>
      </c>
      <c r="R415" s="832">
        <v>-68636.95</v>
      </c>
      <c r="S415" s="832">
        <v>0</v>
      </c>
      <c r="T415" s="832">
        <v>0</v>
      </c>
      <c r="U415" s="832">
        <v>0</v>
      </c>
      <c r="V415" s="832">
        <v>0</v>
      </c>
      <c r="W415" s="832">
        <v>0</v>
      </c>
      <c r="X415" s="832">
        <v>0</v>
      </c>
      <c r="Y415" s="832">
        <v>0</v>
      </c>
      <c r="Z415" s="832">
        <v>0</v>
      </c>
      <c r="AA415" s="832">
        <v>0</v>
      </c>
      <c r="AB415" s="832">
        <v>0</v>
      </c>
      <c r="AC415" s="832">
        <v>0</v>
      </c>
      <c r="AD415" s="832">
        <v>0</v>
      </c>
      <c r="AE415" s="832">
        <v>0</v>
      </c>
      <c r="AF415" s="832">
        <v>0</v>
      </c>
      <c r="AG415" s="832">
        <v>0</v>
      </c>
      <c r="AH415" s="832">
        <v>0</v>
      </c>
      <c r="AI415" s="832">
        <v>0</v>
      </c>
      <c r="AJ415" s="1030" t="str">
        <f t="shared" si="36"/>
        <v>H18200</v>
      </c>
      <c r="AK415" s="1030" t="str">
        <f t="shared" si="37"/>
        <v>AMORT-ENSEIGNES</v>
      </c>
      <c r="AL415" s="1030">
        <f>IFERROR(INDEX(G415:R415,1,MATCH(Parametres!$B$3,G$1:R$1,0)-1)*IF(OR(F415="L",F415="S",F415="I"),-1,1),"")</f>
        <v>-67566.429999999993</v>
      </c>
      <c r="AM415" s="1030">
        <f t="shared" si="38"/>
        <v>-198.2100000000064</v>
      </c>
      <c r="AN415" s="1030">
        <f>INDEX(G415:R415,1,MATCH(Parametres!$B$3,G$1:R$1,0))*IF(OR(F415="L",F415="S",F415="I"),-1,1)</f>
        <v>-67764.639999999999</v>
      </c>
      <c r="AO415" s="598" t="str">
        <f>+VLOOKUP($AJ415,Data_Validation!$A:$D,1,0)</f>
        <v>H18200</v>
      </c>
      <c r="AP415" s="598" t="str">
        <f>+VLOOKUP($AJ415,Data_Validation!$A:$D,3,0)</f>
        <v>Bilan</v>
      </c>
      <c r="AQ415" s="598" t="str">
        <f>+VLOOKUP($AJ415,Data_Validation!$A:$D,4,0)</f>
        <v>Enseigne</v>
      </c>
      <c r="AR415" s="598" t="s">
        <v>299</v>
      </c>
      <c r="AS415" s="598">
        <f>+VLOOKUP($AJ415,Data_Validation!$A:$E,5,0)</f>
        <v>0</v>
      </c>
      <c r="AT415" s="1036" t="str">
        <f t="shared" si="39"/>
        <v>H18200</v>
      </c>
      <c r="AU415" s="599" t="str">
        <f t="shared" si="40"/>
        <v>AMORT-ENSEIGNES</v>
      </c>
      <c r="AV415" s="1030">
        <f>IFERROR(INDEX(V415:AG415,1,MATCH(Parametres!$B$3,V$1:AG$1,0)-1)*IF(OR(C415="L",C415="S",C415="I"),-1,1),"")</f>
        <v>0</v>
      </c>
      <c r="AW415" s="1030">
        <f t="shared" si="41"/>
        <v>0</v>
      </c>
      <c r="AX415" s="1030">
        <f>INDEX(V415:AG415,1,MATCH(Parametres!$B$3,V$1:AG$1,0))*IF(OR(C415="L",C415="S",C415="I"),-1,1)</f>
        <v>0</v>
      </c>
      <c r="AY415" s="598" t="s">
        <v>337</v>
      </c>
      <c r="AZ415" s="598">
        <f>+VLOOKUP($AJ415,Data_Validation!$A:$E,5,0)</f>
        <v>0</v>
      </c>
    </row>
    <row r="416" spans="1:52" ht="15.75" customHeight="1">
      <c r="A416" s="832" t="s">
        <v>1150</v>
      </c>
      <c r="B416" s="832">
        <v>2025</v>
      </c>
      <c r="C416" s="832" t="s">
        <v>1978</v>
      </c>
      <c r="D416" s="832" t="s">
        <v>1979</v>
      </c>
      <c r="E416" s="832" t="s">
        <v>333</v>
      </c>
      <c r="F416" s="832" t="s">
        <v>1792</v>
      </c>
      <c r="G416" s="832">
        <v>0</v>
      </c>
      <c r="H416" s="832">
        <v>0</v>
      </c>
      <c r="I416" s="832">
        <v>0</v>
      </c>
      <c r="J416" s="832">
        <v>0</v>
      </c>
      <c r="K416" s="832">
        <v>0</v>
      </c>
      <c r="L416" s="832">
        <v>0</v>
      </c>
      <c r="M416" s="832">
        <v>0</v>
      </c>
      <c r="N416" s="832">
        <v>0</v>
      </c>
      <c r="O416" s="832">
        <v>0</v>
      </c>
      <c r="P416" s="832">
        <v>0</v>
      </c>
      <c r="Q416" s="832">
        <v>0</v>
      </c>
      <c r="R416" s="832">
        <v>0</v>
      </c>
      <c r="S416" s="832">
        <v>0</v>
      </c>
      <c r="T416" s="832">
        <v>0</v>
      </c>
      <c r="U416" s="832">
        <v>0</v>
      </c>
      <c r="V416" s="832">
        <v>0</v>
      </c>
      <c r="W416" s="832">
        <v>0</v>
      </c>
      <c r="X416" s="832">
        <v>0</v>
      </c>
      <c r="Y416" s="832">
        <v>0</v>
      </c>
      <c r="Z416" s="832">
        <v>0</v>
      </c>
      <c r="AA416" s="832">
        <v>0</v>
      </c>
      <c r="AB416" s="832">
        <v>0</v>
      </c>
      <c r="AC416" s="832">
        <v>0</v>
      </c>
      <c r="AD416" s="832">
        <v>0</v>
      </c>
      <c r="AE416" s="832">
        <v>0</v>
      </c>
      <c r="AF416" s="832">
        <v>0</v>
      </c>
      <c r="AG416" s="832">
        <v>0</v>
      </c>
      <c r="AH416" s="832">
        <v>0</v>
      </c>
      <c r="AI416" s="832">
        <v>0</v>
      </c>
      <c r="AJ416" s="1030" t="str">
        <f t="shared" si="36"/>
        <v>H18300</v>
      </c>
      <c r="AK416" s="1030" t="str">
        <f t="shared" si="37"/>
        <v>VEHICULES DE SERVITUDE</v>
      </c>
      <c r="AL416" s="1030">
        <f>IFERROR(INDEX(G416:R416,1,MATCH(Parametres!$B$3,G$1:R$1,0)-1)*IF(OR(F416="L",F416="S",F416="I"),-1,1),"")</f>
        <v>0</v>
      </c>
      <c r="AM416" s="1030">
        <f t="shared" si="38"/>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t="str">
        <f t="shared" si="39"/>
        <v>H18300</v>
      </c>
      <c r="AU416" s="599" t="str">
        <f t="shared" si="40"/>
        <v>VEHICULES DE SERVITUDE</v>
      </c>
      <c r="AV416" s="1030">
        <f>IFERROR(INDEX(V416:AG416,1,MATCH(Parametres!$B$3,V$1:AG$1,0)-1)*IF(OR(C416="L",C416="S",C416="I"),-1,1),"")</f>
        <v>0</v>
      </c>
      <c r="AW416" s="1030">
        <f t="shared" si="41"/>
        <v>0</v>
      </c>
      <c r="AX416" s="1030">
        <f>INDEX(V416:AG416,1,MATCH(Parametres!$B$3,V$1:AG$1,0))*IF(OR(C416="L",C416="S",C416="I"),-1,1)</f>
        <v>0</v>
      </c>
      <c r="AY416" s="598" t="s">
        <v>337</v>
      </c>
      <c r="AZ416" s="598" t="e">
        <f>+VLOOKUP($AJ416,Data_Validation!$A:$E,5,0)</f>
        <v>#N/A</v>
      </c>
    </row>
    <row r="417" spans="1:52" ht="15.75" customHeight="1">
      <c r="A417" s="832" t="s">
        <v>1150</v>
      </c>
      <c r="B417" s="832">
        <v>2025</v>
      </c>
      <c r="C417" s="832" t="s">
        <v>1980</v>
      </c>
      <c r="D417" s="832" t="s">
        <v>1981</v>
      </c>
      <c r="E417" s="832" t="s">
        <v>333</v>
      </c>
      <c r="F417" s="832" t="s">
        <v>1792</v>
      </c>
      <c r="G417" s="832">
        <v>0</v>
      </c>
      <c r="H417" s="832">
        <v>0</v>
      </c>
      <c r="I417" s="832">
        <v>0</v>
      </c>
      <c r="J417" s="832">
        <v>0</v>
      </c>
      <c r="K417" s="832">
        <v>0</v>
      </c>
      <c r="L417" s="832">
        <v>0</v>
      </c>
      <c r="M417" s="832">
        <v>0</v>
      </c>
      <c r="N417" s="832">
        <v>0</v>
      </c>
      <c r="O417" s="832">
        <v>0</v>
      </c>
      <c r="P417" s="832">
        <v>0</v>
      </c>
      <c r="Q417" s="832">
        <v>0</v>
      </c>
      <c r="R417" s="832">
        <v>0</v>
      </c>
      <c r="S417" s="832">
        <v>0</v>
      </c>
      <c r="T417" s="832">
        <v>0</v>
      </c>
      <c r="U417" s="832">
        <v>0</v>
      </c>
      <c r="V417" s="832">
        <v>0</v>
      </c>
      <c r="W417" s="832">
        <v>0</v>
      </c>
      <c r="X417" s="832">
        <v>0</v>
      </c>
      <c r="Y417" s="832">
        <v>0</v>
      </c>
      <c r="Z417" s="832">
        <v>0</v>
      </c>
      <c r="AA417" s="832">
        <v>0</v>
      </c>
      <c r="AB417" s="832">
        <v>0</v>
      </c>
      <c r="AC417" s="832">
        <v>0</v>
      </c>
      <c r="AD417" s="832">
        <v>0</v>
      </c>
      <c r="AE417" s="832">
        <v>0</v>
      </c>
      <c r="AF417" s="832">
        <v>0</v>
      </c>
      <c r="AG417" s="832">
        <v>0</v>
      </c>
      <c r="AH417" s="832">
        <v>0</v>
      </c>
      <c r="AI417" s="832">
        <v>0</v>
      </c>
      <c r="AJ417" s="1030" t="str">
        <f t="shared" si="36"/>
        <v>H18400</v>
      </c>
      <c r="AK417" s="1030" t="str">
        <f t="shared" si="37"/>
        <v>AMORT- VEHICULES SERVICE</v>
      </c>
      <c r="AL417" s="1030">
        <f>IFERROR(INDEX(G417:R417,1,MATCH(Parametres!$B$3,G$1:R$1,0)-1)*IF(OR(F417="L",F417="S",F417="I"),-1,1),"")</f>
        <v>0</v>
      </c>
      <c r="AM417" s="1030">
        <f t="shared" si="38"/>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t="str">
        <f t="shared" si="39"/>
        <v>H18400</v>
      </c>
      <c r="AU417" s="599" t="str">
        <f t="shared" si="40"/>
        <v>AMORT- VEHICULES SERVICE</v>
      </c>
      <c r="AV417" s="1030">
        <f>IFERROR(INDEX(V417:AG417,1,MATCH(Parametres!$B$3,V$1:AG$1,0)-1)*IF(OR(C417="L",C417="S",C417="I"),-1,1),"")</f>
        <v>0</v>
      </c>
      <c r="AW417" s="1030">
        <f t="shared" si="41"/>
        <v>0</v>
      </c>
      <c r="AX417" s="1030">
        <f>INDEX(V417:AG417,1,MATCH(Parametres!$B$3,V$1:AG$1,0))*IF(OR(C417="L",C417="S",C417="I"),-1,1)</f>
        <v>0</v>
      </c>
      <c r="AY417" s="598" t="s">
        <v>337</v>
      </c>
      <c r="AZ417" s="598" t="e">
        <f>+VLOOKUP($AJ417,Data_Validation!$A:$E,5,0)</f>
        <v>#N/A</v>
      </c>
    </row>
    <row r="418" spans="1:52" ht="15.75" customHeight="1">
      <c r="A418" s="832" t="s">
        <v>1150</v>
      </c>
      <c r="B418" s="832">
        <v>2025</v>
      </c>
      <c r="C418" s="832" t="s">
        <v>1982</v>
      </c>
      <c r="D418" s="832" t="s">
        <v>651</v>
      </c>
      <c r="E418" s="832" t="s">
        <v>333</v>
      </c>
      <c r="F418" s="832" t="s">
        <v>1792</v>
      </c>
      <c r="G418" s="832">
        <v>209715.93</v>
      </c>
      <c r="H418" s="832">
        <v>209715.93</v>
      </c>
      <c r="I418" s="832">
        <v>209715.93</v>
      </c>
      <c r="J418" s="832">
        <v>209715.93</v>
      </c>
      <c r="K418" s="832">
        <v>209715.93</v>
      </c>
      <c r="L418" s="832">
        <v>209715.93</v>
      </c>
      <c r="M418" s="832">
        <v>209715.93</v>
      </c>
      <c r="N418" s="832">
        <v>209715.93</v>
      </c>
      <c r="O418" s="832">
        <v>209715.93</v>
      </c>
      <c r="P418" s="832">
        <v>209715.93</v>
      </c>
      <c r="Q418" s="832">
        <v>209715.93</v>
      </c>
      <c r="R418" s="832">
        <v>209715.93</v>
      </c>
      <c r="S418" s="832">
        <v>0</v>
      </c>
      <c r="T418" s="832">
        <v>0</v>
      </c>
      <c r="U418" s="832">
        <v>0</v>
      </c>
      <c r="V418" s="832">
        <v>0</v>
      </c>
      <c r="W418" s="832">
        <v>0</v>
      </c>
      <c r="X418" s="832">
        <v>0</v>
      </c>
      <c r="Y418" s="832">
        <v>0</v>
      </c>
      <c r="Z418" s="832">
        <v>0</v>
      </c>
      <c r="AA418" s="832">
        <v>0</v>
      </c>
      <c r="AB418" s="832">
        <v>0</v>
      </c>
      <c r="AC418" s="832">
        <v>0</v>
      </c>
      <c r="AD418" s="832">
        <v>0</v>
      </c>
      <c r="AE418" s="832">
        <v>0</v>
      </c>
      <c r="AF418" s="832">
        <v>0</v>
      </c>
      <c r="AG418" s="832">
        <v>0</v>
      </c>
      <c r="AH418" s="832">
        <v>0</v>
      </c>
      <c r="AI418" s="832">
        <v>0</v>
      </c>
      <c r="AJ418" s="1030" t="str">
        <f t="shared" si="36"/>
        <v>H18500</v>
      </c>
      <c r="AK418" s="1030" t="str">
        <f t="shared" si="37"/>
        <v>EQUIPEMENT INFORMATIQUE</v>
      </c>
      <c r="AL418" s="1030">
        <f>IFERROR(INDEX(G418:R418,1,MATCH(Parametres!$B$3,G$1:R$1,0)-1)*IF(OR(F418="L",F418="S",F418="I"),-1,1),"")</f>
        <v>209715.93</v>
      </c>
      <c r="AM418" s="1030">
        <f t="shared" si="38"/>
        <v>0</v>
      </c>
      <c r="AN418" s="1030">
        <f>INDEX(G418:R418,1,MATCH(Parametres!$B$3,G$1:R$1,0))*IF(OR(F418="L",F418="S",F418="I"),-1,1)</f>
        <v>209715.93</v>
      </c>
      <c r="AO418" s="598" t="str">
        <f>+VLOOKUP($AJ418,Data_Validation!$A:$D,1,0)</f>
        <v>H18500</v>
      </c>
      <c r="AP418" s="598" t="str">
        <f>+VLOOKUP($AJ418,Data_Validation!$A:$D,3,0)</f>
        <v>Bilan</v>
      </c>
      <c r="AQ418" s="598" t="str">
        <f>+VLOOKUP($AJ418,Data_Validation!$A:$D,4,0)</f>
        <v>Équipements Informatique</v>
      </c>
      <c r="AR418" s="598" t="s">
        <v>299</v>
      </c>
      <c r="AS418" s="598">
        <f>+VLOOKUP($AJ418,Data_Validation!$A:$E,5,0)</f>
        <v>0</v>
      </c>
      <c r="AT418" s="1036" t="str">
        <f t="shared" si="39"/>
        <v>H18500</v>
      </c>
      <c r="AU418" s="599" t="str">
        <f t="shared" si="40"/>
        <v>EQUIPEMENT INFORMATIQUE</v>
      </c>
      <c r="AV418" s="1030">
        <f>IFERROR(INDEX(V418:AG418,1,MATCH(Parametres!$B$3,V$1:AG$1,0)-1)*IF(OR(C418="L",C418="S",C418="I"),-1,1),"")</f>
        <v>0</v>
      </c>
      <c r="AW418" s="1030">
        <f t="shared" si="41"/>
        <v>0</v>
      </c>
      <c r="AX418" s="1030">
        <f>INDEX(V418:AG418,1,MATCH(Parametres!$B$3,V$1:AG$1,0))*IF(OR(C418="L",C418="S",C418="I"),-1,1)</f>
        <v>0</v>
      </c>
      <c r="AY418" s="598" t="s">
        <v>337</v>
      </c>
      <c r="AZ418" s="598">
        <f>+VLOOKUP($AJ418,Data_Validation!$A:$E,5,0)</f>
        <v>0</v>
      </c>
    </row>
    <row r="419" spans="1:52" ht="15.75" customHeight="1">
      <c r="A419" s="832" t="s">
        <v>1150</v>
      </c>
      <c r="B419" s="832">
        <v>2025</v>
      </c>
      <c r="C419" s="832" t="s">
        <v>1983</v>
      </c>
      <c r="D419" s="832" t="s">
        <v>1984</v>
      </c>
      <c r="E419" s="832" t="s">
        <v>333</v>
      </c>
      <c r="F419" s="832" t="s">
        <v>1792</v>
      </c>
      <c r="G419" s="832">
        <v>-195924.56</v>
      </c>
      <c r="H419" s="832">
        <v>-196147.1</v>
      </c>
      <c r="I419" s="832">
        <v>-196554.16</v>
      </c>
      <c r="J419" s="832">
        <v>-196949.01</v>
      </c>
      <c r="K419" s="832">
        <v>-197332.02</v>
      </c>
      <c r="L419" s="832">
        <v>-197703.54</v>
      </c>
      <c r="M419" s="832">
        <v>-198063.91</v>
      </c>
      <c r="N419" s="832">
        <v>-199991.47</v>
      </c>
      <c r="O419" s="832">
        <v>-200330.54</v>
      </c>
      <c r="P419" s="832">
        <v>-200612.1</v>
      </c>
      <c r="Q419" s="832">
        <v>-200885.21</v>
      </c>
      <c r="R419" s="832">
        <v>-201150.13</v>
      </c>
      <c r="S419" s="832">
        <v>0</v>
      </c>
      <c r="T419" s="832">
        <v>0</v>
      </c>
      <c r="U419" s="832">
        <v>0</v>
      </c>
      <c r="V419" s="832">
        <v>0</v>
      </c>
      <c r="W419" s="832">
        <v>0</v>
      </c>
      <c r="X419" s="832">
        <v>0</v>
      </c>
      <c r="Y419" s="832">
        <v>0</v>
      </c>
      <c r="Z419" s="832">
        <v>0</v>
      </c>
      <c r="AA419" s="832">
        <v>0</v>
      </c>
      <c r="AB419" s="832">
        <v>0</v>
      </c>
      <c r="AC419" s="832">
        <v>0</v>
      </c>
      <c r="AD419" s="832">
        <v>0</v>
      </c>
      <c r="AE419" s="832">
        <v>0</v>
      </c>
      <c r="AF419" s="832">
        <v>0</v>
      </c>
      <c r="AG419" s="832">
        <v>0</v>
      </c>
      <c r="AH419" s="832">
        <v>0</v>
      </c>
      <c r="AI419" s="832">
        <v>0</v>
      </c>
      <c r="AJ419" s="1030" t="str">
        <f t="shared" si="36"/>
        <v>H18600</v>
      </c>
      <c r="AK419" s="1030" t="str">
        <f t="shared" si="37"/>
        <v>AMORT-EQUIPEMENT INFO.</v>
      </c>
      <c r="AL419" s="1030">
        <f>IFERROR(INDEX(G419:R419,1,MATCH(Parametres!$B$3,G$1:R$1,0)-1)*IF(OR(F419="L",F419="S",F419="I"),-1,1),"")</f>
        <v>-196949.01</v>
      </c>
      <c r="AM419" s="1030">
        <f t="shared" si="38"/>
        <v>-383.00999999998021</v>
      </c>
      <c r="AN419" s="1030">
        <f>INDEX(G419:R419,1,MATCH(Parametres!$B$3,G$1:R$1,0))*IF(OR(F419="L",F419="S",F419="I"),-1,1)</f>
        <v>-197332.02</v>
      </c>
      <c r="AO419" s="598" t="str">
        <f>+VLOOKUP($AJ419,Data_Validation!$A:$D,1,0)</f>
        <v>H18600</v>
      </c>
      <c r="AP419" s="598" t="str">
        <f>+VLOOKUP($AJ419,Data_Validation!$A:$D,3,0)</f>
        <v>Bilan</v>
      </c>
      <c r="AQ419" s="598" t="str">
        <f>+VLOOKUP($AJ419,Data_Validation!$A:$D,4,0)</f>
        <v>Équipements Informatique</v>
      </c>
      <c r="AR419" s="598" t="s">
        <v>299</v>
      </c>
      <c r="AS419" s="598">
        <f>+VLOOKUP($AJ419,Data_Validation!$A:$E,5,0)</f>
        <v>0</v>
      </c>
      <c r="AT419" s="1036" t="str">
        <f t="shared" si="39"/>
        <v>H18600</v>
      </c>
      <c r="AU419" s="599" t="str">
        <f t="shared" si="40"/>
        <v>AMORT-EQUIPEMENT INFO.</v>
      </c>
      <c r="AV419" s="1030">
        <f>IFERROR(INDEX(V419:AG419,1,MATCH(Parametres!$B$3,V$1:AG$1,0)-1)*IF(OR(C419="L",C419="S",C419="I"),-1,1),"")</f>
        <v>0</v>
      </c>
      <c r="AW419" s="1030">
        <f t="shared" si="41"/>
        <v>0</v>
      </c>
      <c r="AX419" s="1030">
        <f>INDEX(V419:AG419,1,MATCH(Parametres!$B$3,V$1:AG$1,0))*IF(OR(C419="L",C419="S",C419="I"),-1,1)</f>
        <v>0</v>
      </c>
      <c r="AY419" s="598" t="s">
        <v>337</v>
      </c>
      <c r="AZ419" s="598">
        <f>+VLOOKUP($AJ419,Data_Validation!$A:$E,5,0)</f>
        <v>0</v>
      </c>
    </row>
    <row r="420" spans="1:52" ht="15.75" customHeight="1">
      <c r="A420" s="832" t="s">
        <v>1150</v>
      </c>
      <c r="B420" s="832">
        <v>2025</v>
      </c>
      <c r="C420" s="832" t="s">
        <v>1985</v>
      </c>
      <c r="D420" s="832" t="s">
        <v>1986</v>
      </c>
      <c r="E420" s="832" t="s">
        <v>333</v>
      </c>
      <c r="F420" s="832" t="s">
        <v>1792</v>
      </c>
      <c r="G420" s="832">
        <v>0</v>
      </c>
      <c r="H420" s="832">
        <v>0</v>
      </c>
      <c r="I420" s="832">
        <v>0</v>
      </c>
      <c r="J420" s="832">
        <v>0</v>
      </c>
      <c r="K420" s="832">
        <v>0</v>
      </c>
      <c r="L420" s="832">
        <v>0</v>
      </c>
      <c r="M420" s="832">
        <v>0</v>
      </c>
      <c r="N420" s="832">
        <v>0</v>
      </c>
      <c r="O420" s="832">
        <v>0</v>
      </c>
      <c r="P420" s="832">
        <v>0</v>
      </c>
      <c r="Q420" s="832">
        <v>0</v>
      </c>
      <c r="R420" s="832">
        <v>0</v>
      </c>
      <c r="S420" s="832">
        <v>0</v>
      </c>
      <c r="T420" s="832">
        <v>0</v>
      </c>
      <c r="U420" s="832">
        <v>0</v>
      </c>
      <c r="V420" s="832">
        <v>0</v>
      </c>
      <c r="W420" s="832">
        <v>0</v>
      </c>
      <c r="X420" s="832">
        <v>0</v>
      </c>
      <c r="Y420" s="832">
        <v>0</v>
      </c>
      <c r="Z420" s="832">
        <v>0</v>
      </c>
      <c r="AA420" s="832">
        <v>0</v>
      </c>
      <c r="AB420" s="832">
        <v>0</v>
      </c>
      <c r="AC420" s="832">
        <v>0</v>
      </c>
      <c r="AD420" s="832">
        <v>0</v>
      </c>
      <c r="AE420" s="832">
        <v>0</v>
      </c>
      <c r="AF420" s="832">
        <v>0</v>
      </c>
      <c r="AG420" s="832">
        <v>0</v>
      </c>
      <c r="AH420" s="832">
        <v>0</v>
      </c>
      <c r="AI420" s="832">
        <v>0</v>
      </c>
      <c r="AJ420" s="1030" t="str">
        <f t="shared" si="36"/>
        <v>H18700</v>
      </c>
      <c r="AK420" s="1030" t="str">
        <f t="shared" si="37"/>
        <v>PAVAGE</v>
      </c>
      <c r="AL420" s="1030">
        <f>IFERROR(INDEX(G420:R420,1,MATCH(Parametres!$B$3,G$1:R$1,0)-1)*IF(OR(F420="L",F420="S",F420="I"),-1,1),"")</f>
        <v>0</v>
      </c>
      <c r="AM420" s="1030">
        <f t="shared" si="38"/>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t="str">
        <f t="shared" si="39"/>
        <v>H18700</v>
      </c>
      <c r="AU420" s="599" t="str">
        <f t="shared" si="40"/>
        <v>PAVAGE</v>
      </c>
      <c r="AV420" s="1030">
        <f>IFERROR(INDEX(V420:AG420,1,MATCH(Parametres!$B$3,V$1:AG$1,0)-1)*IF(OR(C420="L",C420="S",C420="I"),-1,1),"")</f>
        <v>0</v>
      </c>
      <c r="AW420" s="1030">
        <f t="shared" si="41"/>
        <v>0</v>
      </c>
      <c r="AX420" s="1030">
        <f>INDEX(V420:AG420,1,MATCH(Parametres!$B$3,V$1:AG$1,0))*IF(OR(C420="L",C420="S",C420="I"),-1,1)</f>
        <v>0</v>
      </c>
      <c r="AY420" s="598" t="s">
        <v>337</v>
      </c>
      <c r="AZ420" s="598" t="e">
        <f>+VLOOKUP($AJ420,Data_Validation!$A:$E,5,0)</f>
        <v>#N/A</v>
      </c>
    </row>
    <row r="421" spans="1:52" ht="15.75" customHeight="1">
      <c r="A421" s="832" t="s">
        <v>1150</v>
      </c>
      <c r="B421" s="832">
        <v>2025</v>
      </c>
      <c r="C421" s="832" t="s">
        <v>1987</v>
      </c>
      <c r="D421" s="832" t="s">
        <v>1988</v>
      </c>
      <c r="E421" s="832" t="s">
        <v>333</v>
      </c>
      <c r="F421" s="832" t="s">
        <v>1792</v>
      </c>
      <c r="G421" s="832">
        <v>0</v>
      </c>
      <c r="H421" s="832">
        <v>0</v>
      </c>
      <c r="I421" s="832">
        <v>0</v>
      </c>
      <c r="J421" s="832">
        <v>0</v>
      </c>
      <c r="K421" s="832">
        <v>0</v>
      </c>
      <c r="L421" s="832">
        <v>0</v>
      </c>
      <c r="M421" s="832">
        <v>0</v>
      </c>
      <c r="N421" s="832">
        <v>0</v>
      </c>
      <c r="O421" s="832">
        <v>0</v>
      </c>
      <c r="P421" s="832">
        <v>0</v>
      </c>
      <c r="Q421" s="832">
        <v>0</v>
      </c>
      <c r="R421" s="832">
        <v>0</v>
      </c>
      <c r="S421" s="832">
        <v>0</v>
      </c>
      <c r="T421" s="832">
        <v>0</v>
      </c>
      <c r="U421" s="832">
        <v>0</v>
      </c>
      <c r="V421" s="832">
        <v>0</v>
      </c>
      <c r="W421" s="832">
        <v>0</v>
      </c>
      <c r="X421" s="832">
        <v>0</v>
      </c>
      <c r="Y421" s="832">
        <v>0</v>
      </c>
      <c r="Z421" s="832">
        <v>0</v>
      </c>
      <c r="AA421" s="832">
        <v>0</v>
      </c>
      <c r="AB421" s="832">
        <v>0</v>
      </c>
      <c r="AC421" s="832">
        <v>0</v>
      </c>
      <c r="AD421" s="832">
        <v>0</v>
      </c>
      <c r="AE421" s="832">
        <v>0</v>
      </c>
      <c r="AF421" s="832">
        <v>0</v>
      </c>
      <c r="AG421" s="832">
        <v>0</v>
      </c>
      <c r="AH421" s="832">
        <v>0</v>
      </c>
      <c r="AI421" s="832">
        <v>0</v>
      </c>
      <c r="AJ421" s="1030" t="str">
        <f t="shared" si="36"/>
        <v>H18710</v>
      </c>
      <c r="AK421" s="1030" t="str">
        <f t="shared" si="37"/>
        <v>AMORT - PAVAGE</v>
      </c>
      <c r="AL421" s="1030">
        <f>IFERROR(INDEX(G421:R421,1,MATCH(Parametres!$B$3,G$1:R$1,0)-1)*IF(OR(F421="L",F421="S",F421="I"),-1,1),"")</f>
        <v>0</v>
      </c>
      <c r="AM421" s="1030">
        <f t="shared" si="38"/>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t="str">
        <f t="shared" si="39"/>
        <v>H18710</v>
      </c>
      <c r="AU421" s="599" t="str">
        <f t="shared" si="40"/>
        <v>AMORT - PAVAGE</v>
      </c>
      <c r="AV421" s="1030">
        <f>IFERROR(INDEX(V421:AG421,1,MATCH(Parametres!$B$3,V$1:AG$1,0)-1)*IF(OR(C421="L",C421="S",C421="I"),-1,1),"")</f>
        <v>0</v>
      </c>
      <c r="AW421" s="1030">
        <f t="shared" si="41"/>
        <v>0</v>
      </c>
      <c r="AX421" s="1030">
        <f>INDEX(V421:AG421,1,MATCH(Parametres!$B$3,V$1:AG$1,0))*IF(OR(C421="L",C421="S",C421="I"),-1,1)</f>
        <v>0</v>
      </c>
      <c r="AY421" s="598" t="s">
        <v>337</v>
      </c>
      <c r="AZ421" s="598" t="e">
        <f>+VLOOKUP($AJ421,Data_Validation!$A:$E,5,0)</f>
        <v>#N/A</v>
      </c>
    </row>
    <row r="422" spans="1:52" ht="15.75" customHeight="1">
      <c r="A422" s="832" t="s">
        <v>1150</v>
      </c>
      <c r="B422" s="832">
        <v>2025</v>
      </c>
      <c r="C422" s="832" t="s">
        <v>1989</v>
      </c>
      <c r="D422" s="832" t="s">
        <v>1990</v>
      </c>
      <c r="E422" s="832" t="s">
        <v>333</v>
      </c>
      <c r="F422" s="832" t="s">
        <v>1792</v>
      </c>
      <c r="G422" s="832">
        <v>0</v>
      </c>
      <c r="H422" s="832">
        <v>0</v>
      </c>
      <c r="I422" s="832">
        <v>0</v>
      </c>
      <c r="J422" s="832">
        <v>0</v>
      </c>
      <c r="K422" s="832">
        <v>0</v>
      </c>
      <c r="L422" s="832">
        <v>0</v>
      </c>
      <c r="M422" s="832">
        <v>0</v>
      </c>
      <c r="N422" s="832">
        <v>0</v>
      </c>
      <c r="O422" s="832">
        <v>0</v>
      </c>
      <c r="P422" s="832">
        <v>0</v>
      </c>
      <c r="Q422" s="832">
        <v>0</v>
      </c>
      <c r="R422" s="832">
        <v>0</v>
      </c>
      <c r="S422" s="832">
        <v>0</v>
      </c>
      <c r="T422" s="832">
        <v>0</v>
      </c>
      <c r="U422" s="832">
        <v>0</v>
      </c>
      <c r="V422" s="832">
        <v>0</v>
      </c>
      <c r="W422" s="832">
        <v>0</v>
      </c>
      <c r="X422" s="832">
        <v>0</v>
      </c>
      <c r="Y422" s="832">
        <v>0</v>
      </c>
      <c r="Z422" s="832">
        <v>0</v>
      </c>
      <c r="AA422" s="832">
        <v>0</v>
      </c>
      <c r="AB422" s="832">
        <v>0</v>
      </c>
      <c r="AC422" s="832">
        <v>0</v>
      </c>
      <c r="AD422" s="832">
        <v>0</v>
      </c>
      <c r="AE422" s="832">
        <v>0</v>
      </c>
      <c r="AF422" s="832">
        <v>0</v>
      </c>
      <c r="AG422" s="832">
        <v>0</v>
      </c>
      <c r="AH422" s="832">
        <v>0</v>
      </c>
      <c r="AI422" s="832">
        <v>0</v>
      </c>
      <c r="AJ422" s="1030" t="str">
        <f t="shared" si="36"/>
        <v>H18800</v>
      </c>
      <c r="AK422" s="1030" t="str">
        <f t="shared" si="37"/>
        <v>CAUTIONNEMENT REMBOURS.</v>
      </c>
      <c r="AL422" s="1030">
        <f>IFERROR(INDEX(G422:R422,1,MATCH(Parametres!$B$3,G$1:R$1,0)-1)*IF(OR(F422="L",F422="S",F422="I"),-1,1),"")</f>
        <v>0</v>
      </c>
      <c r="AM422" s="1030">
        <f t="shared" si="38"/>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t="str">
        <f t="shared" si="39"/>
        <v>H18800</v>
      </c>
      <c r="AU422" s="599" t="str">
        <f t="shared" si="40"/>
        <v>CAUTIONNEMENT REMBOURS.</v>
      </c>
      <c r="AV422" s="1030">
        <f>IFERROR(INDEX(V422:AG422,1,MATCH(Parametres!$B$3,V$1:AG$1,0)-1)*IF(OR(C422="L",C422="S",C422="I"),-1,1),"")</f>
        <v>0</v>
      </c>
      <c r="AW422" s="1030">
        <f t="shared" si="41"/>
        <v>0</v>
      </c>
      <c r="AX422" s="1030">
        <f>INDEX(V422:AG422,1,MATCH(Parametres!$B$3,V$1:AG$1,0))*IF(OR(C422="L",C422="S",C422="I"),-1,1)</f>
        <v>0</v>
      </c>
      <c r="AY422" s="598" t="s">
        <v>337</v>
      </c>
      <c r="AZ422" s="598" t="e">
        <f>+VLOOKUP($AJ422,Data_Validation!$A:$E,5,0)</f>
        <v>#N/A</v>
      </c>
    </row>
    <row r="423" spans="1:52" ht="15.75" customHeight="1">
      <c r="A423" s="832" t="s">
        <v>1150</v>
      </c>
      <c r="B423" s="832">
        <v>2025</v>
      </c>
      <c r="C423" s="832" t="s">
        <v>1991</v>
      </c>
      <c r="D423" s="832" t="s">
        <v>1992</v>
      </c>
      <c r="E423" s="832" t="s">
        <v>333</v>
      </c>
      <c r="F423" s="832" t="s">
        <v>1792</v>
      </c>
      <c r="G423" s="832">
        <v>0</v>
      </c>
      <c r="H423" s="832">
        <v>0</v>
      </c>
      <c r="I423" s="832">
        <v>0</v>
      </c>
      <c r="J423" s="832">
        <v>0</v>
      </c>
      <c r="K423" s="832">
        <v>0</v>
      </c>
      <c r="L423" s="832">
        <v>0</v>
      </c>
      <c r="M423" s="832">
        <v>0</v>
      </c>
      <c r="N423" s="832">
        <v>0</v>
      </c>
      <c r="O423" s="832">
        <v>0</v>
      </c>
      <c r="P423" s="832">
        <v>0</v>
      </c>
      <c r="Q423" s="832">
        <v>0</v>
      </c>
      <c r="R423" s="832">
        <v>0</v>
      </c>
      <c r="S423" s="832">
        <v>0</v>
      </c>
      <c r="T423" s="832">
        <v>0</v>
      </c>
      <c r="U423" s="832">
        <v>0</v>
      </c>
      <c r="V423" s="832">
        <v>0</v>
      </c>
      <c r="W423" s="832">
        <v>0</v>
      </c>
      <c r="X423" s="832">
        <v>0</v>
      </c>
      <c r="Y423" s="832">
        <v>0</v>
      </c>
      <c r="Z423" s="832">
        <v>0</v>
      </c>
      <c r="AA423" s="832">
        <v>0</v>
      </c>
      <c r="AB423" s="832">
        <v>0</v>
      </c>
      <c r="AC423" s="832">
        <v>0</v>
      </c>
      <c r="AD423" s="832">
        <v>0</v>
      </c>
      <c r="AE423" s="832">
        <v>0</v>
      </c>
      <c r="AF423" s="832">
        <v>0</v>
      </c>
      <c r="AG423" s="832">
        <v>0</v>
      </c>
      <c r="AH423" s="832">
        <v>0</v>
      </c>
      <c r="AI423" s="832">
        <v>0</v>
      </c>
      <c r="AJ423" s="1030" t="str">
        <f t="shared" si="36"/>
        <v>H18900</v>
      </c>
      <c r="AK423" s="1030" t="str">
        <f t="shared" si="37"/>
        <v>TITRES DE PLACEMENT</v>
      </c>
      <c r="AL423" s="1030">
        <f>IFERROR(INDEX(G423:R423,1,MATCH(Parametres!$B$3,G$1:R$1,0)-1)*IF(OR(F423="L",F423="S",F423="I"),-1,1),"")</f>
        <v>0</v>
      </c>
      <c r="AM423" s="1030">
        <f t="shared" si="38"/>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t="str">
        <f t="shared" si="39"/>
        <v>H18900</v>
      </c>
      <c r="AU423" s="599" t="str">
        <f t="shared" si="40"/>
        <v>TITRES DE PLACEMENT</v>
      </c>
      <c r="AV423" s="1030">
        <f>IFERROR(INDEX(V423:AG423,1,MATCH(Parametres!$B$3,V$1:AG$1,0)-1)*IF(OR(C423="L",C423="S",C423="I"),-1,1),"")</f>
        <v>0</v>
      </c>
      <c r="AW423" s="1030">
        <f t="shared" si="41"/>
        <v>0</v>
      </c>
      <c r="AX423" s="1030">
        <f>INDEX(V423:AG423,1,MATCH(Parametres!$B$3,V$1:AG$1,0))*IF(OR(C423="L",C423="S",C423="I"),-1,1)</f>
        <v>0</v>
      </c>
      <c r="AY423" s="598" t="s">
        <v>337</v>
      </c>
      <c r="AZ423" s="598" t="e">
        <f>+VLOOKUP($AJ423,Data_Validation!$A:$E,5,0)</f>
        <v>#N/A</v>
      </c>
    </row>
    <row r="424" spans="1:52" ht="15.75" customHeight="1">
      <c r="A424" s="832" t="s">
        <v>1150</v>
      </c>
      <c r="B424" s="832">
        <v>2025</v>
      </c>
      <c r="C424" s="832" t="s">
        <v>1993</v>
      </c>
      <c r="D424" s="832" t="s">
        <v>1994</v>
      </c>
      <c r="E424" s="832" t="s">
        <v>333</v>
      </c>
      <c r="F424" s="832" t="s">
        <v>1792</v>
      </c>
      <c r="G424" s="832">
        <v>0</v>
      </c>
      <c r="H424" s="832">
        <v>0</v>
      </c>
      <c r="I424" s="832">
        <v>0</v>
      </c>
      <c r="J424" s="832">
        <v>0</v>
      </c>
      <c r="K424" s="832">
        <v>0</v>
      </c>
      <c r="L424" s="832">
        <v>0</v>
      </c>
      <c r="M424" s="832">
        <v>0</v>
      </c>
      <c r="N424" s="832">
        <v>0</v>
      </c>
      <c r="O424" s="832">
        <v>0</v>
      </c>
      <c r="P424" s="832">
        <v>0</v>
      </c>
      <c r="Q424" s="832">
        <v>0</v>
      </c>
      <c r="R424" s="832">
        <v>0</v>
      </c>
      <c r="S424" s="832">
        <v>0</v>
      </c>
      <c r="T424" s="832">
        <v>0</v>
      </c>
      <c r="U424" s="832">
        <v>0</v>
      </c>
      <c r="V424" s="832">
        <v>0</v>
      </c>
      <c r="W424" s="832">
        <v>0</v>
      </c>
      <c r="X424" s="832">
        <v>0</v>
      </c>
      <c r="Y424" s="832">
        <v>0</v>
      </c>
      <c r="Z424" s="832">
        <v>0</v>
      </c>
      <c r="AA424" s="832">
        <v>0</v>
      </c>
      <c r="AB424" s="832">
        <v>0</v>
      </c>
      <c r="AC424" s="832">
        <v>0</v>
      </c>
      <c r="AD424" s="832">
        <v>0</v>
      </c>
      <c r="AE424" s="832">
        <v>0</v>
      </c>
      <c r="AF424" s="832">
        <v>0</v>
      </c>
      <c r="AG424" s="832">
        <v>0</v>
      </c>
      <c r="AH424" s="832">
        <v>0</v>
      </c>
      <c r="AI424" s="832">
        <v>0</v>
      </c>
      <c r="AJ424" s="1030" t="str">
        <f t="shared" si="36"/>
        <v>H19000</v>
      </c>
      <c r="AK424" s="1030" t="str">
        <f t="shared" si="37"/>
        <v>FRAIS DE CONSTITUTION</v>
      </c>
      <c r="AL424" s="1030">
        <f>IFERROR(INDEX(G424:R424,1,MATCH(Parametres!$B$3,G$1:R$1,0)-1)*IF(OR(F424="L",F424="S",F424="I"),-1,1),"")</f>
        <v>0</v>
      </c>
      <c r="AM424" s="1030">
        <f t="shared" si="38"/>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t="str">
        <f t="shared" si="39"/>
        <v>H19000</v>
      </c>
      <c r="AU424" s="599" t="str">
        <f t="shared" si="40"/>
        <v>FRAIS DE CONSTITUTION</v>
      </c>
      <c r="AV424" s="1030">
        <f>IFERROR(INDEX(V424:AG424,1,MATCH(Parametres!$B$3,V$1:AG$1,0)-1)*IF(OR(C424="L",C424="S",C424="I"),-1,1),"")</f>
        <v>0</v>
      </c>
      <c r="AW424" s="1030">
        <f t="shared" si="41"/>
        <v>0</v>
      </c>
      <c r="AX424" s="1030">
        <f>INDEX(V424:AG424,1,MATCH(Parametres!$B$3,V$1:AG$1,0))*IF(OR(C424="L",C424="S",C424="I"),-1,1)</f>
        <v>0</v>
      </c>
      <c r="AY424" s="598" t="s">
        <v>337</v>
      </c>
      <c r="AZ424" s="598" t="e">
        <f>+VLOOKUP($AJ424,Data_Validation!$A:$E,5,0)</f>
        <v>#N/A</v>
      </c>
    </row>
    <row r="425" spans="1:52" ht="15.75" customHeight="1">
      <c r="A425" s="832" t="s">
        <v>1150</v>
      </c>
      <c r="B425" s="832">
        <v>2025</v>
      </c>
      <c r="C425" s="832" t="s">
        <v>1995</v>
      </c>
      <c r="D425" s="832" t="s">
        <v>1996</v>
      </c>
      <c r="E425" s="832" t="s">
        <v>333</v>
      </c>
      <c r="F425" s="832" t="s">
        <v>1792</v>
      </c>
      <c r="G425" s="832">
        <v>0</v>
      </c>
      <c r="H425" s="832">
        <v>0</v>
      </c>
      <c r="I425" s="832">
        <v>0</v>
      </c>
      <c r="J425" s="832">
        <v>0</v>
      </c>
      <c r="K425" s="832">
        <v>0</v>
      </c>
      <c r="L425" s="832">
        <v>0</v>
      </c>
      <c r="M425" s="832">
        <v>0</v>
      </c>
      <c r="N425" s="832">
        <v>0</v>
      </c>
      <c r="O425" s="832">
        <v>0</v>
      </c>
      <c r="P425" s="832">
        <v>0</v>
      </c>
      <c r="Q425" s="832">
        <v>0</v>
      </c>
      <c r="R425" s="832">
        <v>0</v>
      </c>
      <c r="S425" s="832">
        <v>0</v>
      </c>
      <c r="T425" s="832">
        <v>0</v>
      </c>
      <c r="U425" s="832">
        <v>0</v>
      </c>
      <c r="V425" s="832">
        <v>0</v>
      </c>
      <c r="W425" s="832">
        <v>0</v>
      </c>
      <c r="X425" s="832">
        <v>0</v>
      </c>
      <c r="Y425" s="832">
        <v>0</v>
      </c>
      <c r="Z425" s="832">
        <v>0</v>
      </c>
      <c r="AA425" s="832">
        <v>0</v>
      </c>
      <c r="AB425" s="832">
        <v>0</v>
      </c>
      <c r="AC425" s="832">
        <v>0</v>
      </c>
      <c r="AD425" s="832">
        <v>0</v>
      </c>
      <c r="AE425" s="832">
        <v>0</v>
      </c>
      <c r="AF425" s="832">
        <v>0</v>
      </c>
      <c r="AG425" s="832">
        <v>0</v>
      </c>
      <c r="AH425" s="832">
        <v>0</v>
      </c>
      <c r="AI425" s="832">
        <v>0</v>
      </c>
      <c r="AJ425" s="1030" t="str">
        <f t="shared" si="36"/>
        <v>H19200</v>
      </c>
      <c r="AK425" s="1030" t="str">
        <f t="shared" si="37"/>
        <v>AVANCE AUX ADMINISTRATEUR</v>
      </c>
      <c r="AL425" s="1030">
        <f>IFERROR(INDEX(G425:R425,1,MATCH(Parametres!$B$3,G$1:R$1,0)-1)*IF(OR(F425="L",F425="S",F425="I"),-1,1),"")</f>
        <v>0</v>
      </c>
      <c r="AM425" s="1030">
        <f t="shared" si="38"/>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t="str">
        <f t="shared" si="39"/>
        <v>H19200</v>
      </c>
      <c r="AU425" s="599" t="str">
        <f t="shared" si="40"/>
        <v>AVANCE AUX ADMINISTRATEUR</v>
      </c>
      <c r="AV425" s="1030">
        <f>IFERROR(INDEX(V425:AG425,1,MATCH(Parametres!$B$3,V$1:AG$1,0)-1)*IF(OR(C425="L",C425="S",C425="I"),-1,1),"")</f>
        <v>0</v>
      </c>
      <c r="AW425" s="1030">
        <f t="shared" si="41"/>
        <v>0</v>
      </c>
      <c r="AX425" s="1030">
        <f>INDEX(V425:AG425,1,MATCH(Parametres!$B$3,V$1:AG$1,0))*IF(OR(C425="L",C425="S",C425="I"),-1,1)</f>
        <v>0</v>
      </c>
      <c r="AY425" s="598" t="s">
        <v>337</v>
      </c>
      <c r="AZ425" s="598" t="e">
        <f>+VLOOKUP($AJ425,Data_Validation!$A:$E,5,0)</f>
        <v>#N/A</v>
      </c>
    </row>
    <row r="426" spans="1:52" ht="15.75" customHeight="1">
      <c r="A426" s="832" t="s">
        <v>1150</v>
      </c>
      <c r="B426" s="832">
        <v>2025</v>
      </c>
      <c r="C426" s="832" t="s">
        <v>1997</v>
      </c>
      <c r="D426" s="832" t="s">
        <v>1115</v>
      </c>
      <c r="E426" s="832" t="s">
        <v>333</v>
      </c>
      <c r="F426" s="832" t="s">
        <v>1792</v>
      </c>
      <c r="G426" s="832">
        <v>0</v>
      </c>
      <c r="H426" s="832">
        <v>0</v>
      </c>
      <c r="I426" s="832">
        <v>0</v>
      </c>
      <c r="J426" s="832">
        <v>0</v>
      </c>
      <c r="K426" s="832">
        <v>0</v>
      </c>
      <c r="L426" s="832">
        <v>0</v>
      </c>
      <c r="M426" s="832">
        <v>0</v>
      </c>
      <c r="N426" s="832">
        <v>0</v>
      </c>
      <c r="O426" s="832">
        <v>0</v>
      </c>
      <c r="P426" s="832">
        <v>0</v>
      </c>
      <c r="Q426" s="832">
        <v>0</v>
      </c>
      <c r="R426" s="832">
        <v>0</v>
      </c>
      <c r="S426" s="832">
        <v>0</v>
      </c>
      <c r="T426" s="832">
        <v>0</v>
      </c>
      <c r="U426" s="832">
        <v>0</v>
      </c>
      <c r="V426" s="832">
        <v>0</v>
      </c>
      <c r="W426" s="832">
        <v>0</v>
      </c>
      <c r="X426" s="832">
        <v>0</v>
      </c>
      <c r="Y426" s="832">
        <v>0</v>
      </c>
      <c r="Z426" s="832">
        <v>0</v>
      </c>
      <c r="AA426" s="832">
        <v>0</v>
      </c>
      <c r="AB426" s="832">
        <v>0</v>
      </c>
      <c r="AC426" s="832">
        <v>0</v>
      </c>
      <c r="AD426" s="832">
        <v>0</v>
      </c>
      <c r="AE426" s="832">
        <v>0</v>
      </c>
      <c r="AF426" s="832">
        <v>0</v>
      </c>
      <c r="AG426" s="832">
        <v>0</v>
      </c>
      <c r="AH426" s="832">
        <v>0</v>
      </c>
      <c r="AI426" s="832">
        <v>0</v>
      </c>
      <c r="AJ426" s="1030" t="str">
        <f t="shared" si="36"/>
        <v>H19500</v>
      </c>
      <c r="AK426" s="1030" t="str">
        <f t="shared" si="37"/>
        <v>ACHALANDAGE</v>
      </c>
      <c r="AL426" s="1030">
        <f>IFERROR(INDEX(G426:R426,1,MATCH(Parametres!$B$3,G$1:R$1,0)-1)*IF(OR(F426="L",F426="S",F426="I"),-1,1),"")</f>
        <v>0</v>
      </c>
      <c r="AM426" s="1030">
        <f t="shared" si="38"/>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t="str">
        <f t="shared" si="39"/>
        <v>H19500</v>
      </c>
      <c r="AU426" s="599" t="str">
        <f t="shared" si="40"/>
        <v>ACHALANDAGE</v>
      </c>
      <c r="AV426" s="1030">
        <f>IFERROR(INDEX(V426:AG426,1,MATCH(Parametres!$B$3,V$1:AG$1,0)-1)*IF(OR(C426="L",C426="S",C426="I"),-1,1),"")</f>
        <v>0</v>
      </c>
      <c r="AW426" s="1030">
        <f t="shared" si="41"/>
        <v>0</v>
      </c>
      <c r="AX426" s="1030">
        <f>INDEX(V426:AG426,1,MATCH(Parametres!$B$3,V$1:AG$1,0))*IF(OR(C426="L",C426="S",C426="I"),-1,1)</f>
        <v>0</v>
      </c>
      <c r="AY426" s="598" t="s">
        <v>337</v>
      </c>
      <c r="AZ426" s="598" t="e">
        <f>+VLOOKUP($AJ426,Data_Validation!$A:$E,5,0)</f>
        <v>#N/A</v>
      </c>
    </row>
    <row r="427" spans="1:52" ht="15.75" customHeight="1">
      <c r="A427" s="832" t="s">
        <v>1150</v>
      </c>
      <c r="B427" s="832">
        <v>2025</v>
      </c>
      <c r="C427" s="832" t="s">
        <v>1998</v>
      </c>
      <c r="D427" s="832" t="s">
        <v>1999</v>
      </c>
      <c r="E427" s="832" t="s">
        <v>333</v>
      </c>
      <c r="F427" s="832" t="s">
        <v>1792</v>
      </c>
      <c r="G427" s="832">
        <v>0</v>
      </c>
      <c r="H427" s="832">
        <v>0</v>
      </c>
      <c r="I427" s="832">
        <v>0</v>
      </c>
      <c r="J427" s="832">
        <v>0</v>
      </c>
      <c r="K427" s="832">
        <v>0</v>
      </c>
      <c r="L427" s="832">
        <v>0</v>
      </c>
      <c r="M427" s="832">
        <v>0</v>
      </c>
      <c r="N427" s="832">
        <v>0</v>
      </c>
      <c r="O427" s="832">
        <v>0</v>
      </c>
      <c r="P427" s="832">
        <v>0</v>
      </c>
      <c r="Q427" s="832">
        <v>0</v>
      </c>
      <c r="R427" s="832">
        <v>0</v>
      </c>
      <c r="S427" s="832">
        <v>0</v>
      </c>
      <c r="T427" s="832">
        <v>0</v>
      </c>
      <c r="U427" s="832">
        <v>0</v>
      </c>
      <c r="V427" s="832">
        <v>0</v>
      </c>
      <c r="W427" s="832">
        <v>0</v>
      </c>
      <c r="X427" s="832">
        <v>0</v>
      </c>
      <c r="Y427" s="832">
        <v>0</v>
      </c>
      <c r="Z427" s="832">
        <v>0</v>
      </c>
      <c r="AA427" s="832">
        <v>0</v>
      </c>
      <c r="AB427" s="832">
        <v>0</v>
      </c>
      <c r="AC427" s="832">
        <v>0</v>
      </c>
      <c r="AD427" s="832">
        <v>0</v>
      </c>
      <c r="AE427" s="832">
        <v>0</v>
      </c>
      <c r="AF427" s="832">
        <v>0</v>
      </c>
      <c r="AG427" s="832">
        <v>0</v>
      </c>
      <c r="AH427" s="832">
        <v>0</v>
      </c>
      <c r="AI427" s="832">
        <v>0</v>
      </c>
      <c r="AJ427" s="1030" t="str">
        <f t="shared" si="36"/>
        <v>H19600</v>
      </c>
      <c r="AK427" s="1030" t="str">
        <f t="shared" si="37"/>
        <v>PARTICIPATION SOC. FIN.</v>
      </c>
      <c r="AL427" s="1030">
        <f>IFERROR(INDEX(G427:R427,1,MATCH(Parametres!$B$3,G$1:R$1,0)-1)*IF(OR(F427="L",F427="S",F427="I"),-1,1),"")</f>
        <v>0</v>
      </c>
      <c r="AM427" s="1030">
        <f t="shared" si="38"/>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t="str">
        <f t="shared" si="39"/>
        <v>H19600</v>
      </c>
      <c r="AU427" s="599" t="str">
        <f t="shared" si="40"/>
        <v>PARTICIPATION SOC. FIN.</v>
      </c>
      <c r="AV427" s="1030">
        <f>IFERROR(INDEX(V427:AG427,1,MATCH(Parametres!$B$3,V$1:AG$1,0)-1)*IF(OR(C427="L",C427="S",C427="I"),-1,1),"")</f>
        <v>0</v>
      </c>
      <c r="AW427" s="1030">
        <f t="shared" si="41"/>
        <v>0</v>
      </c>
      <c r="AX427" s="1030">
        <f>INDEX(V427:AG427,1,MATCH(Parametres!$B$3,V$1:AG$1,0))*IF(OR(C427="L",C427="S",C427="I"),-1,1)</f>
        <v>0</v>
      </c>
      <c r="AY427" s="598" t="s">
        <v>337</v>
      </c>
      <c r="AZ427" s="598" t="e">
        <f>+VLOOKUP($AJ427,Data_Validation!$A:$E,5,0)</f>
        <v>#N/A</v>
      </c>
    </row>
    <row r="428" spans="1:52" ht="15.75" customHeight="1">
      <c r="A428" s="832" t="s">
        <v>1150</v>
      </c>
      <c r="B428" s="832">
        <v>2025</v>
      </c>
      <c r="C428" s="832" t="s">
        <v>2000</v>
      </c>
      <c r="D428" s="832" t="s">
        <v>2001</v>
      </c>
      <c r="E428" s="832" t="s">
        <v>333</v>
      </c>
      <c r="F428" s="832" t="s">
        <v>1792</v>
      </c>
      <c r="G428" s="832">
        <v>4650000</v>
      </c>
      <c r="H428" s="832">
        <v>4650000</v>
      </c>
      <c r="I428" s="832">
        <v>4650000</v>
      </c>
      <c r="J428" s="832">
        <v>4650000</v>
      </c>
      <c r="K428" s="832">
        <v>4650000</v>
      </c>
      <c r="L428" s="832">
        <v>4650000</v>
      </c>
      <c r="M428" s="832">
        <v>4650000</v>
      </c>
      <c r="N428" s="832">
        <v>6950932</v>
      </c>
      <c r="O428" s="832">
        <v>6950932</v>
      </c>
      <c r="P428" s="832">
        <v>6950932</v>
      </c>
      <c r="Q428" s="832">
        <v>6950932</v>
      </c>
      <c r="R428" s="832">
        <v>6950932</v>
      </c>
      <c r="S428" s="832">
        <v>0</v>
      </c>
      <c r="T428" s="832">
        <v>0</v>
      </c>
      <c r="U428" s="832">
        <v>0</v>
      </c>
      <c r="V428" s="832">
        <v>0</v>
      </c>
      <c r="W428" s="832">
        <v>0</v>
      </c>
      <c r="X428" s="832">
        <v>0</v>
      </c>
      <c r="Y428" s="832">
        <v>0</v>
      </c>
      <c r="Z428" s="832">
        <v>0</v>
      </c>
      <c r="AA428" s="832">
        <v>0</v>
      </c>
      <c r="AB428" s="832">
        <v>0</v>
      </c>
      <c r="AC428" s="832">
        <v>0</v>
      </c>
      <c r="AD428" s="832">
        <v>0</v>
      </c>
      <c r="AE428" s="832">
        <v>0</v>
      </c>
      <c r="AF428" s="832">
        <v>0</v>
      </c>
      <c r="AG428" s="832">
        <v>0</v>
      </c>
      <c r="AH428" s="832">
        <v>0</v>
      </c>
      <c r="AI428" s="832">
        <v>0</v>
      </c>
      <c r="AJ428" s="1030" t="str">
        <f t="shared" si="36"/>
        <v>H19900</v>
      </c>
      <c r="AK428" s="1030" t="str">
        <f t="shared" si="37"/>
        <v>AUTES ACTIF GESTION IMMO</v>
      </c>
      <c r="AL428" s="1030">
        <f>IFERROR(INDEX(G428:R428,1,MATCH(Parametres!$B$3,G$1:R$1,0)-1)*IF(OR(F428="L",F428="S",F428="I"),-1,1),"")</f>
        <v>4650000</v>
      </c>
      <c r="AM428" s="1030">
        <f t="shared" si="38"/>
        <v>0</v>
      </c>
      <c r="AN428" s="1030">
        <f>INDEX(G428:R428,1,MATCH(Parametres!$B$3,G$1:R$1,0))*IF(OR(F428="L",F428="S",F428="I"),-1,1)</f>
        <v>4650000</v>
      </c>
      <c r="AO428" s="598" t="str">
        <f>+VLOOKUP($AJ428,Data_Validation!$A:$D,1,0)</f>
        <v>H19900</v>
      </c>
      <c r="AP428" s="598" t="str">
        <f>+VLOOKUP($AJ428,Data_Validation!$A:$D,3,0)</f>
        <v>Bilan</v>
      </c>
      <c r="AQ428" s="598" t="str">
        <f>+VLOOKUP($AJ428,Data_Validation!$A:$D,4,0)</f>
        <v>Achalandage</v>
      </c>
      <c r="AR428" s="598" t="s">
        <v>299</v>
      </c>
      <c r="AS428" s="598">
        <f>+VLOOKUP($AJ428,Data_Validation!$A:$E,5,0)</f>
        <v>0</v>
      </c>
      <c r="AT428" s="1036" t="str">
        <f t="shared" si="39"/>
        <v>H19900</v>
      </c>
      <c r="AU428" s="599" t="str">
        <f t="shared" si="40"/>
        <v>AUTES ACTIF GESTION IMMO</v>
      </c>
      <c r="AV428" s="1030">
        <f>IFERROR(INDEX(V428:AG428,1,MATCH(Parametres!$B$3,V$1:AG$1,0)-1)*IF(OR(C428="L",C428="S",C428="I"),-1,1),"")</f>
        <v>0</v>
      </c>
      <c r="AW428" s="1030">
        <f t="shared" si="41"/>
        <v>0</v>
      </c>
      <c r="AX428" s="1030">
        <f>INDEX(V428:AG428,1,MATCH(Parametres!$B$3,V$1:AG$1,0))*IF(OR(C428="L",C428="S",C428="I"),-1,1)</f>
        <v>0</v>
      </c>
      <c r="AY428" s="598" t="s">
        <v>337</v>
      </c>
      <c r="AZ428" s="598">
        <f>+VLOOKUP($AJ428,Data_Validation!$A:$E,5,0)</f>
        <v>0</v>
      </c>
    </row>
    <row r="429" spans="1:52" ht="15.75" customHeight="1">
      <c r="A429" s="832" t="s">
        <v>1150</v>
      </c>
      <c r="B429" s="832">
        <v>2025</v>
      </c>
      <c r="C429" s="832" t="s">
        <v>2002</v>
      </c>
      <c r="D429" s="832" t="s">
        <v>2003</v>
      </c>
      <c r="E429" s="832" t="s">
        <v>333</v>
      </c>
      <c r="F429" s="832" t="s">
        <v>1792</v>
      </c>
      <c r="G429" s="832">
        <v>0</v>
      </c>
      <c r="H429" s="832">
        <v>0</v>
      </c>
      <c r="I429" s="832">
        <v>0</v>
      </c>
      <c r="J429" s="832">
        <v>0</v>
      </c>
      <c r="K429" s="832">
        <v>0</v>
      </c>
      <c r="L429" s="832">
        <v>0</v>
      </c>
      <c r="M429" s="832">
        <v>0</v>
      </c>
      <c r="N429" s="832">
        <v>-232333</v>
      </c>
      <c r="O429" s="832">
        <v>-232333</v>
      </c>
      <c r="P429" s="832">
        <v>-232333</v>
      </c>
      <c r="Q429" s="832">
        <v>-232333</v>
      </c>
      <c r="R429" s="832">
        <v>-232333</v>
      </c>
      <c r="S429" s="832">
        <v>0</v>
      </c>
      <c r="T429" s="832">
        <v>0</v>
      </c>
      <c r="U429" s="832">
        <v>0</v>
      </c>
      <c r="V429" s="832">
        <v>0</v>
      </c>
      <c r="W429" s="832">
        <v>0</v>
      </c>
      <c r="X429" s="832">
        <v>0</v>
      </c>
      <c r="Y429" s="832">
        <v>0</v>
      </c>
      <c r="Z429" s="832">
        <v>0</v>
      </c>
      <c r="AA429" s="832">
        <v>0</v>
      </c>
      <c r="AB429" s="832">
        <v>0</v>
      </c>
      <c r="AC429" s="832">
        <v>0</v>
      </c>
      <c r="AD429" s="832">
        <v>0</v>
      </c>
      <c r="AE429" s="832">
        <v>0</v>
      </c>
      <c r="AF429" s="832">
        <v>0</v>
      </c>
      <c r="AG429" s="832">
        <v>0</v>
      </c>
      <c r="AH429" s="832">
        <v>0</v>
      </c>
      <c r="AI429" s="832">
        <v>0</v>
      </c>
      <c r="AJ429" s="1030" t="str">
        <f t="shared" si="36"/>
        <v>H19902</v>
      </c>
      <c r="AK429" s="1030" t="str">
        <f t="shared" si="37"/>
        <v>AMORT CUMULE-RELATION CLI</v>
      </c>
      <c r="AL429" s="1030">
        <f>IFERROR(INDEX(G429:R429,1,MATCH(Parametres!$B$3,G$1:R$1,0)-1)*IF(OR(F429="L",F429="S",F429="I"),-1,1),"")</f>
        <v>0</v>
      </c>
      <c r="AM429" s="1030">
        <f t="shared" si="38"/>
        <v>0</v>
      </c>
      <c r="AN429" s="1030">
        <f>INDEX(G429:R429,1,MATCH(Parametres!$B$3,G$1:R$1,0))*IF(OR(F429="L",F429="S",F429="I"),-1,1)</f>
        <v>0</v>
      </c>
      <c r="AO429" s="598" t="str">
        <f>+VLOOKUP($AJ429,Data_Validation!$A:$D,1,0)</f>
        <v>H19902</v>
      </c>
      <c r="AP429" s="598" t="str">
        <f>+VLOOKUP($AJ429,Data_Validation!$A:$D,3,0)</f>
        <v>Bilan</v>
      </c>
      <c r="AQ429" s="598" t="str">
        <f>+VLOOKUP($AJ429,Data_Validation!$A:$D,4,0)</f>
        <v>Achalandage</v>
      </c>
      <c r="AR429" s="598" t="s">
        <v>299</v>
      </c>
      <c r="AS429" s="598">
        <f>+VLOOKUP($AJ429,Data_Validation!$A:$E,5,0)</f>
        <v>0</v>
      </c>
      <c r="AT429" s="1036" t="str">
        <f t="shared" si="39"/>
        <v>H19902</v>
      </c>
      <c r="AU429" s="599" t="str">
        <f t="shared" si="40"/>
        <v>AMORT CUMULE-RELATION CLI</v>
      </c>
      <c r="AV429" s="1030">
        <f>IFERROR(INDEX(V429:AG429,1,MATCH(Parametres!$B$3,V$1:AG$1,0)-1)*IF(OR(C429="L",C429="S",C429="I"),-1,1),"")</f>
        <v>0</v>
      </c>
      <c r="AW429" s="1030">
        <f t="shared" si="41"/>
        <v>0</v>
      </c>
      <c r="AX429" s="1030">
        <f>INDEX(V429:AG429,1,MATCH(Parametres!$B$3,V$1:AG$1,0))*IF(OR(C429="L",C429="S",C429="I"),-1,1)</f>
        <v>0</v>
      </c>
      <c r="AY429" s="598" t="s">
        <v>337</v>
      </c>
      <c r="AZ429" s="598">
        <f>+VLOOKUP($AJ429,Data_Validation!$A:$E,5,0)</f>
        <v>0</v>
      </c>
    </row>
    <row r="430" spans="1:52" ht="15.75" customHeight="1">
      <c r="A430" s="832" t="s">
        <v>1150</v>
      </c>
      <c r="B430" s="832">
        <v>2025</v>
      </c>
      <c r="C430" s="832" t="s">
        <v>2004</v>
      </c>
      <c r="D430" s="832" t="s">
        <v>2005</v>
      </c>
      <c r="E430" s="832" t="s">
        <v>333</v>
      </c>
      <c r="F430" s="832" t="s">
        <v>1153</v>
      </c>
      <c r="G430" s="832">
        <v>0</v>
      </c>
      <c r="H430" s="832">
        <v>0</v>
      </c>
      <c r="I430" s="832">
        <v>0</v>
      </c>
      <c r="J430" s="832">
        <v>0</v>
      </c>
      <c r="K430" s="832">
        <v>0</v>
      </c>
      <c r="L430" s="832">
        <v>0</v>
      </c>
      <c r="M430" s="832">
        <v>0</v>
      </c>
      <c r="N430" s="832">
        <v>0</v>
      </c>
      <c r="O430" s="832">
        <v>0</v>
      </c>
      <c r="P430" s="832">
        <v>0</v>
      </c>
      <c r="Q430" s="832">
        <v>0</v>
      </c>
      <c r="R430" s="832">
        <v>0</v>
      </c>
      <c r="S430" s="832">
        <v>0</v>
      </c>
      <c r="T430" s="832">
        <v>0</v>
      </c>
      <c r="U430" s="832">
        <v>0</v>
      </c>
      <c r="V430" s="832">
        <v>0</v>
      </c>
      <c r="W430" s="832">
        <v>0</v>
      </c>
      <c r="X430" s="832">
        <v>0</v>
      </c>
      <c r="Y430" s="832">
        <v>0</v>
      </c>
      <c r="Z430" s="832">
        <v>0</v>
      </c>
      <c r="AA430" s="832">
        <v>0</v>
      </c>
      <c r="AB430" s="832">
        <v>0</v>
      </c>
      <c r="AC430" s="832">
        <v>0</v>
      </c>
      <c r="AD430" s="832">
        <v>0</v>
      </c>
      <c r="AE430" s="832">
        <v>0</v>
      </c>
      <c r="AF430" s="832">
        <v>0</v>
      </c>
      <c r="AG430" s="832">
        <v>0</v>
      </c>
      <c r="AH430" s="832">
        <v>0</v>
      </c>
      <c r="AI430" s="832">
        <v>0</v>
      </c>
      <c r="AJ430" s="1030" t="str">
        <f t="shared" si="36"/>
        <v>H20100</v>
      </c>
      <c r="AK430" s="1030" t="str">
        <f t="shared" si="37"/>
        <v>PRET BANCAIRE</v>
      </c>
      <c r="AL430" s="1030">
        <f>IFERROR(INDEX(G430:R430,1,MATCH(Parametres!$B$3,G$1:R$1,0)-1)*IF(OR(F430="L",F430="S",F430="I"),-1,1),"")</f>
        <v>0</v>
      </c>
      <c r="AM430" s="1030">
        <f t="shared" si="38"/>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t="str">
        <f t="shared" si="39"/>
        <v>H20100</v>
      </c>
      <c r="AU430" s="599" t="str">
        <f t="shared" si="40"/>
        <v>PRET BANCAIRE</v>
      </c>
      <c r="AV430" s="1030">
        <f>IFERROR(INDEX(V430:AG430,1,MATCH(Parametres!$B$3,V$1:AG$1,0)-1)*IF(OR(C430="L",C430="S",C430="I"),-1,1),"")</f>
        <v>0</v>
      </c>
      <c r="AW430" s="1030">
        <f t="shared" si="41"/>
        <v>0</v>
      </c>
      <c r="AX430" s="1030">
        <f>INDEX(V430:AG430,1,MATCH(Parametres!$B$3,V$1:AG$1,0))*IF(OR(C430="L",C430="S",C430="I"),-1,1)</f>
        <v>0</v>
      </c>
      <c r="AY430" s="598" t="s">
        <v>337</v>
      </c>
      <c r="AZ430" s="598" t="e">
        <f>+VLOOKUP($AJ430,Data_Validation!$A:$E,5,0)</f>
        <v>#N/A</v>
      </c>
    </row>
    <row r="431" spans="1:52" ht="15.75" customHeight="1">
      <c r="A431" s="832" t="s">
        <v>1150</v>
      </c>
      <c r="B431" s="832">
        <v>2025</v>
      </c>
      <c r="C431" s="832" t="s">
        <v>2006</v>
      </c>
      <c r="D431" s="832" t="s">
        <v>1803</v>
      </c>
      <c r="E431" s="832" t="s">
        <v>333</v>
      </c>
      <c r="F431" s="832" t="s">
        <v>1153</v>
      </c>
      <c r="G431" s="832">
        <v>0</v>
      </c>
      <c r="H431" s="832">
        <v>0</v>
      </c>
      <c r="I431" s="832">
        <v>0</v>
      </c>
      <c r="J431" s="832">
        <v>0</v>
      </c>
      <c r="K431" s="832">
        <v>0</v>
      </c>
      <c r="L431" s="832">
        <v>0</v>
      </c>
      <c r="M431" s="832">
        <v>0</v>
      </c>
      <c r="N431" s="832">
        <v>0</v>
      </c>
      <c r="O431" s="832">
        <v>0</v>
      </c>
      <c r="P431" s="832">
        <v>0</v>
      </c>
      <c r="Q431" s="832">
        <v>0</v>
      </c>
      <c r="R431" s="832">
        <v>0</v>
      </c>
      <c r="S431" s="832">
        <v>0</v>
      </c>
      <c r="T431" s="832">
        <v>0</v>
      </c>
      <c r="U431" s="832">
        <v>0</v>
      </c>
      <c r="V431" s="832">
        <v>0</v>
      </c>
      <c r="W431" s="832">
        <v>0</v>
      </c>
      <c r="X431" s="832">
        <v>0</v>
      </c>
      <c r="Y431" s="832">
        <v>0</v>
      </c>
      <c r="Z431" s="832">
        <v>0</v>
      </c>
      <c r="AA431" s="832">
        <v>0</v>
      </c>
      <c r="AB431" s="832">
        <v>0</v>
      </c>
      <c r="AC431" s="832">
        <v>0</v>
      </c>
      <c r="AD431" s="832">
        <v>0</v>
      </c>
      <c r="AE431" s="832">
        <v>0</v>
      </c>
      <c r="AF431" s="832">
        <v>0</v>
      </c>
      <c r="AG431" s="832">
        <v>0</v>
      </c>
      <c r="AH431" s="832">
        <v>0</v>
      </c>
      <c r="AI431" s="832">
        <v>0</v>
      </c>
      <c r="AJ431" s="1030" t="str">
        <f t="shared" si="36"/>
        <v>H20200</v>
      </c>
      <c r="AK431" s="1030" t="str">
        <f t="shared" si="37"/>
        <v>BULK</v>
      </c>
      <c r="AL431" s="1030">
        <f>IFERROR(INDEX(G431:R431,1,MATCH(Parametres!$B$3,G$1:R$1,0)-1)*IF(OR(F431="L",F431="S",F431="I"),-1,1),"")</f>
        <v>0</v>
      </c>
      <c r="AM431" s="1030">
        <f t="shared" si="38"/>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t="str">
        <f t="shared" si="39"/>
        <v>H20200</v>
      </c>
      <c r="AU431" s="599" t="str">
        <f t="shared" si="40"/>
        <v>BULK</v>
      </c>
      <c r="AV431" s="1030">
        <f>IFERROR(INDEX(V431:AG431,1,MATCH(Parametres!$B$3,V$1:AG$1,0)-1)*IF(OR(C431="L",C431="S",C431="I"),-1,1),"")</f>
        <v>0</v>
      </c>
      <c r="AW431" s="1030">
        <f t="shared" si="41"/>
        <v>0</v>
      </c>
      <c r="AX431" s="1030">
        <f>INDEX(V431:AG431,1,MATCH(Parametres!$B$3,V$1:AG$1,0))*IF(OR(C431="L",C431="S",C431="I"),-1,1)</f>
        <v>0</v>
      </c>
      <c r="AY431" s="598" t="s">
        <v>337</v>
      </c>
      <c r="AZ431" s="598" t="e">
        <f>+VLOOKUP($AJ431,Data_Validation!$A:$E,5,0)</f>
        <v>#N/A</v>
      </c>
    </row>
    <row r="432" spans="1:52" ht="15.75" customHeight="1">
      <c r="A432" s="832" t="s">
        <v>1150</v>
      </c>
      <c r="B432" s="832">
        <v>2025</v>
      </c>
      <c r="C432" s="832" t="s">
        <v>2007</v>
      </c>
      <c r="D432" s="832" t="s">
        <v>2008</v>
      </c>
      <c r="E432" s="832" t="s">
        <v>2009</v>
      </c>
      <c r="F432" s="832" t="s">
        <v>1153</v>
      </c>
      <c r="G432" s="832">
        <v>8309801.5099999998</v>
      </c>
      <c r="H432" s="832">
        <v>8636645.3599999994</v>
      </c>
      <c r="I432" s="832">
        <v>10218895.59</v>
      </c>
      <c r="J432" s="832">
        <v>7928457.9500000002</v>
      </c>
      <c r="K432" s="832">
        <v>6809758.1699999999</v>
      </c>
      <c r="L432" s="832">
        <v>7789802.7699999996</v>
      </c>
      <c r="M432" s="832">
        <v>8797657.7699999996</v>
      </c>
      <c r="N432" s="832">
        <v>9002367.5999999996</v>
      </c>
      <c r="O432" s="832">
        <v>9934155.8599999994</v>
      </c>
      <c r="P432" s="832">
        <v>10620089.560000001</v>
      </c>
      <c r="Q432" s="832">
        <v>9613735.1799999997</v>
      </c>
      <c r="R432" s="832">
        <v>7661879.1600000001</v>
      </c>
      <c r="S432" s="832">
        <v>0</v>
      </c>
      <c r="T432" s="832">
        <v>0</v>
      </c>
      <c r="U432" s="832">
        <v>0</v>
      </c>
      <c r="V432" s="832">
        <v>0</v>
      </c>
      <c r="W432" s="832">
        <v>0</v>
      </c>
      <c r="X432" s="832">
        <v>0</v>
      </c>
      <c r="Y432" s="832">
        <v>0</v>
      </c>
      <c r="Z432" s="832">
        <v>0</v>
      </c>
      <c r="AA432" s="832">
        <v>0</v>
      </c>
      <c r="AB432" s="832">
        <v>0</v>
      </c>
      <c r="AC432" s="832">
        <v>0</v>
      </c>
      <c r="AD432" s="832">
        <v>0</v>
      </c>
      <c r="AE432" s="832">
        <v>0</v>
      </c>
      <c r="AF432" s="832">
        <v>0</v>
      </c>
      <c r="AG432" s="832">
        <v>0</v>
      </c>
      <c r="AH432" s="832">
        <v>0</v>
      </c>
      <c r="AI432" s="832">
        <v>0</v>
      </c>
      <c r="AJ432" s="1030" t="str">
        <f t="shared" si="36"/>
        <v>H20500</v>
      </c>
      <c r="AK432" s="1030" t="str">
        <f t="shared" si="37"/>
        <v>FLOOR PLAN - NEUF</v>
      </c>
      <c r="AL432" s="1030">
        <f>IFERROR(INDEX(G432:R432,1,MATCH(Parametres!$B$3,G$1:R$1,0)-1)*IF(OR(F432="L",F432="S",F432="I"),-1,1),"")</f>
        <v>-7928457.9500000002</v>
      </c>
      <c r="AM432" s="1030">
        <f t="shared" si="38"/>
        <v>1118699.7800000003</v>
      </c>
      <c r="AN432" s="1030">
        <f>INDEX(G432:R432,1,MATCH(Parametres!$B$3,G$1:R$1,0))*IF(OR(F432="L",F432="S",F432="I"),-1,1)</f>
        <v>-6809758.1699999999</v>
      </c>
      <c r="AO432" s="598" t="str">
        <f>+VLOOKUP($AJ432,Data_Validation!$A:$D,1,0)</f>
        <v>H20500</v>
      </c>
      <c r="AP432" s="598" t="str">
        <f>+VLOOKUP($AJ432,Data_Validation!$A:$D,3,0)</f>
        <v>Bilan</v>
      </c>
      <c r="AQ432" s="598" t="str">
        <f>+VLOOKUP($AJ432,Data_Validation!$A:$D,4,0)</f>
        <v>Effet à Payer Véhicules Neufs</v>
      </c>
      <c r="AR432" s="598" t="s">
        <v>299</v>
      </c>
      <c r="AS432" s="598">
        <f>+VLOOKUP($AJ432,Data_Validation!$A:$E,5,0)</f>
        <v>0</v>
      </c>
      <c r="AT432" s="1036" t="str">
        <f t="shared" si="39"/>
        <v>H20500</v>
      </c>
      <c r="AU432" s="599" t="str">
        <f t="shared" si="40"/>
        <v>FLOOR PLAN - NEUF</v>
      </c>
      <c r="AV432" s="1030">
        <f>IFERROR(INDEX(V432:AG432,1,MATCH(Parametres!$B$3,V$1:AG$1,0)-1)*IF(OR(C432="L",C432="S",C432="I"),-1,1),"")</f>
        <v>0</v>
      </c>
      <c r="AW432" s="1030">
        <f t="shared" si="41"/>
        <v>0</v>
      </c>
      <c r="AX432" s="1030">
        <f>INDEX(V432:AG432,1,MATCH(Parametres!$B$3,V$1:AG$1,0))*IF(OR(C432="L",C432="S",C432="I"),-1,1)</f>
        <v>0</v>
      </c>
      <c r="AY432" s="598" t="s">
        <v>337</v>
      </c>
      <c r="AZ432" s="598">
        <f>+VLOOKUP($AJ432,Data_Validation!$A:$E,5,0)</f>
        <v>0</v>
      </c>
    </row>
    <row r="433" spans="1:52" ht="15.75" customHeight="1">
      <c r="A433" s="832" t="s">
        <v>1150</v>
      </c>
      <c r="B433" s="832">
        <v>2025</v>
      </c>
      <c r="C433" s="832" t="s">
        <v>2010</v>
      </c>
      <c r="D433" s="832" t="s">
        <v>2011</v>
      </c>
      <c r="E433" s="832" t="s">
        <v>2009</v>
      </c>
      <c r="F433" s="832" t="s">
        <v>1153</v>
      </c>
      <c r="G433" s="832">
        <v>198578</v>
      </c>
      <c r="H433" s="832">
        <v>95256</v>
      </c>
      <c r="I433" s="832">
        <v>98217</v>
      </c>
      <c r="J433" s="832">
        <v>133784</v>
      </c>
      <c r="K433" s="832">
        <v>0</v>
      </c>
      <c r="L433" s="832">
        <v>0</v>
      </c>
      <c r="M433" s="832">
        <v>0</v>
      </c>
      <c r="N433" s="832">
        <v>0</v>
      </c>
      <c r="O433" s="832">
        <v>158112</v>
      </c>
      <c r="P433" s="832">
        <v>152415</v>
      </c>
      <c r="Q433" s="832">
        <v>412592</v>
      </c>
      <c r="R433" s="832">
        <v>608824</v>
      </c>
      <c r="S433" s="832">
        <v>0</v>
      </c>
      <c r="T433" s="832">
        <v>0</v>
      </c>
      <c r="U433" s="832">
        <v>0</v>
      </c>
      <c r="V433" s="832">
        <v>0</v>
      </c>
      <c r="W433" s="832">
        <v>0</v>
      </c>
      <c r="X433" s="832">
        <v>0</v>
      </c>
      <c r="Y433" s="832">
        <v>0</v>
      </c>
      <c r="Z433" s="832">
        <v>0</v>
      </c>
      <c r="AA433" s="832">
        <v>0</v>
      </c>
      <c r="AB433" s="832">
        <v>0</v>
      </c>
      <c r="AC433" s="832">
        <v>0</v>
      </c>
      <c r="AD433" s="832">
        <v>0</v>
      </c>
      <c r="AE433" s="832">
        <v>0</v>
      </c>
      <c r="AF433" s="832">
        <v>0</v>
      </c>
      <c r="AG433" s="832">
        <v>0</v>
      </c>
      <c r="AH433" s="832">
        <v>0</v>
      </c>
      <c r="AI433" s="832">
        <v>0</v>
      </c>
      <c r="AJ433" s="1030" t="str">
        <f t="shared" si="36"/>
        <v>H20700</v>
      </c>
      <c r="AK433" s="1030" t="str">
        <f t="shared" si="37"/>
        <v>FLOOR PLAN - OCCASION</v>
      </c>
      <c r="AL433" s="1030">
        <f>IFERROR(INDEX(G433:R433,1,MATCH(Parametres!$B$3,G$1:R$1,0)-1)*IF(OR(F433="L",F433="S",F433="I"),-1,1),"")</f>
        <v>-133784</v>
      </c>
      <c r="AM433" s="1030">
        <f t="shared" si="38"/>
        <v>133784</v>
      </c>
      <c r="AN433" s="1030">
        <f>INDEX(G433:R433,1,MATCH(Parametres!$B$3,G$1:R$1,0))*IF(OR(F433="L",F433="S",F433="I"),-1,1)</f>
        <v>0</v>
      </c>
      <c r="AO433" s="598" t="str">
        <f>+VLOOKUP($AJ433,Data_Validation!$A:$D,1,0)</f>
        <v>H20700</v>
      </c>
      <c r="AP433" s="598" t="str">
        <f>+VLOOKUP($AJ433,Data_Validation!$A:$D,3,0)</f>
        <v>Bilan</v>
      </c>
      <c r="AQ433" s="598" t="str">
        <f>+VLOOKUP($AJ433,Data_Validation!$A:$D,4,0)</f>
        <v>Effet à Payer Véhicules Usagés</v>
      </c>
      <c r="AR433" s="598" t="s">
        <v>299</v>
      </c>
      <c r="AS433" s="598">
        <f>+VLOOKUP($AJ433,Data_Validation!$A:$E,5,0)</f>
        <v>0</v>
      </c>
      <c r="AT433" s="1036" t="str">
        <f t="shared" si="39"/>
        <v>H20700</v>
      </c>
      <c r="AU433" s="599" t="str">
        <f t="shared" si="40"/>
        <v>FLOOR PLAN - OCCASION</v>
      </c>
      <c r="AV433" s="1030">
        <f>IFERROR(INDEX(V433:AG433,1,MATCH(Parametres!$B$3,V$1:AG$1,0)-1)*IF(OR(C433="L",C433="S",C433="I"),-1,1),"")</f>
        <v>0</v>
      </c>
      <c r="AW433" s="1030">
        <f t="shared" si="41"/>
        <v>0</v>
      </c>
      <c r="AX433" s="1030">
        <f>INDEX(V433:AG433,1,MATCH(Parametres!$B$3,V$1:AG$1,0))*IF(OR(C433="L",C433="S",C433="I"),-1,1)</f>
        <v>0</v>
      </c>
      <c r="AY433" s="598" t="s">
        <v>337</v>
      </c>
      <c r="AZ433" s="598">
        <f>+VLOOKUP($AJ433,Data_Validation!$A:$E,5,0)</f>
        <v>0</v>
      </c>
    </row>
    <row r="434" spans="1:52" ht="15.75" customHeight="1">
      <c r="A434" s="832" t="s">
        <v>1150</v>
      </c>
      <c r="B434" s="832">
        <v>2025</v>
      </c>
      <c r="C434" s="832" t="s">
        <v>2012</v>
      </c>
      <c r="D434" s="832" t="s">
        <v>2013</v>
      </c>
      <c r="E434" s="832" t="s">
        <v>2009</v>
      </c>
      <c r="F434" s="832" t="s">
        <v>1153</v>
      </c>
      <c r="G434" s="832">
        <v>875516.25</v>
      </c>
      <c r="H434" s="832">
        <v>851337.05</v>
      </c>
      <c r="I434" s="832">
        <v>785645.45</v>
      </c>
      <c r="J434" s="832">
        <v>510094.48</v>
      </c>
      <c r="K434" s="832">
        <v>627103.47</v>
      </c>
      <c r="L434" s="832">
        <v>556344.32999999996</v>
      </c>
      <c r="M434" s="832">
        <v>587901.98</v>
      </c>
      <c r="N434" s="832">
        <v>577593.75</v>
      </c>
      <c r="O434" s="832">
        <v>576723.29</v>
      </c>
      <c r="P434" s="832">
        <v>604755.63</v>
      </c>
      <c r="Q434" s="832">
        <v>791180.54</v>
      </c>
      <c r="R434" s="832">
        <v>807697.55</v>
      </c>
      <c r="S434" s="832">
        <v>0</v>
      </c>
      <c r="T434" s="832">
        <v>0</v>
      </c>
      <c r="U434" s="832">
        <v>0</v>
      </c>
      <c r="V434" s="832">
        <v>0</v>
      </c>
      <c r="W434" s="832">
        <v>0</v>
      </c>
      <c r="X434" s="832">
        <v>0</v>
      </c>
      <c r="Y434" s="832">
        <v>0</v>
      </c>
      <c r="Z434" s="832">
        <v>0</v>
      </c>
      <c r="AA434" s="832">
        <v>0</v>
      </c>
      <c r="AB434" s="832">
        <v>0</v>
      </c>
      <c r="AC434" s="832">
        <v>0</v>
      </c>
      <c r="AD434" s="832">
        <v>0</v>
      </c>
      <c r="AE434" s="832">
        <v>0</v>
      </c>
      <c r="AF434" s="832">
        <v>0</v>
      </c>
      <c r="AG434" s="832">
        <v>0</v>
      </c>
      <c r="AH434" s="832">
        <v>0</v>
      </c>
      <c r="AI434" s="832">
        <v>0</v>
      </c>
      <c r="AJ434" s="1030" t="str">
        <f t="shared" si="36"/>
        <v>H20800</v>
      </c>
      <c r="AK434" s="1030" t="str">
        <f t="shared" si="37"/>
        <v>FLOOR PLAN - DEMO &amp; COURT</v>
      </c>
      <c r="AL434" s="1030">
        <f>IFERROR(INDEX(G434:R434,1,MATCH(Parametres!$B$3,G$1:R$1,0)-1)*IF(OR(F434="L",F434="S",F434="I"),-1,1),"")</f>
        <v>-510094.48</v>
      </c>
      <c r="AM434" s="1030">
        <f t="shared" si="38"/>
        <v>-117008.98999999999</v>
      </c>
      <c r="AN434" s="1030">
        <f>INDEX(G434:R434,1,MATCH(Parametres!$B$3,G$1:R$1,0))*IF(OR(F434="L",F434="S",F434="I"),-1,1)</f>
        <v>-627103.47</v>
      </c>
      <c r="AO434" s="598" t="str">
        <f>+VLOOKUP($AJ434,Data_Validation!$A:$D,1,0)</f>
        <v>H20800</v>
      </c>
      <c r="AP434" s="598" t="str">
        <f>+VLOOKUP($AJ434,Data_Validation!$A:$D,3,0)</f>
        <v>Bilan</v>
      </c>
      <c r="AQ434" s="598" t="str">
        <f>+VLOOKUP($AJ434,Data_Validation!$A:$D,4,0)</f>
        <v>Effet à Payer Véhicules Neufs</v>
      </c>
      <c r="AR434" s="598" t="s">
        <v>299</v>
      </c>
      <c r="AS434" s="598">
        <f>+VLOOKUP($AJ434,Data_Validation!$A:$E,5,0)</f>
        <v>0</v>
      </c>
      <c r="AT434" s="1036" t="str">
        <f t="shared" si="39"/>
        <v>H20800</v>
      </c>
      <c r="AU434" s="599" t="str">
        <f t="shared" si="40"/>
        <v>FLOOR PLAN - DEMO &amp; COURT</v>
      </c>
      <c r="AV434" s="1030">
        <f>IFERROR(INDEX(V434:AG434,1,MATCH(Parametres!$B$3,V$1:AG$1,0)-1)*IF(OR(C434="L",C434="S",C434="I"),-1,1),"")</f>
        <v>0</v>
      </c>
      <c r="AW434" s="1030">
        <f t="shared" si="41"/>
        <v>0</v>
      </c>
      <c r="AX434" s="1030">
        <f>INDEX(V434:AG434,1,MATCH(Parametres!$B$3,V$1:AG$1,0))*IF(OR(C434="L",C434="S",C434="I"),-1,1)</f>
        <v>0</v>
      </c>
      <c r="AY434" s="598" t="s">
        <v>337</v>
      </c>
      <c r="AZ434" s="598">
        <f>+VLOOKUP($AJ434,Data_Validation!$A:$E,5,0)</f>
        <v>0</v>
      </c>
    </row>
    <row r="435" spans="1:52" ht="15.75" customHeight="1">
      <c r="A435" s="832" t="s">
        <v>1150</v>
      </c>
      <c r="B435" s="832">
        <v>2025</v>
      </c>
      <c r="C435" s="832" t="s">
        <v>2014</v>
      </c>
      <c r="D435" s="832" t="s">
        <v>2015</v>
      </c>
      <c r="E435" s="832" t="s">
        <v>2009</v>
      </c>
      <c r="F435" s="832" t="s">
        <v>1153</v>
      </c>
      <c r="G435" s="832">
        <v>0</v>
      </c>
      <c r="H435" s="832">
        <v>0</v>
      </c>
      <c r="I435" s="832">
        <v>0</v>
      </c>
      <c r="J435" s="832">
        <v>0</v>
      </c>
      <c r="K435" s="832">
        <v>0</v>
      </c>
      <c r="L435" s="832">
        <v>0</v>
      </c>
      <c r="M435" s="832">
        <v>0</v>
      </c>
      <c r="N435" s="832">
        <v>0</v>
      </c>
      <c r="O435" s="832">
        <v>0</v>
      </c>
      <c r="P435" s="832">
        <v>0</v>
      </c>
      <c r="Q435" s="832">
        <v>0</v>
      </c>
      <c r="R435" s="832">
        <v>0</v>
      </c>
      <c r="S435" s="832">
        <v>0</v>
      </c>
      <c r="T435" s="832">
        <v>0</v>
      </c>
      <c r="U435" s="832">
        <v>0</v>
      </c>
      <c r="V435" s="832">
        <v>0</v>
      </c>
      <c r="W435" s="832">
        <v>0</v>
      </c>
      <c r="X435" s="832">
        <v>0</v>
      </c>
      <c r="Y435" s="832">
        <v>0</v>
      </c>
      <c r="Z435" s="832">
        <v>0</v>
      </c>
      <c r="AA435" s="832">
        <v>0</v>
      </c>
      <c r="AB435" s="832">
        <v>0</v>
      </c>
      <c r="AC435" s="832">
        <v>0</v>
      </c>
      <c r="AD435" s="832">
        <v>0</v>
      </c>
      <c r="AE435" s="832">
        <v>0</v>
      </c>
      <c r="AF435" s="832">
        <v>0</v>
      </c>
      <c r="AG435" s="832">
        <v>0</v>
      </c>
      <c r="AH435" s="832">
        <v>0</v>
      </c>
      <c r="AI435" s="832">
        <v>0</v>
      </c>
      <c r="AJ435" s="1030" t="str">
        <f t="shared" si="36"/>
        <v>H20900</v>
      </c>
      <c r="AK435" s="1030" t="str">
        <f t="shared" si="37"/>
        <v>FLOOR PLAN - AUTRES</v>
      </c>
      <c r="AL435" s="1030">
        <f>IFERROR(INDEX(G435:R435,1,MATCH(Parametres!$B$3,G$1:R$1,0)-1)*IF(OR(F435="L",F435="S",F435="I"),-1,1),"")</f>
        <v>0</v>
      </c>
      <c r="AM435" s="1030">
        <f t="shared" si="38"/>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t="str">
        <f t="shared" si="39"/>
        <v>H20900</v>
      </c>
      <c r="AU435" s="599" t="str">
        <f t="shared" si="40"/>
        <v>FLOOR PLAN - AUTRES</v>
      </c>
      <c r="AV435" s="1030">
        <f>IFERROR(INDEX(V435:AG435,1,MATCH(Parametres!$B$3,V$1:AG$1,0)-1)*IF(OR(C435="L",C435="S",C435="I"),-1,1),"")</f>
        <v>0</v>
      </c>
      <c r="AW435" s="1030">
        <f t="shared" si="41"/>
        <v>0</v>
      </c>
      <c r="AX435" s="1030">
        <f>INDEX(V435:AG435,1,MATCH(Parametres!$B$3,V$1:AG$1,0))*IF(OR(C435="L",C435="S",C435="I"),-1,1)</f>
        <v>0</v>
      </c>
      <c r="AY435" s="598" t="s">
        <v>337</v>
      </c>
      <c r="AZ435" s="598" t="e">
        <f>+VLOOKUP($AJ435,Data_Validation!$A:$E,5,0)</f>
        <v>#N/A</v>
      </c>
    </row>
    <row r="436" spans="1:52" ht="15.75" customHeight="1">
      <c r="A436" s="832" t="s">
        <v>1150</v>
      </c>
      <c r="B436" s="832">
        <v>2025</v>
      </c>
      <c r="C436" s="832" t="s">
        <v>2016</v>
      </c>
      <c r="D436" s="832" t="s">
        <v>2017</v>
      </c>
      <c r="E436" s="832" t="s">
        <v>333</v>
      </c>
      <c r="F436" s="832" t="s">
        <v>1153</v>
      </c>
      <c r="G436" s="832">
        <v>0</v>
      </c>
      <c r="H436" s="832">
        <v>0</v>
      </c>
      <c r="I436" s="832">
        <v>0</v>
      </c>
      <c r="J436" s="832">
        <v>0</v>
      </c>
      <c r="K436" s="832">
        <v>0</v>
      </c>
      <c r="L436" s="832">
        <v>0</v>
      </c>
      <c r="M436" s="832">
        <v>0</v>
      </c>
      <c r="N436" s="832">
        <v>0</v>
      </c>
      <c r="O436" s="832">
        <v>0</v>
      </c>
      <c r="P436" s="832">
        <v>0</v>
      </c>
      <c r="Q436" s="832">
        <v>0</v>
      </c>
      <c r="R436" s="832">
        <v>0</v>
      </c>
      <c r="S436" s="832">
        <v>0</v>
      </c>
      <c r="T436" s="832">
        <v>0</v>
      </c>
      <c r="U436" s="832">
        <v>0</v>
      </c>
      <c r="V436" s="832">
        <v>0</v>
      </c>
      <c r="W436" s="832">
        <v>0</v>
      </c>
      <c r="X436" s="832">
        <v>0</v>
      </c>
      <c r="Y436" s="832">
        <v>0</v>
      </c>
      <c r="Z436" s="832">
        <v>0</v>
      </c>
      <c r="AA436" s="832">
        <v>0</v>
      </c>
      <c r="AB436" s="832">
        <v>0</v>
      </c>
      <c r="AC436" s="832">
        <v>0</v>
      </c>
      <c r="AD436" s="832">
        <v>0</v>
      </c>
      <c r="AE436" s="832">
        <v>0</v>
      </c>
      <c r="AF436" s="832">
        <v>0</v>
      </c>
      <c r="AG436" s="832">
        <v>0</v>
      </c>
      <c r="AH436" s="832">
        <v>0</v>
      </c>
      <c r="AI436" s="832">
        <v>0</v>
      </c>
      <c r="AJ436" s="1030" t="str">
        <f t="shared" si="36"/>
        <v>H21000</v>
      </c>
      <c r="AK436" s="1030" t="str">
        <f t="shared" si="37"/>
        <v>DROITS DE RETENTION VEH.</v>
      </c>
      <c r="AL436" s="1030">
        <f>IFERROR(INDEX(G436:R436,1,MATCH(Parametres!$B$3,G$1:R$1,0)-1)*IF(OR(F436="L",F436="S",F436="I"),-1,1),"")</f>
        <v>0</v>
      </c>
      <c r="AM436" s="1030">
        <f t="shared" si="38"/>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t="str">
        <f t="shared" si="39"/>
        <v>H21000</v>
      </c>
      <c r="AU436" s="599" t="str">
        <f t="shared" si="40"/>
        <v>DROITS DE RETENTION VEH.</v>
      </c>
      <c r="AV436" s="1030">
        <f>IFERROR(INDEX(V436:AG436,1,MATCH(Parametres!$B$3,V$1:AG$1,0)-1)*IF(OR(C436="L",C436="S",C436="I"),-1,1),"")</f>
        <v>0</v>
      </c>
      <c r="AW436" s="1030">
        <f t="shared" si="41"/>
        <v>0</v>
      </c>
      <c r="AX436" s="1030">
        <f>INDEX(V436:AG436,1,MATCH(Parametres!$B$3,V$1:AG$1,0))*IF(OR(C436="L",C436="S",C436="I"),-1,1)</f>
        <v>0</v>
      </c>
      <c r="AY436" s="598" t="s">
        <v>337</v>
      </c>
      <c r="AZ436" s="598" t="e">
        <f>+VLOOKUP($AJ436,Data_Validation!$A:$E,5,0)</f>
        <v>#N/A</v>
      </c>
    </row>
    <row r="437" spans="1:52" ht="15.75" customHeight="1">
      <c r="A437" s="832" t="s">
        <v>1150</v>
      </c>
      <c r="B437" s="832">
        <v>2025</v>
      </c>
      <c r="C437" s="832" t="s">
        <v>2018</v>
      </c>
      <c r="D437" s="832" t="s">
        <v>2019</v>
      </c>
      <c r="E437" s="832" t="s">
        <v>333</v>
      </c>
      <c r="F437" s="832" t="s">
        <v>1153</v>
      </c>
      <c r="G437" s="832">
        <v>0</v>
      </c>
      <c r="H437" s="832">
        <v>0</v>
      </c>
      <c r="I437" s="832">
        <v>0</v>
      </c>
      <c r="J437" s="832">
        <v>0</v>
      </c>
      <c r="K437" s="832">
        <v>0</v>
      </c>
      <c r="L437" s="832">
        <v>0</v>
      </c>
      <c r="M437" s="832">
        <v>0</v>
      </c>
      <c r="N437" s="832">
        <v>0</v>
      </c>
      <c r="O437" s="832">
        <v>0</v>
      </c>
      <c r="P437" s="832">
        <v>0</v>
      </c>
      <c r="Q437" s="832">
        <v>0</v>
      </c>
      <c r="R437" s="832">
        <v>0</v>
      </c>
      <c r="S437" s="832">
        <v>0</v>
      </c>
      <c r="T437" s="832">
        <v>0</v>
      </c>
      <c r="U437" s="832">
        <v>0</v>
      </c>
      <c r="V437" s="832">
        <v>0</v>
      </c>
      <c r="W437" s="832">
        <v>0</v>
      </c>
      <c r="X437" s="832">
        <v>0</v>
      </c>
      <c r="Y437" s="832">
        <v>0</v>
      </c>
      <c r="Z437" s="832">
        <v>0</v>
      </c>
      <c r="AA437" s="832">
        <v>0</v>
      </c>
      <c r="AB437" s="832">
        <v>0</v>
      </c>
      <c r="AC437" s="832">
        <v>0</v>
      </c>
      <c r="AD437" s="832">
        <v>0</v>
      </c>
      <c r="AE437" s="832">
        <v>0</v>
      </c>
      <c r="AF437" s="832">
        <v>0</v>
      </c>
      <c r="AG437" s="832">
        <v>0</v>
      </c>
      <c r="AH437" s="832">
        <v>0</v>
      </c>
      <c r="AI437" s="832">
        <v>0</v>
      </c>
      <c r="AJ437" s="1030" t="str">
        <f t="shared" si="36"/>
        <v>H21100</v>
      </c>
      <c r="AK437" s="1030" t="str">
        <f t="shared" si="37"/>
        <v>AUTRES NOTES A PAYER</v>
      </c>
      <c r="AL437" s="1030">
        <f>IFERROR(INDEX(G437:R437,1,MATCH(Parametres!$B$3,G$1:R$1,0)-1)*IF(OR(F437="L",F437="S",F437="I"),-1,1),"")</f>
        <v>0</v>
      </c>
      <c r="AM437" s="1030">
        <f t="shared" si="38"/>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t="str">
        <f t="shared" si="39"/>
        <v>H21100</v>
      </c>
      <c r="AU437" s="599" t="str">
        <f t="shared" si="40"/>
        <v>AUTRES NOTES A PAYER</v>
      </c>
      <c r="AV437" s="1030">
        <f>IFERROR(INDEX(V437:AG437,1,MATCH(Parametres!$B$3,V$1:AG$1,0)-1)*IF(OR(C437="L",C437="S",C437="I"),-1,1),"")</f>
        <v>0</v>
      </c>
      <c r="AW437" s="1030">
        <f t="shared" si="41"/>
        <v>0</v>
      </c>
      <c r="AX437" s="1030">
        <f>INDEX(V437:AG437,1,MATCH(Parametres!$B$3,V$1:AG$1,0))*IF(OR(C437="L",C437="S",C437="I"),-1,1)</f>
        <v>0</v>
      </c>
      <c r="AY437" s="598" t="s">
        <v>337</v>
      </c>
      <c r="AZ437" s="598" t="e">
        <f>+VLOOKUP($AJ437,Data_Validation!$A:$E,5,0)</f>
        <v>#N/A</v>
      </c>
    </row>
    <row r="438" spans="1:52" ht="15.75" customHeight="1">
      <c r="A438" s="832" t="s">
        <v>1150</v>
      </c>
      <c r="B438" s="832">
        <v>2025</v>
      </c>
      <c r="C438" s="832" t="s">
        <v>2020</v>
      </c>
      <c r="D438" s="832" t="s">
        <v>2021</v>
      </c>
      <c r="E438" s="832" t="s">
        <v>333</v>
      </c>
      <c r="F438" s="832" t="s">
        <v>1153</v>
      </c>
      <c r="G438" s="832">
        <v>0</v>
      </c>
      <c r="H438" s="832">
        <v>0</v>
      </c>
      <c r="I438" s="832">
        <v>0</v>
      </c>
      <c r="J438" s="832">
        <v>0</v>
      </c>
      <c r="K438" s="832">
        <v>0</v>
      </c>
      <c r="L438" s="832">
        <v>0</v>
      </c>
      <c r="M438" s="832">
        <v>0</v>
      </c>
      <c r="N438" s="832">
        <v>0</v>
      </c>
      <c r="O438" s="832">
        <v>0</v>
      </c>
      <c r="P438" s="832">
        <v>0</v>
      </c>
      <c r="Q438" s="832">
        <v>0</v>
      </c>
      <c r="R438" s="832">
        <v>0</v>
      </c>
      <c r="S438" s="832">
        <v>0</v>
      </c>
      <c r="T438" s="832">
        <v>0</v>
      </c>
      <c r="U438" s="832">
        <v>0</v>
      </c>
      <c r="V438" s="832">
        <v>0</v>
      </c>
      <c r="W438" s="832">
        <v>0</v>
      </c>
      <c r="X438" s="832">
        <v>0</v>
      </c>
      <c r="Y438" s="832">
        <v>0</v>
      </c>
      <c r="Z438" s="832">
        <v>0</v>
      </c>
      <c r="AA438" s="832">
        <v>0</v>
      </c>
      <c r="AB438" s="832">
        <v>0</v>
      </c>
      <c r="AC438" s="832">
        <v>0</v>
      </c>
      <c r="AD438" s="832">
        <v>0</v>
      </c>
      <c r="AE438" s="832">
        <v>0</v>
      </c>
      <c r="AF438" s="832">
        <v>0</v>
      </c>
      <c r="AG438" s="832">
        <v>0</v>
      </c>
      <c r="AH438" s="832">
        <v>0</v>
      </c>
      <c r="AI438" s="832">
        <v>0</v>
      </c>
      <c r="AJ438" s="1030" t="str">
        <f t="shared" si="36"/>
        <v>H21200</v>
      </c>
      <c r="AK438" s="1030" t="str">
        <f t="shared" si="37"/>
        <v>EXIGIBLE SUR LES REPOSS.</v>
      </c>
      <c r="AL438" s="1030">
        <f>IFERROR(INDEX(G438:R438,1,MATCH(Parametres!$B$3,G$1:R$1,0)-1)*IF(OR(F438="L",F438="S",F438="I"),-1,1),"")</f>
        <v>0</v>
      </c>
      <c r="AM438" s="1030">
        <f t="shared" si="38"/>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t="str">
        <f t="shared" si="39"/>
        <v>H21200</v>
      </c>
      <c r="AU438" s="599" t="str">
        <f t="shared" si="40"/>
        <v>EXIGIBLE SUR LES REPOSS.</v>
      </c>
      <c r="AV438" s="1030">
        <f>IFERROR(INDEX(V438:AG438,1,MATCH(Parametres!$B$3,V$1:AG$1,0)-1)*IF(OR(C438="L",C438="S",C438="I"),-1,1),"")</f>
        <v>0</v>
      </c>
      <c r="AW438" s="1030">
        <f t="shared" si="41"/>
        <v>0</v>
      </c>
      <c r="AX438" s="1030">
        <f>INDEX(V438:AG438,1,MATCH(Parametres!$B$3,V$1:AG$1,0))*IF(OR(C438="L",C438="S",C438="I"),-1,1)</f>
        <v>0</v>
      </c>
      <c r="AY438" s="598" t="s">
        <v>337</v>
      </c>
      <c r="AZ438" s="598" t="e">
        <f>+VLOOKUP($AJ438,Data_Validation!$A:$E,5,0)</f>
        <v>#N/A</v>
      </c>
    </row>
    <row r="439" spans="1:52" ht="15.75" customHeight="1">
      <c r="A439" s="832" t="s">
        <v>1150</v>
      </c>
      <c r="B439" s="832">
        <v>2025</v>
      </c>
      <c r="C439" s="832" t="s">
        <v>2022</v>
      </c>
      <c r="D439" s="832" t="s">
        <v>2023</v>
      </c>
      <c r="E439" s="832" t="s">
        <v>1813</v>
      </c>
      <c r="F439" s="832" t="s">
        <v>1153</v>
      </c>
      <c r="G439" s="832">
        <v>0</v>
      </c>
      <c r="H439" s="832">
        <v>0</v>
      </c>
      <c r="I439" s="832">
        <v>0</v>
      </c>
      <c r="J439" s="832">
        <v>0</v>
      </c>
      <c r="K439" s="832">
        <v>0</v>
      </c>
      <c r="L439" s="832">
        <v>0</v>
      </c>
      <c r="M439" s="832">
        <v>0</v>
      </c>
      <c r="N439" s="832">
        <v>0</v>
      </c>
      <c r="O439" s="832">
        <v>0</v>
      </c>
      <c r="P439" s="832">
        <v>0</v>
      </c>
      <c r="Q439" s="832">
        <v>0</v>
      </c>
      <c r="R439" s="832">
        <v>0</v>
      </c>
      <c r="S439" s="832">
        <v>0</v>
      </c>
      <c r="T439" s="832">
        <v>0</v>
      </c>
      <c r="U439" s="832">
        <v>0</v>
      </c>
      <c r="V439" s="832">
        <v>0</v>
      </c>
      <c r="W439" s="832">
        <v>0</v>
      </c>
      <c r="X439" s="832">
        <v>0</v>
      </c>
      <c r="Y439" s="832">
        <v>0</v>
      </c>
      <c r="Z439" s="832">
        <v>0</v>
      </c>
      <c r="AA439" s="832">
        <v>0</v>
      </c>
      <c r="AB439" s="832">
        <v>0</v>
      </c>
      <c r="AC439" s="832">
        <v>0</v>
      </c>
      <c r="AD439" s="832">
        <v>0</v>
      </c>
      <c r="AE439" s="832">
        <v>0</v>
      </c>
      <c r="AF439" s="832">
        <v>0</v>
      </c>
      <c r="AG439" s="832">
        <v>0</v>
      </c>
      <c r="AH439" s="832">
        <v>0</v>
      </c>
      <c r="AI439" s="832">
        <v>0</v>
      </c>
      <c r="AJ439" s="1030" t="str">
        <f t="shared" si="36"/>
        <v>H21300</v>
      </c>
      <c r="AK439" s="1030" t="str">
        <f t="shared" si="37"/>
        <v>GAR. PROLONGEES A PAYER</v>
      </c>
      <c r="AL439" s="1030">
        <f>IFERROR(INDEX(G439:R439,1,MATCH(Parametres!$B$3,G$1:R$1,0)-1)*IF(OR(F439="L",F439="S",F439="I"),-1,1),"")</f>
        <v>0</v>
      </c>
      <c r="AM439" s="1030">
        <f t="shared" si="38"/>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t="str">
        <f t="shared" si="39"/>
        <v>H21300</v>
      </c>
      <c r="AU439" s="599" t="str">
        <f t="shared" si="40"/>
        <v>GAR. PROLONGEES A PAYER</v>
      </c>
      <c r="AV439" s="1030">
        <f>IFERROR(INDEX(V439:AG439,1,MATCH(Parametres!$B$3,V$1:AG$1,0)-1)*IF(OR(C439="L",C439="S",C439="I"),-1,1),"")</f>
        <v>0</v>
      </c>
      <c r="AW439" s="1030">
        <f t="shared" si="41"/>
        <v>0</v>
      </c>
      <c r="AX439" s="1030">
        <f>INDEX(V439:AG439,1,MATCH(Parametres!$B$3,V$1:AG$1,0))*IF(OR(C439="L",C439="S",C439="I"),-1,1)</f>
        <v>0</v>
      </c>
      <c r="AY439" s="598" t="s">
        <v>337</v>
      </c>
      <c r="AZ439" s="598" t="e">
        <f>+VLOOKUP($AJ439,Data_Validation!$A:$E,5,0)</f>
        <v>#N/A</v>
      </c>
    </row>
    <row r="440" spans="1:52" ht="15.75" customHeight="1">
      <c r="A440" s="832" t="s">
        <v>1150</v>
      </c>
      <c r="B440" s="832">
        <v>2025</v>
      </c>
      <c r="C440" s="832" t="s">
        <v>2024</v>
      </c>
      <c r="D440" s="832" t="s">
        <v>2025</v>
      </c>
      <c r="E440" s="832" t="s">
        <v>333</v>
      </c>
      <c r="F440" s="832" t="s">
        <v>1153</v>
      </c>
      <c r="G440" s="832">
        <v>0</v>
      </c>
      <c r="H440" s="832">
        <v>0</v>
      </c>
      <c r="I440" s="832">
        <v>0</v>
      </c>
      <c r="J440" s="832">
        <v>0</v>
      </c>
      <c r="K440" s="832">
        <v>0</v>
      </c>
      <c r="L440" s="832">
        <v>0</v>
      </c>
      <c r="M440" s="832">
        <v>0</v>
      </c>
      <c r="N440" s="832">
        <v>0</v>
      </c>
      <c r="O440" s="832">
        <v>0</v>
      </c>
      <c r="P440" s="832">
        <v>0</v>
      </c>
      <c r="Q440" s="832">
        <v>0</v>
      </c>
      <c r="R440" s="832">
        <v>0</v>
      </c>
      <c r="S440" s="832">
        <v>0</v>
      </c>
      <c r="T440" s="832">
        <v>0</v>
      </c>
      <c r="U440" s="832">
        <v>0</v>
      </c>
      <c r="V440" s="832">
        <v>0</v>
      </c>
      <c r="W440" s="832">
        <v>0</v>
      </c>
      <c r="X440" s="832">
        <v>0</v>
      </c>
      <c r="Y440" s="832">
        <v>0</v>
      </c>
      <c r="Z440" s="832">
        <v>0</v>
      </c>
      <c r="AA440" s="832">
        <v>0</v>
      </c>
      <c r="AB440" s="832">
        <v>0</v>
      </c>
      <c r="AC440" s="832">
        <v>0</v>
      </c>
      <c r="AD440" s="832">
        <v>0</v>
      </c>
      <c r="AE440" s="832">
        <v>0</v>
      </c>
      <c r="AF440" s="832">
        <v>0</v>
      </c>
      <c r="AG440" s="832">
        <v>0</v>
      </c>
      <c r="AH440" s="832">
        <v>0</v>
      </c>
      <c r="AI440" s="832">
        <v>0</v>
      </c>
      <c r="AJ440" s="1030" t="str">
        <f t="shared" si="36"/>
        <v>H21400</v>
      </c>
      <c r="AK440" s="1030" t="str">
        <f t="shared" si="37"/>
        <v>PAIEMENT EFF. PAR CLIENT</v>
      </c>
      <c r="AL440" s="1030">
        <f>IFERROR(INDEX(G440:R440,1,MATCH(Parametres!$B$3,G$1:R$1,0)-1)*IF(OR(F440="L",F440="S",F440="I"),-1,1),"")</f>
        <v>0</v>
      </c>
      <c r="AM440" s="1030">
        <f t="shared" si="38"/>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t="str">
        <f t="shared" si="39"/>
        <v>H21400</v>
      </c>
      <c r="AU440" s="599" t="str">
        <f t="shared" si="40"/>
        <v>PAIEMENT EFF. PAR CLIENT</v>
      </c>
      <c r="AV440" s="1030">
        <f>IFERROR(INDEX(V440:AG440,1,MATCH(Parametres!$B$3,V$1:AG$1,0)-1)*IF(OR(C440="L",C440="S",C440="I"),-1,1),"")</f>
        <v>0</v>
      </c>
      <c r="AW440" s="1030">
        <f t="shared" si="41"/>
        <v>0</v>
      </c>
      <c r="AX440" s="1030">
        <f>INDEX(V440:AG440,1,MATCH(Parametres!$B$3,V$1:AG$1,0))*IF(OR(C440="L",C440="S",C440="I"),-1,1)</f>
        <v>0</v>
      </c>
      <c r="AY440" s="598" t="s">
        <v>337</v>
      </c>
      <c r="AZ440" s="598" t="e">
        <f>+VLOOKUP($AJ440,Data_Validation!$A:$E,5,0)</f>
        <v>#N/A</v>
      </c>
    </row>
    <row r="441" spans="1:52" ht="15.75" customHeight="1">
      <c r="A441" s="832" t="s">
        <v>1150</v>
      </c>
      <c r="B441" s="832">
        <v>2025</v>
      </c>
      <c r="C441" s="832" t="s">
        <v>2026</v>
      </c>
      <c r="D441" s="832" t="s">
        <v>2027</v>
      </c>
      <c r="E441" s="832" t="s">
        <v>2028</v>
      </c>
      <c r="F441" s="832" t="s">
        <v>1153</v>
      </c>
      <c r="G441" s="832">
        <v>698197.4</v>
      </c>
      <c r="H441" s="832">
        <v>509561.8</v>
      </c>
      <c r="I441" s="832">
        <v>573948.1</v>
      </c>
      <c r="J441" s="832">
        <v>469049.09</v>
      </c>
      <c r="K441" s="832">
        <v>452551.88</v>
      </c>
      <c r="L441" s="832">
        <v>311088.90000000002</v>
      </c>
      <c r="M441" s="832">
        <v>304628.44</v>
      </c>
      <c r="N441" s="832">
        <v>229628.38</v>
      </c>
      <c r="O441" s="832">
        <v>255265.88</v>
      </c>
      <c r="P441" s="832">
        <v>350309.36</v>
      </c>
      <c r="Q441" s="832">
        <v>321919.75</v>
      </c>
      <c r="R441" s="832">
        <v>305530.74</v>
      </c>
      <c r="S441" s="832">
        <v>0</v>
      </c>
      <c r="T441" s="832">
        <v>0</v>
      </c>
      <c r="U441" s="832">
        <v>0</v>
      </c>
      <c r="V441" s="832">
        <v>0</v>
      </c>
      <c r="W441" s="832">
        <v>0</v>
      </c>
      <c r="X441" s="832">
        <v>0</v>
      </c>
      <c r="Y441" s="832">
        <v>0</v>
      </c>
      <c r="Z441" s="832">
        <v>0</v>
      </c>
      <c r="AA441" s="832">
        <v>0</v>
      </c>
      <c r="AB441" s="832">
        <v>0</v>
      </c>
      <c r="AC441" s="832">
        <v>0</v>
      </c>
      <c r="AD441" s="832">
        <v>0</v>
      </c>
      <c r="AE441" s="832">
        <v>0</v>
      </c>
      <c r="AF441" s="832">
        <v>0</v>
      </c>
      <c r="AG441" s="832">
        <v>0</v>
      </c>
      <c r="AH441" s="832">
        <v>0</v>
      </c>
      <c r="AI441" s="832">
        <v>0</v>
      </c>
      <c r="AJ441" s="1030" t="str">
        <f t="shared" si="36"/>
        <v>H21500</v>
      </c>
      <c r="AK441" s="1030" t="str">
        <f t="shared" si="37"/>
        <v>COMPTE FOURNISSEUR</v>
      </c>
      <c r="AL441" s="1030">
        <f>IFERROR(INDEX(G441:R441,1,MATCH(Parametres!$B$3,G$1:R$1,0)-1)*IF(OR(F441="L",F441="S",F441="I"),-1,1),"")</f>
        <v>-469049.09</v>
      </c>
      <c r="AM441" s="1030">
        <f t="shared" si="38"/>
        <v>16497.210000000021</v>
      </c>
      <c r="AN441" s="1030">
        <f>INDEX(G441:R441,1,MATCH(Parametres!$B$3,G$1:R$1,0))*IF(OR(F441="L",F441="S",F441="I"),-1,1)</f>
        <v>-452551.88</v>
      </c>
      <c r="AO441" s="598" t="str">
        <f>+VLOOKUP($AJ441,Data_Validation!$A:$D,1,0)</f>
        <v>H21500</v>
      </c>
      <c r="AP441" s="598" t="str">
        <f>+VLOOKUP($AJ441,Data_Validation!$A:$D,3,0)</f>
        <v>Bilan</v>
      </c>
      <c r="AQ441" s="598" t="str">
        <f>+VLOOKUP($AJ441,Data_Validation!$A:$D,4,0)</f>
        <v>Comptes à Payer Fournisseurs</v>
      </c>
      <c r="AR441" s="598" t="s">
        <v>299</v>
      </c>
      <c r="AS441" s="598">
        <f>+VLOOKUP($AJ441,Data_Validation!$A:$E,5,0)</f>
        <v>0</v>
      </c>
      <c r="AT441" s="1036" t="str">
        <f t="shared" si="39"/>
        <v>H21500</v>
      </c>
      <c r="AU441" s="599" t="str">
        <f t="shared" si="40"/>
        <v>COMPTE FOURNISSEUR</v>
      </c>
      <c r="AV441" s="1030">
        <f>IFERROR(INDEX(V441:AG441,1,MATCH(Parametres!$B$3,V$1:AG$1,0)-1)*IF(OR(C441="L",C441="S",C441="I"),-1,1),"")</f>
        <v>0</v>
      </c>
      <c r="AW441" s="1030">
        <f t="shared" si="41"/>
        <v>0</v>
      </c>
      <c r="AX441" s="1030">
        <f>INDEX(V441:AG441,1,MATCH(Parametres!$B$3,V$1:AG$1,0))*IF(OR(C441="L",C441="S",C441="I"),-1,1)</f>
        <v>0</v>
      </c>
      <c r="AY441" s="598" t="s">
        <v>337</v>
      </c>
      <c r="AZ441" s="598">
        <f>+VLOOKUP($AJ441,Data_Validation!$A:$E,5,0)</f>
        <v>0</v>
      </c>
    </row>
    <row r="442" spans="1:52" ht="15.75" customHeight="1">
      <c r="A442" s="832" t="s">
        <v>1150</v>
      </c>
      <c r="B442" s="832">
        <v>2025</v>
      </c>
      <c r="C442" s="832" t="s">
        <v>2029</v>
      </c>
      <c r="D442" s="832" t="s">
        <v>2030</v>
      </c>
      <c r="E442" s="832" t="s">
        <v>2028</v>
      </c>
      <c r="F442" s="832" t="s">
        <v>1153</v>
      </c>
      <c r="G442" s="832">
        <v>18314.07</v>
      </c>
      <c r="H442" s="832">
        <v>454.65</v>
      </c>
      <c r="I442" s="832">
        <v>12749.88</v>
      </c>
      <c r="J442" s="832">
        <v>22327.74</v>
      </c>
      <c r="K442" s="832">
        <v>32763.59</v>
      </c>
      <c r="L442" s="832">
        <v>26881.01</v>
      </c>
      <c r="M442" s="832">
        <v>44777.06</v>
      </c>
      <c r="N442" s="832">
        <v>44382.44</v>
      </c>
      <c r="O442" s="832">
        <v>3247.23</v>
      </c>
      <c r="P442" s="832">
        <v>3704.67</v>
      </c>
      <c r="Q442" s="832">
        <v>5282.48</v>
      </c>
      <c r="R442" s="832">
        <v>5792.48</v>
      </c>
      <c r="S442" s="832">
        <v>0</v>
      </c>
      <c r="T442" s="832">
        <v>0</v>
      </c>
      <c r="U442" s="832">
        <v>0</v>
      </c>
      <c r="V442" s="832">
        <v>0</v>
      </c>
      <c r="W442" s="832">
        <v>0</v>
      </c>
      <c r="X442" s="832">
        <v>0</v>
      </c>
      <c r="Y442" s="832">
        <v>0</v>
      </c>
      <c r="Z442" s="832">
        <v>0</v>
      </c>
      <c r="AA442" s="832">
        <v>0</v>
      </c>
      <c r="AB442" s="832">
        <v>0</v>
      </c>
      <c r="AC442" s="832">
        <v>0</v>
      </c>
      <c r="AD442" s="832">
        <v>0</v>
      </c>
      <c r="AE442" s="832">
        <v>0</v>
      </c>
      <c r="AF442" s="832">
        <v>0</v>
      </c>
      <c r="AG442" s="832">
        <v>0</v>
      </c>
      <c r="AH442" s="832">
        <v>0</v>
      </c>
      <c r="AI442" s="832">
        <v>0</v>
      </c>
      <c r="AJ442" s="1030" t="str">
        <f t="shared" si="36"/>
        <v>H21510</v>
      </c>
      <c r="AK442" s="1030" t="str">
        <f t="shared" si="37"/>
        <v>COMPTE FOURNISSEUR AUTRE</v>
      </c>
      <c r="AL442" s="1030">
        <f>IFERROR(INDEX(G442:R442,1,MATCH(Parametres!$B$3,G$1:R$1,0)-1)*IF(OR(F442="L",F442="S",F442="I"),-1,1),"")</f>
        <v>-22327.74</v>
      </c>
      <c r="AM442" s="1030">
        <f t="shared" si="38"/>
        <v>-10435.849999999999</v>
      </c>
      <c r="AN442" s="1030">
        <f>INDEX(G442:R442,1,MATCH(Parametres!$B$3,G$1:R$1,0))*IF(OR(F442="L",F442="S",F442="I"),-1,1)</f>
        <v>-32763.59</v>
      </c>
      <c r="AO442" s="598" t="str">
        <f>+VLOOKUP($AJ442,Data_Validation!$A:$D,1,0)</f>
        <v>H21510</v>
      </c>
      <c r="AP442" s="598" t="str">
        <f>+VLOOKUP($AJ442,Data_Validation!$A:$D,3,0)</f>
        <v>Bilan</v>
      </c>
      <c r="AQ442" s="598" t="str">
        <f>+VLOOKUP($AJ442,Data_Validation!$A:$D,4,0)</f>
        <v>Comptes à Payer Fournisseurs</v>
      </c>
      <c r="AR442" s="598" t="s">
        <v>299</v>
      </c>
      <c r="AS442" s="598">
        <f>+VLOOKUP($AJ442,Data_Validation!$A:$E,5,0)</f>
        <v>0</v>
      </c>
      <c r="AT442" s="1036" t="str">
        <f t="shared" si="39"/>
        <v>H21510</v>
      </c>
      <c r="AU442" s="599" t="str">
        <f t="shared" si="40"/>
        <v>COMPTE FOURNISSEUR AUTRE</v>
      </c>
      <c r="AV442" s="1030">
        <f>IFERROR(INDEX(V442:AG442,1,MATCH(Parametres!$B$3,V$1:AG$1,0)-1)*IF(OR(C442="L",C442="S",C442="I"),-1,1),"")</f>
        <v>0</v>
      </c>
      <c r="AW442" s="1030">
        <f t="shared" si="41"/>
        <v>0</v>
      </c>
      <c r="AX442" s="1030">
        <f>INDEX(V442:AG442,1,MATCH(Parametres!$B$3,V$1:AG$1,0))*IF(OR(C442="L",C442="S",C442="I"),-1,1)</f>
        <v>0</v>
      </c>
      <c r="AY442" s="598" t="s">
        <v>337</v>
      </c>
      <c r="AZ442" s="598">
        <f>+VLOOKUP($AJ442,Data_Validation!$A:$E,5,0)</f>
        <v>0</v>
      </c>
    </row>
    <row r="443" spans="1:52" ht="15.75" customHeight="1">
      <c r="A443" s="832" t="s">
        <v>1150</v>
      </c>
      <c r="B443" s="832">
        <v>2025</v>
      </c>
      <c r="C443" s="832" t="s">
        <v>2031</v>
      </c>
      <c r="D443" s="832" t="s">
        <v>2032</v>
      </c>
      <c r="E443" s="832" t="s">
        <v>2028</v>
      </c>
      <c r="F443" s="832" t="s">
        <v>1153</v>
      </c>
      <c r="G443" s="832">
        <v>0</v>
      </c>
      <c r="H443" s="832">
        <v>0</v>
      </c>
      <c r="I443" s="832">
        <v>0</v>
      </c>
      <c r="J443" s="832">
        <v>0</v>
      </c>
      <c r="K443" s="832">
        <v>0</v>
      </c>
      <c r="L443" s="832">
        <v>0</v>
      </c>
      <c r="M443" s="832">
        <v>0</v>
      </c>
      <c r="N443" s="832">
        <v>22043</v>
      </c>
      <c r="O443" s="832">
        <v>1538</v>
      </c>
      <c r="P443" s="832">
        <v>19793</v>
      </c>
      <c r="Q443" s="832">
        <v>21717</v>
      </c>
      <c r="R443" s="832">
        <v>12143</v>
      </c>
      <c r="S443" s="832">
        <v>0</v>
      </c>
      <c r="T443" s="832">
        <v>0</v>
      </c>
      <c r="U443" s="832">
        <v>0</v>
      </c>
      <c r="V443" s="832">
        <v>0</v>
      </c>
      <c r="W443" s="832">
        <v>0</v>
      </c>
      <c r="X443" s="832">
        <v>0</v>
      </c>
      <c r="Y443" s="832">
        <v>0</v>
      </c>
      <c r="Z443" s="832">
        <v>0</v>
      </c>
      <c r="AA443" s="832">
        <v>0</v>
      </c>
      <c r="AB443" s="832">
        <v>0</v>
      </c>
      <c r="AC443" s="832">
        <v>0</v>
      </c>
      <c r="AD443" s="832">
        <v>0</v>
      </c>
      <c r="AE443" s="832">
        <v>0</v>
      </c>
      <c r="AF443" s="832">
        <v>0</v>
      </c>
      <c r="AG443" s="832">
        <v>0</v>
      </c>
      <c r="AH443" s="832">
        <v>0</v>
      </c>
      <c r="AI443" s="832">
        <v>0</v>
      </c>
      <c r="AJ443" s="1030" t="str">
        <f t="shared" si="36"/>
        <v>H21520</v>
      </c>
      <c r="AK443" s="1030" t="str">
        <f t="shared" si="37"/>
        <v>COMPTE A PAYER - IA</v>
      </c>
      <c r="AL443" s="1030">
        <f>IFERROR(INDEX(G443:R443,1,MATCH(Parametres!$B$3,G$1:R$1,0)-1)*IF(OR(F443="L",F443="S",F443="I"),-1,1),"")</f>
        <v>0</v>
      </c>
      <c r="AM443" s="1030">
        <f t="shared" si="38"/>
        <v>0</v>
      </c>
      <c r="AN443" s="1030">
        <f>INDEX(G443:R443,1,MATCH(Parametres!$B$3,G$1:R$1,0))*IF(OR(F443="L",F443="S",F443="I"),-1,1)</f>
        <v>0</v>
      </c>
      <c r="AO443" s="598" t="str">
        <f>+VLOOKUP($AJ443,Data_Validation!$A:$D,1,0)</f>
        <v>H21520</v>
      </c>
      <c r="AP443" s="598" t="str">
        <f>+VLOOKUP($AJ443,Data_Validation!$A:$D,3,0)</f>
        <v>Bilan</v>
      </c>
      <c r="AQ443" s="598" t="str">
        <f>+VLOOKUP($AJ443,Data_Validation!$A:$D,4,0)</f>
        <v>Comptes à Payer Fournisseurs</v>
      </c>
      <c r="AR443" s="598" t="s">
        <v>299</v>
      </c>
      <c r="AS443" s="598">
        <f>+VLOOKUP($AJ443,Data_Validation!$A:$E,5,0)</f>
        <v>0</v>
      </c>
      <c r="AT443" s="1036" t="str">
        <f t="shared" si="39"/>
        <v>H21520</v>
      </c>
      <c r="AU443" s="599" t="str">
        <f t="shared" si="40"/>
        <v>COMPTE A PAYER - IA</v>
      </c>
      <c r="AV443" s="1030">
        <f>IFERROR(INDEX(V443:AG443,1,MATCH(Parametres!$B$3,V$1:AG$1,0)-1)*IF(OR(C443="L",C443="S",C443="I"),-1,1),"")</f>
        <v>0</v>
      </c>
      <c r="AW443" s="1030">
        <f t="shared" si="41"/>
        <v>0</v>
      </c>
      <c r="AX443" s="1030">
        <f>INDEX(V443:AG443,1,MATCH(Parametres!$B$3,V$1:AG$1,0))*IF(OR(C443="L",C443="S",C443="I"),-1,1)</f>
        <v>0</v>
      </c>
      <c r="AY443" s="598" t="s">
        <v>337</v>
      </c>
      <c r="AZ443" s="598">
        <f>+VLOOKUP($AJ443,Data_Validation!$A:$E,5,0)</f>
        <v>0</v>
      </c>
    </row>
    <row r="444" spans="1:52" ht="15.75" customHeight="1">
      <c r="A444" s="832" t="s">
        <v>1150</v>
      </c>
      <c r="B444" s="832">
        <v>2025</v>
      </c>
      <c r="C444" s="832" t="s">
        <v>2033</v>
      </c>
      <c r="D444" s="832" t="s">
        <v>2034</v>
      </c>
      <c r="E444" s="832" t="s">
        <v>2028</v>
      </c>
      <c r="F444" s="832" t="s">
        <v>1153</v>
      </c>
      <c r="G444" s="832">
        <v>0</v>
      </c>
      <c r="H444" s="832">
        <v>0</v>
      </c>
      <c r="I444" s="832">
        <v>0</v>
      </c>
      <c r="J444" s="832">
        <v>0</v>
      </c>
      <c r="K444" s="832">
        <v>0</v>
      </c>
      <c r="L444" s="832">
        <v>0</v>
      </c>
      <c r="M444" s="832">
        <v>0</v>
      </c>
      <c r="N444" s="832">
        <v>21663.94</v>
      </c>
      <c r="O444" s="832">
        <v>20489.71</v>
      </c>
      <c r="P444" s="832">
        <v>37288.49</v>
      </c>
      <c r="Q444" s="832">
        <v>11479.8</v>
      </c>
      <c r="R444" s="832">
        <v>9591.44</v>
      </c>
      <c r="S444" s="832">
        <v>0</v>
      </c>
      <c r="T444" s="832">
        <v>0</v>
      </c>
      <c r="U444" s="832">
        <v>0</v>
      </c>
      <c r="V444" s="832">
        <v>0</v>
      </c>
      <c r="W444" s="832">
        <v>0</v>
      </c>
      <c r="X444" s="832">
        <v>0</v>
      </c>
      <c r="Y444" s="832">
        <v>0</v>
      </c>
      <c r="Z444" s="832">
        <v>0</v>
      </c>
      <c r="AA444" s="832">
        <v>0</v>
      </c>
      <c r="AB444" s="832">
        <v>0</v>
      </c>
      <c r="AC444" s="832">
        <v>0</v>
      </c>
      <c r="AD444" s="832">
        <v>0</v>
      </c>
      <c r="AE444" s="832">
        <v>0</v>
      </c>
      <c r="AF444" s="832">
        <v>0</v>
      </c>
      <c r="AG444" s="832">
        <v>0</v>
      </c>
      <c r="AH444" s="832">
        <v>0</v>
      </c>
      <c r="AI444" s="832">
        <v>0</v>
      </c>
      <c r="AJ444" s="1030" t="str">
        <f t="shared" si="36"/>
        <v>H21530</v>
      </c>
      <c r="AK444" s="1030" t="str">
        <f t="shared" si="37"/>
        <v>COMPTE A PAYER - SYM-TECH</v>
      </c>
      <c r="AL444" s="1030">
        <f>IFERROR(INDEX(G444:R444,1,MATCH(Parametres!$B$3,G$1:R$1,0)-1)*IF(OR(F444="L",F444="S",F444="I"),-1,1),"")</f>
        <v>0</v>
      </c>
      <c r="AM444" s="1030">
        <f t="shared" si="38"/>
        <v>0</v>
      </c>
      <c r="AN444" s="1030">
        <f>INDEX(G444:R444,1,MATCH(Parametres!$B$3,G$1:R$1,0))*IF(OR(F444="L",F444="S",F444="I"),-1,1)</f>
        <v>0</v>
      </c>
      <c r="AO444" s="598" t="str">
        <f>+VLOOKUP($AJ444,Data_Validation!$A:$D,1,0)</f>
        <v>H21530</v>
      </c>
      <c r="AP444" s="598" t="str">
        <f>+VLOOKUP($AJ444,Data_Validation!$A:$D,3,0)</f>
        <v>Bilan</v>
      </c>
      <c r="AQ444" s="598" t="str">
        <f>+VLOOKUP($AJ444,Data_Validation!$A:$D,4,0)</f>
        <v>Comptes à Payer Fournisseurs</v>
      </c>
      <c r="AR444" s="598" t="s">
        <v>299</v>
      </c>
      <c r="AS444" s="598">
        <f>+VLOOKUP($AJ444,Data_Validation!$A:$E,5,0)</f>
        <v>0</v>
      </c>
      <c r="AT444" s="1036" t="str">
        <f t="shared" si="39"/>
        <v>H21530</v>
      </c>
      <c r="AU444" s="599" t="str">
        <f t="shared" si="40"/>
        <v>COMPTE A PAYER - SYM-TECH</v>
      </c>
      <c r="AV444" s="1030">
        <f>IFERROR(INDEX(V444:AG444,1,MATCH(Parametres!$B$3,V$1:AG$1,0)-1)*IF(OR(C444="L",C444="S",C444="I"),-1,1),"")</f>
        <v>0</v>
      </c>
      <c r="AW444" s="1030">
        <f t="shared" si="41"/>
        <v>0</v>
      </c>
      <c r="AX444" s="1030">
        <f>INDEX(V444:AG444,1,MATCH(Parametres!$B$3,V$1:AG$1,0))*IF(OR(C444="L",C444="S",C444="I"),-1,1)</f>
        <v>0</v>
      </c>
      <c r="AY444" s="598" t="s">
        <v>337</v>
      </c>
      <c r="AZ444" s="598">
        <f>+VLOOKUP($AJ444,Data_Validation!$A:$E,5,0)</f>
        <v>0</v>
      </c>
    </row>
    <row r="445" spans="1:52" ht="15.75" customHeight="1">
      <c r="A445" s="832" t="s">
        <v>1150</v>
      </c>
      <c r="B445" s="832">
        <v>2025</v>
      </c>
      <c r="C445" s="832" t="s">
        <v>2035</v>
      </c>
      <c r="D445" s="832" t="s">
        <v>2036</v>
      </c>
      <c r="E445" s="832" t="s">
        <v>2028</v>
      </c>
      <c r="F445" s="832" t="s">
        <v>1153</v>
      </c>
      <c r="G445" s="832">
        <v>71344.41</v>
      </c>
      <c r="H445" s="832">
        <v>177104.21</v>
      </c>
      <c r="I445" s="832">
        <v>6652.88</v>
      </c>
      <c r="J445" s="832">
        <v>222537.53</v>
      </c>
      <c r="K445" s="832">
        <v>177779.9</v>
      </c>
      <c r="L445" s="832">
        <v>185170.14</v>
      </c>
      <c r="M445" s="832">
        <v>0</v>
      </c>
      <c r="N445" s="832">
        <v>111003.97</v>
      </c>
      <c r="O445" s="832">
        <v>46272.76</v>
      </c>
      <c r="P445" s="832">
        <v>107236.37</v>
      </c>
      <c r="Q445" s="832">
        <v>0</v>
      </c>
      <c r="R445" s="832">
        <v>243381.88</v>
      </c>
      <c r="S445" s="832">
        <v>0</v>
      </c>
      <c r="T445" s="832">
        <v>0</v>
      </c>
      <c r="U445" s="832">
        <v>0</v>
      </c>
      <c r="V445" s="832">
        <v>0</v>
      </c>
      <c r="W445" s="832">
        <v>0</v>
      </c>
      <c r="X445" s="832">
        <v>0</v>
      </c>
      <c r="Y445" s="832">
        <v>0</v>
      </c>
      <c r="Z445" s="832">
        <v>0</v>
      </c>
      <c r="AA445" s="832">
        <v>0</v>
      </c>
      <c r="AB445" s="832">
        <v>0</v>
      </c>
      <c r="AC445" s="832">
        <v>0</v>
      </c>
      <c r="AD445" s="832">
        <v>0</v>
      </c>
      <c r="AE445" s="832">
        <v>0</v>
      </c>
      <c r="AF445" s="832">
        <v>0</v>
      </c>
      <c r="AG445" s="832">
        <v>0</v>
      </c>
      <c r="AH445" s="832">
        <v>0</v>
      </c>
      <c r="AI445" s="832">
        <v>0</v>
      </c>
      <c r="AJ445" s="1030" t="str">
        <f t="shared" si="36"/>
        <v>H21600</v>
      </c>
      <c r="AK445" s="1030" t="str">
        <f t="shared" si="37"/>
        <v>COMPTE FOURN HYUNDAI CAN</v>
      </c>
      <c r="AL445" s="1030">
        <f>IFERROR(INDEX(G445:R445,1,MATCH(Parametres!$B$3,G$1:R$1,0)-1)*IF(OR(F445="L",F445="S",F445="I"),-1,1),"")</f>
        <v>-222537.53</v>
      </c>
      <c r="AM445" s="1030">
        <f t="shared" si="38"/>
        <v>44757.630000000005</v>
      </c>
      <c r="AN445" s="1030">
        <f>INDEX(G445:R445,1,MATCH(Parametres!$B$3,G$1:R$1,0))*IF(OR(F445="L",F445="S",F445="I"),-1,1)</f>
        <v>-177779.9</v>
      </c>
      <c r="AO445" s="598" t="str">
        <f>+VLOOKUP($AJ445,Data_Validation!$A:$D,1,0)</f>
        <v>H21600</v>
      </c>
      <c r="AP445" s="598" t="str">
        <f>+VLOOKUP($AJ445,Data_Validation!$A:$D,3,0)</f>
        <v>Bilan</v>
      </c>
      <c r="AQ445" s="598" t="str">
        <f>+VLOOKUP($AJ445,Data_Validation!$A:$D,4,0)</f>
        <v>Comptes à Payer Fournisseurs</v>
      </c>
      <c r="AR445" s="598" t="s">
        <v>299</v>
      </c>
      <c r="AS445" s="598">
        <f>+VLOOKUP($AJ445,Data_Validation!$A:$E,5,0)</f>
        <v>0</v>
      </c>
      <c r="AT445" s="1036" t="str">
        <f t="shared" si="39"/>
        <v>H21600</v>
      </c>
      <c r="AU445" s="599" t="str">
        <f t="shared" si="40"/>
        <v>COMPTE FOURN HYUNDAI CAN</v>
      </c>
      <c r="AV445" s="1030">
        <f>IFERROR(INDEX(V445:AG445,1,MATCH(Parametres!$B$3,V$1:AG$1,0)-1)*IF(OR(C445="L",C445="S",C445="I"),-1,1),"")</f>
        <v>0</v>
      </c>
      <c r="AW445" s="1030">
        <f t="shared" si="41"/>
        <v>0</v>
      </c>
      <c r="AX445" s="1030">
        <f>INDEX(V445:AG445,1,MATCH(Parametres!$B$3,V$1:AG$1,0))*IF(OR(C445="L",C445="S",C445="I"),-1,1)</f>
        <v>0</v>
      </c>
      <c r="AY445" s="598" t="s">
        <v>337</v>
      </c>
      <c r="AZ445" s="598">
        <f>+VLOOKUP($AJ445,Data_Validation!$A:$E,5,0)</f>
        <v>0</v>
      </c>
    </row>
    <row r="446" spans="1:52" ht="15.75" customHeight="1">
      <c r="A446" s="832" t="s">
        <v>1150</v>
      </c>
      <c r="B446" s="832">
        <v>2025</v>
      </c>
      <c r="C446" s="832" t="s">
        <v>2037</v>
      </c>
      <c r="D446" s="832" t="s">
        <v>2038</v>
      </c>
      <c r="E446" s="832" t="s">
        <v>2028</v>
      </c>
      <c r="F446" s="832" t="s">
        <v>1153</v>
      </c>
      <c r="G446" s="832">
        <v>0</v>
      </c>
      <c r="H446" s="832">
        <v>0</v>
      </c>
      <c r="I446" s="832">
        <v>0</v>
      </c>
      <c r="J446" s="832">
        <v>0</v>
      </c>
      <c r="K446" s="832">
        <v>0</v>
      </c>
      <c r="L446" s="832">
        <v>0</v>
      </c>
      <c r="M446" s="832">
        <v>0</v>
      </c>
      <c r="N446" s="832">
        <v>0</v>
      </c>
      <c r="O446" s="832">
        <v>0</v>
      </c>
      <c r="P446" s="832">
        <v>0</v>
      </c>
      <c r="Q446" s="832">
        <v>0</v>
      </c>
      <c r="R446" s="832">
        <v>0</v>
      </c>
      <c r="S446" s="832">
        <v>0</v>
      </c>
      <c r="T446" s="832">
        <v>0</v>
      </c>
      <c r="U446" s="832">
        <v>0</v>
      </c>
      <c r="V446" s="832">
        <v>0</v>
      </c>
      <c r="W446" s="832">
        <v>0</v>
      </c>
      <c r="X446" s="832">
        <v>0</v>
      </c>
      <c r="Y446" s="832">
        <v>0</v>
      </c>
      <c r="Z446" s="832">
        <v>0</v>
      </c>
      <c r="AA446" s="832">
        <v>0</v>
      </c>
      <c r="AB446" s="832">
        <v>0</v>
      </c>
      <c r="AC446" s="832">
        <v>0</v>
      </c>
      <c r="AD446" s="832">
        <v>0</v>
      </c>
      <c r="AE446" s="832">
        <v>0</v>
      </c>
      <c r="AF446" s="832">
        <v>0</v>
      </c>
      <c r="AG446" s="832">
        <v>0</v>
      </c>
      <c r="AH446" s="832">
        <v>0</v>
      </c>
      <c r="AI446" s="832">
        <v>0</v>
      </c>
      <c r="AJ446" s="1030" t="str">
        <f t="shared" si="36"/>
        <v>H21601</v>
      </c>
      <c r="AK446" s="1030" t="str">
        <f t="shared" si="37"/>
        <v>COMPTE FOURN BAL FORWARD</v>
      </c>
      <c r="AL446" s="1030">
        <f>IFERROR(INDEX(G446:R446,1,MATCH(Parametres!$B$3,G$1:R$1,0)-1)*IF(OR(F446="L",F446="S",F446="I"),-1,1),"")</f>
        <v>0</v>
      </c>
      <c r="AM446" s="1030">
        <f t="shared" si="38"/>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t="str">
        <f t="shared" si="39"/>
        <v>H21601</v>
      </c>
      <c r="AU446" s="599" t="str">
        <f t="shared" si="40"/>
        <v>COMPTE FOURN BAL FORWARD</v>
      </c>
      <c r="AV446" s="1030">
        <f>IFERROR(INDEX(V446:AG446,1,MATCH(Parametres!$B$3,V$1:AG$1,0)-1)*IF(OR(C446="L",C446="S",C446="I"),-1,1),"")</f>
        <v>0</v>
      </c>
      <c r="AW446" s="1030">
        <f t="shared" si="41"/>
        <v>0</v>
      </c>
      <c r="AX446" s="1030">
        <f>INDEX(V446:AG446,1,MATCH(Parametres!$B$3,V$1:AG$1,0))*IF(OR(C446="L",C446="S",C446="I"),-1,1)</f>
        <v>0</v>
      </c>
      <c r="AY446" s="598" t="s">
        <v>337</v>
      </c>
      <c r="AZ446" s="598" t="e">
        <f>+VLOOKUP($AJ446,Data_Validation!$A:$E,5,0)</f>
        <v>#N/A</v>
      </c>
    </row>
    <row r="447" spans="1:52" ht="15.75" customHeight="1">
      <c r="A447" s="832" t="s">
        <v>1150</v>
      </c>
      <c r="B447" s="832">
        <v>2025</v>
      </c>
      <c r="C447" s="832" t="s">
        <v>2039</v>
      </c>
      <c r="D447" s="832" t="s">
        <v>2040</v>
      </c>
      <c r="E447" s="832" t="s">
        <v>333</v>
      </c>
      <c r="F447" s="832" t="s">
        <v>1153</v>
      </c>
      <c r="G447" s="832">
        <v>-4825.55</v>
      </c>
      <c r="H447" s="832">
        <v>-4825.55</v>
      </c>
      <c r="I447" s="832">
        <v>-16817.22</v>
      </c>
      <c r="J447" s="832">
        <v>-16817.22</v>
      </c>
      <c r="K447" s="832">
        <v>-16817.22</v>
      </c>
      <c r="L447" s="832">
        <v>-16817.22</v>
      </c>
      <c r="M447" s="832">
        <v>-16817.22</v>
      </c>
      <c r="N447" s="832">
        <v>113320.49</v>
      </c>
      <c r="O447" s="832">
        <v>87099.67</v>
      </c>
      <c r="P447" s="832">
        <v>87099.67</v>
      </c>
      <c r="Q447" s="832">
        <v>87099.67</v>
      </c>
      <c r="R447" s="832">
        <v>87099.67</v>
      </c>
      <c r="S447" s="832">
        <v>0</v>
      </c>
      <c r="T447" s="832">
        <v>0</v>
      </c>
      <c r="U447" s="832">
        <v>0</v>
      </c>
      <c r="V447" s="832">
        <v>0</v>
      </c>
      <c r="W447" s="832">
        <v>0</v>
      </c>
      <c r="X447" s="832">
        <v>0</v>
      </c>
      <c r="Y447" s="832">
        <v>0</v>
      </c>
      <c r="Z447" s="832">
        <v>0</v>
      </c>
      <c r="AA447" s="832">
        <v>0</v>
      </c>
      <c r="AB447" s="832">
        <v>0</v>
      </c>
      <c r="AC447" s="832">
        <v>0</v>
      </c>
      <c r="AD447" s="832">
        <v>0</v>
      </c>
      <c r="AE447" s="832">
        <v>0</v>
      </c>
      <c r="AF447" s="832">
        <v>0</v>
      </c>
      <c r="AG447" s="832">
        <v>0</v>
      </c>
      <c r="AH447" s="832">
        <v>0</v>
      </c>
      <c r="AI447" s="832">
        <v>0</v>
      </c>
      <c r="AJ447" s="1030" t="str">
        <f t="shared" si="36"/>
        <v>H21700</v>
      </c>
      <c r="AK447" s="1030" t="str">
        <f t="shared" si="37"/>
        <v>RETENUE FISCALES-EMPLOYES</v>
      </c>
      <c r="AL447" s="1030">
        <f>IFERROR(INDEX(G447:R447,1,MATCH(Parametres!$B$3,G$1:R$1,0)-1)*IF(OR(F447="L",F447="S",F447="I"),-1,1),"")</f>
        <v>16817.22</v>
      </c>
      <c r="AM447" s="1030">
        <f t="shared" si="38"/>
        <v>0</v>
      </c>
      <c r="AN447" s="1030">
        <f>INDEX(G447:R447,1,MATCH(Parametres!$B$3,G$1:R$1,0))*IF(OR(F447="L",F447="S",F447="I"),-1,1)</f>
        <v>16817.22</v>
      </c>
      <c r="AO447" s="598" t="str">
        <f>+VLOOKUP($AJ447,Data_Validation!$A:$D,1,0)</f>
        <v>H21700</v>
      </c>
      <c r="AP447" s="598" t="str">
        <f>+VLOOKUP($AJ447,Data_Validation!$A:$D,3,0)</f>
        <v>Bilan</v>
      </c>
      <c r="AQ447" s="598" t="str">
        <f>+VLOOKUP($AJ447,Data_Validation!$A:$D,4,0)</f>
        <v>DAS à Payer</v>
      </c>
      <c r="AR447" s="598" t="s">
        <v>299</v>
      </c>
      <c r="AS447" s="598">
        <f>+VLOOKUP($AJ447,Data_Validation!$A:$E,5,0)</f>
        <v>0</v>
      </c>
      <c r="AT447" s="1036" t="str">
        <f t="shared" si="39"/>
        <v>H21700</v>
      </c>
      <c r="AU447" s="599" t="str">
        <f t="shared" si="40"/>
        <v>RETENUE FISCALES-EMPLOYES</v>
      </c>
      <c r="AV447" s="1030">
        <f>IFERROR(INDEX(V447:AG447,1,MATCH(Parametres!$B$3,V$1:AG$1,0)-1)*IF(OR(C447="L",C447="S",C447="I"),-1,1),"")</f>
        <v>0</v>
      </c>
      <c r="AW447" s="1030">
        <f t="shared" si="41"/>
        <v>0</v>
      </c>
      <c r="AX447" s="1030">
        <f>INDEX(V447:AG447,1,MATCH(Parametres!$B$3,V$1:AG$1,0))*IF(OR(C447="L",C447="S",C447="I"),-1,1)</f>
        <v>0</v>
      </c>
      <c r="AY447" s="598" t="s">
        <v>337</v>
      </c>
      <c r="AZ447" s="598">
        <f>+VLOOKUP($AJ447,Data_Validation!$A:$E,5,0)</f>
        <v>0</v>
      </c>
    </row>
    <row r="448" spans="1:52" ht="15.75" customHeight="1">
      <c r="A448" s="832" t="s">
        <v>1150</v>
      </c>
      <c r="B448" s="832">
        <v>2025</v>
      </c>
      <c r="C448" s="832" t="s">
        <v>2041</v>
      </c>
      <c r="D448" s="832" t="s">
        <v>2042</v>
      </c>
      <c r="E448" s="832" t="s">
        <v>333</v>
      </c>
      <c r="F448" s="832" t="s">
        <v>1153</v>
      </c>
      <c r="G448" s="832">
        <v>-147.06</v>
      </c>
      <c r="H448" s="832">
        <v>-147.06</v>
      </c>
      <c r="I448" s="832">
        <v>-147.06</v>
      </c>
      <c r="J448" s="832">
        <v>-147.06</v>
      </c>
      <c r="K448" s="832">
        <v>-147.06</v>
      </c>
      <c r="L448" s="832">
        <v>-147.06</v>
      </c>
      <c r="M448" s="832">
        <v>-147.06</v>
      </c>
      <c r="N448" s="832">
        <v>-147.06</v>
      </c>
      <c r="O448" s="832">
        <v>-147.06</v>
      </c>
      <c r="P448" s="832">
        <v>-147.06</v>
      </c>
      <c r="Q448" s="832">
        <v>-147.06</v>
      </c>
      <c r="R448" s="832">
        <v>-147.06</v>
      </c>
      <c r="S448" s="832">
        <v>0</v>
      </c>
      <c r="T448" s="832">
        <v>0</v>
      </c>
      <c r="U448" s="832">
        <v>0</v>
      </c>
      <c r="V448" s="832">
        <v>0</v>
      </c>
      <c r="W448" s="832">
        <v>0</v>
      </c>
      <c r="X448" s="832">
        <v>0</v>
      </c>
      <c r="Y448" s="832">
        <v>0</v>
      </c>
      <c r="Z448" s="832">
        <v>0</v>
      </c>
      <c r="AA448" s="832">
        <v>0</v>
      </c>
      <c r="AB448" s="832">
        <v>0</v>
      </c>
      <c r="AC448" s="832">
        <v>0</v>
      </c>
      <c r="AD448" s="832">
        <v>0</v>
      </c>
      <c r="AE448" s="832">
        <v>0</v>
      </c>
      <c r="AF448" s="832">
        <v>0</v>
      </c>
      <c r="AG448" s="832">
        <v>0</v>
      </c>
      <c r="AH448" s="832">
        <v>0</v>
      </c>
      <c r="AI448" s="832">
        <v>0</v>
      </c>
      <c r="AJ448" s="1030" t="str">
        <f t="shared" si="36"/>
        <v>H21710</v>
      </c>
      <c r="AK448" s="1030" t="str">
        <f t="shared" si="37"/>
        <v>PENSION ALIMENTAIRE PAYER</v>
      </c>
      <c r="AL448" s="1030">
        <f>IFERROR(INDEX(G448:R448,1,MATCH(Parametres!$B$3,G$1:R$1,0)-1)*IF(OR(F448="L",F448="S",F448="I"),-1,1),"")</f>
        <v>147.06</v>
      </c>
      <c r="AM448" s="1030">
        <f t="shared" si="38"/>
        <v>0</v>
      </c>
      <c r="AN448" s="1030">
        <f>INDEX(G448:R448,1,MATCH(Parametres!$B$3,G$1:R$1,0))*IF(OR(F448="L",F448="S",F448="I"),-1,1)</f>
        <v>147.06</v>
      </c>
      <c r="AO448" s="598" t="str">
        <f>+VLOOKUP($AJ448,Data_Validation!$A:$D,1,0)</f>
        <v>H21710</v>
      </c>
      <c r="AP448" s="598" t="str">
        <f>+VLOOKUP($AJ448,Data_Validation!$A:$D,3,0)</f>
        <v>Bilan</v>
      </c>
      <c r="AQ448" s="598" t="str">
        <f>+VLOOKUP($AJ448,Data_Validation!$A:$D,4,0)</f>
        <v>DAS à Payer</v>
      </c>
      <c r="AR448" s="598" t="s">
        <v>299</v>
      </c>
      <c r="AS448" s="598">
        <f>+VLOOKUP($AJ448,Data_Validation!$A:$E,5,0)</f>
        <v>0</v>
      </c>
      <c r="AT448" s="1036" t="str">
        <f t="shared" si="39"/>
        <v>H21710</v>
      </c>
      <c r="AU448" s="599" t="str">
        <f t="shared" si="40"/>
        <v>PENSION ALIMENTAIRE PAYER</v>
      </c>
      <c r="AV448" s="1030">
        <f>IFERROR(INDEX(V448:AG448,1,MATCH(Parametres!$B$3,V$1:AG$1,0)-1)*IF(OR(C448="L",C448="S",C448="I"),-1,1),"")</f>
        <v>0</v>
      </c>
      <c r="AW448" s="1030">
        <f t="shared" si="41"/>
        <v>0</v>
      </c>
      <c r="AX448" s="1030">
        <f>INDEX(V448:AG448,1,MATCH(Parametres!$B$3,V$1:AG$1,0))*IF(OR(C448="L",C448="S",C448="I"),-1,1)</f>
        <v>0</v>
      </c>
      <c r="AY448" s="598" t="s">
        <v>337</v>
      </c>
      <c r="AZ448" s="598">
        <f>+VLOOKUP($AJ448,Data_Validation!$A:$E,5,0)</f>
        <v>0</v>
      </c>
    </row>
    <row r="449" spans="1:52" ht="15.75" customHeight="1">
      <c r="A449" s="832" t="s">
        <v>1150</v>
      </c>
      <c r="B449" s="832">
        <v>2025</v>
      </c>
      <c r="C449" s="832" t="s">
        <v>2043</v>
      </c>
      <c r="D449" s="832" t="s">
        <v>2044</v>
      </c>
      <c r="E449" s="832" t="s">
        <v>333</v>
      </c>
      <c r="F449" s="832" t="s">
        <v>1153</v>
      </c>
      <c r="G449" s="832">
        <v>1756.22</v>
      </c>
      <c r="H449" s="832">
        <v>1756.22</v>
      </c>
      <c r="I449" s="832">
        <v>1756.22</v>
      </c>
      <c r="J449" s="832">
        <v>461.82</v>
      </c>
      <c r="K449" s="832">
        <v>461.82</v>
      </c>
      <c r="L449" s="832">
        <v>461.82</v>
      </c>
      <c r="M449" s="832">
        <v>-477.58</v>
      </c>
      <c r="N449" s="832">
        <v>-447.58</v>
      </c>
      <c r="O449" s="832">
        <v>-397.58</v>
      </c>
      <c r="P449" s="832">
        <v>694.02</v>
      </c>
      <c r="Q449" s="832">
        <v>694.02</v>
      </c>
      <c r="R449" s="832">
        <v>694.02</v>
      </c>
      <c r="S449" s="832">
        <v>0</v>
      </c>
      <c r="T449" s="832">
        <v>0</v>
      </c>
      <c r="U449" s="832">
        <v>0</v>
      </c>
      <c r="V449" s="832">
        <v>0</v>
      </c>
      <c r="W449" s="832">
        <v>0</v>
      </c>
      <c r="X449" s="832">
        <v>0</v>
      </c>
      <c r="Y449" s="832">
        <v>0</v>
      </c>
      <c r="Z449" s="832">
        <v>0</v>
      </c>
      <c r="AA449" s="832">
        <v>0</v>
      </c>
      <c r="AB449" s="832">
        <v>0</v>
      </c>
      <c r="AC449" s="832">
        <v>0</v>
      </c>
      <c r="AD449" s="832">
        <v>0</v>
      </c>
      <c r="AE449" s="832">
        <v>0</v>
      </c>
      <c r="AF449" s="832">
        <v>0</v>
      </c>
      <c r="AG449" s="832">
        <v>0</v>
      </c>
      <c r="AH449" s="832">
        <v>0</v>
      </c>
      <c r="AI449" s="832">
        <v>0</v>
      </c>
      <c r="AJ449" s="1030" t="str">
        <f t="shared" si="36"/>
        <v>H21800</v>
      </c>
      <c r="AK449" s="1030" t="str">
        <f t="shared" si="37"/>
        <v>RPDB- REER COLLECTIF</v>
      </c>
      <c r="AL449" s="1030">
        <f>IFERROR(INDEX(G449:R449,1,MATCH(Parametres!$B$3,G$1:R$1,0)-1)*IF(OR(F449="L",F449="S",F449="I"),-1,1),"")</f>
        <v>-461.82</v>
      </c>
      <c r="AM449" s="1030">
        <f t="shared" si="38"/>
        <v>0</v>
      </c>
      <c r="AN449" s="1030">
        <f>INDEX(G449:R449,1,MATCH(Parametres!$B$3,G$1:R$1,0))*IF(OR(F449="L",F449="S",F449="I"),-1,1)</f>
        <v>-461.82</v>
      </c>
      <c r="AO449" s="598" t="str">
        <f>+VLOOKUP($AJ449,Data_Validation!$A:$D,1,0)</f>
        <v>H21800</v>
      </c>
      <c r="AP449" s="598" t="str">
        <f>+VLOOKUP($AJ449,Data_Validation!$A:$D,3,0)</f>
        <v>Bilan</v>
      </c>
      <c r="AQ449" s="598" t="str">
        <f>+VLOOKUP($AJ449,Data_Validation!$A:$D,4,0)</f>
        <v>DAS à Payer</v>
      </c>
      <c r="AR449" s="598" t="s">
        <v>299</v>
      </c>
      <c r="AS449" s="598">
        <f>+VLOOKUP($AJ449,Data_Validation!$A:$E,5,0)</f>
        <v>0</v>
      </c>
      <c r="AT449" s="1036" t="str">
        <f t="shared" si="39"/>
        <v>H21800</v>
      </c>
      <c r="AU449" s="599" t="str">
        <f t="shared" si="40"/>
        <v>RPDB- REER COLLECTIF</v>
      </c>
      <c r="AV449" s="1030">
        <f>IFERROR(INDEX(V449:AG449,1,MATCH(Parametres!$B$3,V$1:AG$1,0)-1)*IF(OR(C449="L",C449="S",C449="I"),-1,1),"")</f>
        <v>0</v>
      </c>
      <c r="AW449" s="1030">
        <f t="shared" si="41"/>
        <v>0</v>
      </c>
      <c r="AX449" s="1030">
        <f>INDEX(V449:AG449,1,MATCH(Parametres!$B$3,V$1:AG$1,0))*IF(OR(C449="L",C449="S",C449="I"),-1,1)</f>
        <v>0</v>
      </c>
      <c r="AY449" s="598" t="s">
        <v>337</v>
      </c>
      <c r="AZ449" s="598">
        <f>+VLOOKUP($AJ449,Data_Validation!$A:$E,5,0)</f>
        <v>0</v>
      </c>
    </row>
    <row r="450" spans="1:52" ht="15.75" customHeight="1">
      <c r="A450" s="832" t="s">
        <v>1150</v>
      </c>
      <c r="B450" s="832">
        <v>2025</v>
      </c>
      <c r="C450" s="832" t="s">
        <v>2045</v>
      </c>
      <c r="D450" s="832" t="s">
        <v>2046</v>
      </c>
      <c r="E450" s="832" t="s">
        <v>333</v>
      </c>
      <c r="F450" s="832" t="s">
        <v>1153</v>
      </c>
      <c r="G450" s="832">
        <v>5621.06</v>
      </c>
      <c r="H450" s="832">
        <v>6203.78</v>
      </c>
      <c r="I450" s="832">
        <v>6936.5</v>
      </c>
      <c r="J450" s="832">
        <v>7669.22</v>
      </c>
      <c r="K450" s="832">
        <v>8768.2999999999993</v>
      </c>
      <c r="L450" s="832">
        <v>9501.02</v>
      </c>
      <c r="M450" s="832">
        <v>10233.74</v>
      </c>
      <c r="N450" s="832">
        <v>6044.94</v>
      </c>
      <c r="O450" s="832">
        <v>6777.66</v>
      </c>
      <c r="P450" s="832">
        <v>366.36</v>
      </c>
      <c r="Q450" s="832">
        <v>1249.08</v>
      </c>
      <c r="R450" s="832">
        <v>1831.8</v>
      </c>
      <c r="S450" s="832">
        <v>0</v>
      </c>
      <c r="T450" s="832">
        <v>0</v>
      </c>
      <c r="U450" s="832">
        <v>0</v>
      </c>
      <c r="V450" s="832">
        <v>0</v>
      </c>
      <c r="W450" s="832">
        <v>0</v>
      </c>
      <c r="X450" s="832">
        <v>0</v>
      </c>
      <c r="Y450" s="832">
        <v>0</v>
      </c>
      <c r="Z450" s="832">
        <v>0</v>
      </c>
      <c r="AA450" s="832">
        <v>0</v>
      </c>
      <c r="AB450" s="832">
        <v>0</v>
      </c>
      <c r="AC450" s="832">
        <v>0</v>
      </c>
      <c r="AD450" s="832">
        <v>0</v>
      </c>
      <c r="AE450" s="832">
        <v>0</v>
      </c>
      <c r="AF450" s="832">
        <v>0</v>
      </c>
      <c r="AG450" s="832">
        <v>0</v>
      </c>
      <c r="AH450" s="832">
        <v>0</v>
      </c>
      <c r="AI450" s="832">
        <v>0</v>
      </c>
      <c r="AJ450" s="1030" t="str">
        <f t="shared" si="36"/>
        <v>H21810</v>
      </c>
      <c r="AK450" s="1030" t="str">
        <f t="shared" si="37"/>
        <v>DEDUCTIBLE DEMO</v>
      </c>
      <c r="AL450" s="1030">
        <f>IFERROR(INDEX(G450:R450,1,MATCH(Parametres!$B$3,G$1:R$1,0)-1)*IF(OR(F450="L",F450="S",F450="I"),-1,1),"")</f>
        <v>-7669.22</v>
      </c>
      <c r="AM450" s="1030">
        <f t="shared" si="38"/>
        <v>-1099.079999999999</v>
      </c>
      <c r="AN450" s="1030">
        <f>INDEX(G450:R450,1,MATCH(Parametres!$B$3,G$1:R$1,0))*IF(OR(F450="L",F450="S",F450="I"),-1,1)</f>
        <v>-8768.2999999999993</v>
      </c>
      <c r="AO450" s="598" t="str">
        <f>+VLOOKUP($AJ450,Data_Validation!$A:$D,1,0)</f>
        <v>H21810</v>
      </c>
      <c r="AP450" s="598" t="str">
        <f>+VLOOKUP($AJ450,Data_Validation!$A:$D,3,0)</f>
        <v>Bilan</v>
      </c>
      <c r="AQ450" s="598" t="str">
        <f>+VLOOKUP($AJ450,Data_Validation!$A:$D,4,0)</f>
        <v>DAS à Payer</v>
      </c>
      <c r="AR450" s="598" t="s">
        <v>299</v>
      </c>
      <c r="AS450" s="598">
        <f>+VLOOKUP($AJ450,Data_Validation!$A:$E,5,0)</f>
        <v>0</v>
      </c>
      <c r="AT450" s="1036" t="str">
        <f t="shared" si="39"/>
        <v>H21810</v>
      </c>
      <c r="AU450" s="599" t="str">
        <f t="shared" si="40"/>
        <v>DEDUCTIBLE DEMO</v>
      </c>
      <c r="AV450" s="1030">
        <f>IFERROR(INDEX(V450:AG450,1,MATCH(Parametres!$B$3,V$1:AG$1,0)-1)*IF(OR(C450="L",C450="S",C450="I"),-1,1),"")</f>
        <v>0</v>
      </c>
      <c r="AW450" s="1030">
        <f t="shared" si="41"/>
        <v>0</v>
      </c>
      <c r="AX450" s="1030">
        <f>INDEX(V450:AG450,1,MATCH(Parametres!$B$3,V$1:AG$1,0))*IF(OR(C450="L",C450="S",C450="I"),-1,1)</f>
        <v>0</v>
      </c>
      <c r="AY450" s="598" t="s">
        <v>337</v>
      </c>
      <c r="AZ450" s="598">
        <f>+VLOOKUP($AJ450,Data_Validation!$A:$E,5,0)</f>
        <v>0</v>
      </c>
    </row>
    <row r="451" spans="1:52" ht="15.75" customHeight="1">
      <c r="A451" s="832" t="s">
        <v>1150</v>
      </c>
      <c r="B451" s="832">
        <v>2025</v>
      </c>
      <c r="C451" s="832" t="s">
        <v>2047</v>
      </c>
      <c r="D451" s="832" t="s">
        <v>2048</v>
      </c>
      <c r="E451" s="832" t="s">
        <v>333</v>
      </c>
      <c r="F451" s="832" t="s">
        <v>1153</v>
      </c>
      <c r="G451" s="832">
        <v>-1132.99</v>
      </c>
      <c r="H451" s="832">
        <v>-1351.08</v>
      </c>
      <c r="I451" s="832">
        <v>-1616.47</v>
      </c>
      <c r="J451" s="832">
        <v>-1142.79</v>
      </c>
      <c r="K451" s="832">
        <v>-997.11</v>
      </c>
      <c r="L451" s="832">
        <v>-1123.6400000000001</v>
      </c>
      <c r="M451" s="832">
        <v>-1123.6300000000001</v>
      </c>
      <c r="N451" s="832">
        <v>-1118.21</v>
      </c>
      <c r="O451" s="832">
        <v>-1365.9</v>
      </c>
      <c r="P451" s="832">
        <v>-1365.89</v>
      </c>
      <c r="Q451" s="832">
        <v>-1158.31</v>
      </c>
      <c r="R451" s="832">
        <v>0</v>
      </c>
      <c r="S451" s="832">
        <v>0</v>
      </c>
      <c r="T451" s="832">
        <v>0</v>
      </c>
      <c r="U451" s="832">
        <v>0</v>
      </c>
      <c r="V451" s="832">
        <v>0</v>
      </c>
      <c r="W451" s="832">
        <v>0</v>
      </c>
      <c r="X451" s="832">
        <v>0</v>
      </c>
      <c r="Y451" s="832">
        <v>0</v>
      </c>
      <c r="Z451" s="832">
        <v>0</v>
      </c>
      <c r="AA451" s="832">
        <v>0</v>
      </c>
      <c r="AB451" s="832">
        <v>0</v>
      </c>
      <c r="AC451" s="832">
        <v>0</v>
      </c>
      <c r="AD451" s="832">
        <v>0</v>
      </c>
      <c r="AE451" s="832">
        <v>0</v>
      </c>
      <c r="AF451" s="832">
        <v>0</v>
      </c>
      <c r="AG451" s="832">
        <v>0</v>
      </c>
      <c r="AH451" s="832">
        <v>0</v>
      </c>
      <c r="AI451" s="832">
        <v>0</v>
      </c>
      <c r="AJ451" s="1030" t="str">
        <f t="shared" si="36"/>
        <v>H21900</v>
      </c>
      <c r="AK451" s="1030" t="str">
        <f t="shared" si="37"/>
        <v>COMITE PARITAIRE IND AUTO</v>
      </c>
      <c r="AL451" s="1030">
        <f>IFERROR(INDEX(G451:R451,1,MATCH(Parametres!$B$3,G$1:R$1,0)-1)*IF(OR(F451="L",F451="S",F451="I"),-1,1),"")</f>
        <v>1142.79</v>
      </c>
      <c r="AM451" s="1030">
        <f t="shared" si="38"/>
        <v>-145.67999999999995</v>
      </c>
      <c r="AN451" s="1030">
        <f>INDEX(G451:R451,1,MATCH(Parametres!$B$3,G$1:R$1,0))*IF(OR(F451="L",F451="S",F451="I"),-1,1)</f>
        <v>997.11</v>
      </c>
      <c r="AO451" s="598" t="str">
        <f>+VLOOKUP($AJ451,Data_Validation!$A:$D,1,0)</f>
        <v>H21900</v>
      </c>
      <c r="AP451" s="598" t="str">
        <f>+VLOOKUP($AJ451,Data_Validation!$A:$D,3,0)</f>
        <v>Bilan</v>
      </c>
      <c r="AQ451" s="598" t="str">
        <f>+VLOOKUP($AJ451,Data_Validation!$A:$D,4,0)</f>
        <v>DAS à Payer</v>
      </c>
      <c r="AR451" s="598" t="s">
        <v>299</v>
      </c>
      <c r="AS451" s="598">
        <f>+VLOOKUP($AJ451,Data_Validation!$A:$E,5,0)</f>
        <v>0</v>
      </c>
      <c r="AT451" s="1036" t="str">
        <f t="shared" si="39"/>
        <v>H21900</v>
      </c>
      <c r="AU451" s="599" t="str">
        <f t="shared" si="40"/>
        <v>COMITE PARITAIRE IND AUTO</v>
      </c>
      <c r="AV451" s="1030">
        <f>IFERROR(INDEX(V451:AG451,1,MATCH(Parametres!$B$3,V$1:AG$1,0)-1)*IF(OR(C451="L",C451="S",C451="I"),-1,1),"")</f>
        <v>0</v>
      </c>
      <c r="AW451" s="1030">
        <f t="shared" si="41"/>
        <v>0</v>
      </c>
      <c r="AX451" s="1030">
        <f>INDEX(V451:AG451,1,MATCH(Parametres!$B$3,V$1:AG$1,0))*IF(OR(C451="L",C451="S",C451="I"),-1,1)</f>
        <v>0</v>
      </c>
      <c r="AY451" s="598" t="s">
        <v>337</v>
      </c>
      <c r="AZ451" s="598">
        <f>+VLOOKUP($AJ451,Data_Validation!$A:$E,5,0)</f>
        <v>0</v>
      </c>
    </row>
    <row r="452" spans="1:52" ht="15.75" customHeight="1">
      <c r="A452" s="832" t="s">
        <v>1150</v>
      </c>
      <c r="B452" s="832">
        <v>2025</v>
      </c>
      <c r="C452" s="832" t="s">
        <v>2049</v>
      </c>
      <c r="D452" s="832" t="s">
        <v>659</v>
      </c>
      <c r="E452" s="832" t="s">
        <v>333</v>
      </c>
      <c r="F452" s="832" t="s">
        <v>1153</v>
      </c>
      <c r="G452" s="832">
        <v>-3441.85</v>
      </c>
      <c r="H452" s="832">
        <v>-3738.49</v>
      </c>
      <c r="I452" s="832">
        <v>-4589.4799999999996</v>
      </c>
      <c r="J452" s="832">
        <v>-4967.66</v>
      </c>
      <c r="K452" s="832">
        <v>-1069.6199999999999</v>
      </c>
      <c r="L452" s="832">
        <v>-742.04</v>
      </c>
      <c r="M452" s="832">
        <v>-1556.29</v>
      </c>
      <c r="N452" s="832">
        <v>-514.96</v>
      </c>
      <c r="O452" s="832">
        <v>-828.6</v>
      </c>
      <c r="P452" s="832">
        <v>4273.87</v>
      </c>
      <c r="Q452" s="832">
        <v>4517.84</v>
      </c>
      <c r="R452" s="832">
        <v>4992.9399999999996</v>
      </c>
      <c r="S452" s="832">
        <v>0</v>
      </c>
      <c r="T452" s="832">
        <v>0</v>
      </c>
      <c r="U452" s="832">
        <v>0</v>
      </c>
      <c r="V452" s="832">
        <v>0</v>
      </c>
      <c r="W452" s="832">
        <v>0</v>
      </c>
      <c r="X452" s="832">
        <v>0</v>
      </c>
      <c r="Y452" s="832">
        <v>0</v>
      </c>
      <c r="Z452" s="832">
        <v>0</v>
      </c>
      <c r="AA452" s="832">
        <v>0</v>
      </c>
      <c r="AB452" s="832">
        <v>0</v>
      </c>
      <c r="AC452" s="832">
        <v>0</v>
      </c>
      <c r="AD452" s="832">
        <v>0</v>
      </c>
      <c r="AE452" s="832">
        <v>0</v>
      </c>
      <c r="AF452" s="832">
        <v>0</v>
      </c>
      <c r="AG452" s="832">
        <v>0</v>
      </c>
      <c r="AH452" s="832">
        <v>0</v>
      </c>
      <c r="AI452" s="832">
        <v>0</v>
      </c>
      <c r="AJ452" s="1030" t="str">
        <f t="shared" ref="AJ452:AJ466" si="42">C452</f>
        <v>H21910</v>
      </c>
      <c r="AK452" s="1030" t="str">
        <f t="shared" ref="AK452:AK466" si="43">D452</f>
        <v>ASSURANCE GROUPE</v>
      </c>
      <c r="AL452" s="1030">
        <f>IFERROR(INDEX(G452:R452,1,MATCH(Parametres!$B$3,G$1:R$1,0)-1)*IF(OR(F452="L",F452="S",F452="I"),-1,1),"")</f>
        <v>4967.66</v>
      </c>
      <c r="AM452" s="1030">
        <f t="shared" ref="AM452:AM515" si="44">AN452-N(AL452)</f>
        <v>-3898.04</v>
      </c>
      <c r="AN452" s="1030">
        <f>INDEX(G452:R452,1,MATCH(Parametres!$B$3,G$1:R$1,0))*IF(OR(F452="L",F452="S",F452="I"),-1,1)</f>
        <v>1069.6199999999999</v>
      </c>
      <c r="AO452" s="598" t="str">
        <f>+VLOOKUP($AJ452,Data_Validation!$A:$D,1,0)</f>
        <v>H21910</v>
      </c>
      <c r="AP452" s="598" t="str">
        <f>+VLOOKUP($AJ452,Data_Validation!$A:$D,3,0)</f>
        <v>Bilan</v>
      </c>
      <c r="AQ452" s="598" t="str">
        <f>+VLOOKUP($AJ452,Data_Validation!$A:$D,4,0)</f>
        <v>DAS à Payer</v>
      </c>
      <c r="AR452" s="598" t="s">
        <v>299</v>
      </c>
      <c r="AS452" s="598">
        <f>+VLOOKUP($AJ452,Data_Validation!$A:$E,5,0)</f>
        <v>0</v>
      </c>
      <c r="AT452" s="1036" t="str">
        <f t="shared" ref="AT452:AT515" si="45">C452</f>
        <v>H21910</v>
      </c>
      <c r="AU452" s="599" t="str">
        <f t="shared" ref="AU452:AU515" si="46">D452</f>
        <v>ASSURANCE GROUPE</v>
      </c>
      <c r="AV452" s="1030">
        <f>IFERROR(INDEX(V452:AG452,1,MATCH(Parametres!$B$3,V$1:AG$1,0)-1)*IF(OR(C452="L",C452="S",C452="I"),-1,1),"")</f>
        <v>0</v>
      </c>
      <c r="AW452" s="1030">
        <f t="shared" ref="AW452:AW515" si="47">AX452-N(AV452)</f>
        <v>0</v>
      </c>
      <c r="AX452" s="1030">
        <f>INDEX(V452:AG452,1,MATCH(Parametres!$B$3,V$1:AG$1,0))*IF(OR(C452="L",C452="S",C452="I"),-1,1)</f>
        <v>0</v>
      </c>
      <c r="AY452" s="598" t="s">
        <v>337</v>
      </c>
      <c r="AZ452" s="598">
        <f>+VLOOKUP($AJ452,Data_Validation!$A:$E,5,0)</f>
        <v>0</v>
      </c>
    </row>
    <row r="453" spans="1:52" ht="15" customHeight="1">
      <c r="A453" s="832" t="s">
        <v>1150</v>
      </c>
      <c r="B453" s="832">
        <v>2025</v>
      </c>
      <c r="C453" s="832" t="s">
        <v>2050</v>
      </c>
      <c r="D453" s="832" t="s">
        <v>655</v>
      </c>
      <c r="E453" s="832" t="s">
        <v>333</v>
      </c>
      <c r="F453" s="832" t="s">
        <v>1153</v>
      </c>
      <c r="G453" s="832">
        <v>112582.5</v>
      </c>
      <c r="H453" s="832">
        <v>73150.61</v>
      </c>
      <c r="I453" s="832">
        <v>71151.91</v>
      </c>
      <c r="J453" s="832">
        <v>119977.9</v>
      </c>
      <c r="K453" s="832">
        <v>82475.95</v>
      </c>
      <c r="L453" s="832">
        <v>75661.84</v>
      </c>
      <c r="M453" s="832">
        <v>81116.25</v>
      </c>
      <c r="N453" s="832">
        <v>85221.86</v>
      </c>
      <c r="O453" s="832">
        <v>84644.53</v>
      </c>
      <c r="P453" s="832">
        <v>0</v>
      </c>
      <c r="Q453" s="832">
        <v>0</v>
      </c>
      <c r="R453" s="832">
        <v>0</v>
      </c>
      <c r="S453" s="832">
        <v>0</v>
      </c>
      <c r="T453" s="832">
        <v>0</v>
      </c>
      <c r="U453" s="832">
        <v>0</v>
      </c>
      <c r="V453" s="832">
        <v>0</v>
      </c>
      <c r="W453" s="832">
        <v>0</v>
      </c>
      <c r="X453" s="832">
        <v>0</v>
      </c>
      <c r="Y453" s="832">
        <v>0</v>
      </c>
      <c r="Z453" s="832">
        <v>0</v>
      </c>
      <c r="AA453" s="832">
        <v>0</v>
      </c>
      <c r="AB453" s="832">
        <v>0</v>
      </c>
      <c r="AC453" s="832">
        <v>0</v>
      </c>
      <c r="AD453" s="832">
        <v>0</v>
      </c>
      <c r="AE453" s="832">
        <v>0</v>
      </c>
      <c r="AF453" s="832">
        <v>0</v>
      </c>
      <c r="AG453" s="832">
        <v>0</v>
      </c>
      <c r="AH453" s="832">
        <v>0</v>
      </c>
      <c r="AI453" s="832">
        <v>0</v>
      </c>
      <c r="AJ453" s="1030" t="str">
        <f t="shared" si="42"/>
        <v>H22000</v>
      </c>
      <c r="AK453" s="1030" t="str">
        <f t="shared" si="43"/>
        <v>TVQ A PAYER</v>
      </c>
      <c r="AL453" s="1030">
        <f>IFERROR(INDEX(G453:R453,1,MATCH(Parametres!$B$3,G$1:R$1,0)-1)*IF(OR(F453="L",F453="S",F453="I"),-1,1),"")</f>
        <v>-119977.9</v>
      </c>
      <c r="AM453" s="1030">
        <f t="shared" si="44"/>
        <v>37501.949999999997</v>
      </c>
      <c r="AN453" s="1030">
        <f>INDEX(G453:R453,1,MATCH(Parametres!$B$3,G$1:R$1,0))*IF(OR(F453="L",F453="S",F453="I"),-1,1)</f>
        <v>-82475.95</v>
      </c>
      <c r="AO453" s="598" t="str">
        <f>+VLOOKUP($AJ453,Data_Validation!$A:$D,1,0)</f>
        <v>H22000</v>
      </c>
      <c r="AP453" s="598" t="str">
        <f>+VLOOKUP($AJ453,Data_Validation!$A:$D,3,0)</f>
        <v>Bilan</v>
      </c>
      <c r="AQ453" s="598" t="str">
        <f>+VLOOKUP($AJ453,Data_Validation!$A:$D,4,0)</f>
        <v>Taxes de Vente à Payer</v>
      </c>
      <c r="AR453" s="598" t="s">
        <v>299</v>
      </c>
      <c r="AS453" s="598">
        <f>+VLOOKUP($AJ453,Data_Validation!$A:$E,5,0)</f>
        <v>0</v>
      </c>
      <c r="AT453" s="1036" t="str">
        <f t="shared" si="45"/>
        <v>H22000</v>
      </c>
      <c r="AU453" s="599" t="str">
        <f t="shared" si="46"/>
        <v>TVQ A PAYER</v>
      </c>
      <c r="AV453" s="1030">
        <f>IFERROR(INDEX(V453:AG453,1,MATCH(Parametres!$B$3,V$1:AG$1,0)-1)*IF(OR(C453="L",C453="S",C453="I"),-1,1),"")</f>
        <v>0</v>
      </c>
      <c r="AW453" s="1030">
        <f t="shared" si="47"/>
        <v>0</v>
      </c>
      <c r="AX453" s="1030">
        <f>INDEX(V453:AG453,1,MATCH(Parametres!$B$3,V$1:AG$1,0))*IF(OR(C453="L",C453="S",C453="I"),-1,1)</f>
        <v>0</v>
      </c>
      <c r="AY453" s="598" t="s">
        <v>337</v>
      </c>
      <c r="AZ453" s="598">
        <f>+VLOOKUP($AJ453,Data_Validation!$A:$E,5,0)</f>
        <v>0</v>
      </c>
    </row>
    <row r="454" spans="1:52" ht="15" customHeight="1">
      <c r="A454" s="832" t="s">
        <v>1150</v>
      </c>
      <c r="B454" s="832">
        <v>2025</v>
      </c>
      <c r="C454" s="832" t="s">
        <v>2051</v>
      </c>
      <c r="D454" s="832" t="s">
        <v>2052</v>
      </c>
      <c r="E454" s="832" t="s">
        <v>333</v>
      </c>
      <c r="F454" s="832" t="s">
        <v>1153</v>
      </c>
      <c r="G454" s="832">
        <v>-71712.87</v>
      </c>
      <c r="H454" s="832">
        <v>-62838.96</v>
      </c>
      <c r="I454" s="832">
        <v>-61408.95</v>
      </c>
      <c r="J454" s="832">
        <v>-69927.66</v>
      </c>
      <c r="K454" s="832">
        <v>-69555.62</v>
      </c>
      <c r="L454" s="832">
        <v>-187063.23</v>
      </c>
      <c r="M454" s="832">
        <v>-56657.3</v>
      </c>
      <c r="N454" s="832">
        <v>-67026.25</v>
      </c>
      <c r="O454" s="832">
        <v>-67563.490000000005</v>
      </c>
      <c r="P454" s="832">
        <v>0</v>
      </c>
      <c r="Q454" s="832">
        <v>0</v>
      </c>
      <c r="R454" s="832">
        <v>186.52</v>
      </c>
      <c r="S454" s="832">
        <v>0</v>
      </c>
      <c r="T454" s="832">
        <v>0</v>
      </c>
      <c r="U454" s="832">
        <v>0</v>
      </c>
      <c r="V454" s="832">
        <v>0</v>
      </c>
      <c r="W454" s="832">
        <v>0</v>
      </c>
      <c r="X454" s="832">
        <v>0</v>
      </c>
      <c r="Y454" s="832">
        <v>0</v>
      </c>
      <c r="Z454" s="832">
        <v>0</v>
      </c>
      <c r="AA454" s="832">
        <v>0</v>
      </c>
      <c r="AB454" s="832">
        <v>0</v>
      </c>
      <c r="AC454" s="832">
        <v>0</v>
      </c>
      <c r="AD454" s="832">
        <v>0</v>
      </c>
      <c r="AE454" s="832">
        <v>0</v>
      </c>
      <c r="AF454" s="832">
        <v>0</v>
      </c>
      <c r="AG454" s="832">
        <v>0</v>
      </c>
      <c r="AH454" s="832">
        <v>0</v>
      </c>
      <c r="AI454" s="832">
        <v>0</v>
      </c>
      <c r="AJ454" s="1030" t="str">
        <f t="shared" si="42"/>
        <v>H22010</v>
      </c>
      <c r="AK454" s="1030" t="str">
        <f t="shared" si="43"/>
        <v>RTI(TVQ) A RECEVOIR</v>
      </c>
      <c r="AL454" s="1030">
        <f>IFERROR(INDEX(G454:R454,1,MATCH(Parametres!$B$3,G$1:R$1,0)-1)*IF(OR(F454="L",F454="S",F454="I"),-1,1),"")</f>
        <v>69927.66</v>
      </c>
      <c r="AM454" s="1030">
        <f t="shared" si="44"/>
        <v>-372.04000000000815</v>
      </c>
      <c r="AN454" s="1030">
        <f>INDEX(G454:R454,1,MATCH(Parametres!$B$3,G$1:R$1,0))*IF(OR(F454="L",F454="S",F454="I"),-1,1)</f>
        <v>69555.62</v>
      </c>
      <c r="AO454" s="598" t="str">
        <f>+VLOOKUP($AJ454,Data_Validation!$A:$D,1,0)</f>
        <v>H22010</v>
      </c>
      <c r="AP454" s="598" t="str">
        <f>+VLOOKUP($AJ454,Data_Validation!$A:$D,3,0)</f>
        <v>Bilan</v>
      </c>
      <c r="AQ454" s="598" t="str">
        <f>+VLOOKUP($AJ454,Data_Validation!$A:$D,4,0)</f>
        <v>Taxes de Vente à Payer</v>
      </c>
      <c r="AR454" s="598" t="s">
        <v>299</v>
      </c>
      <c r="AS454" s="598">
        <f>+VLOOKUP($AJ454,Data_Validation!$A:$E,5,0)</f>
        <v>0</v>
      </c>
      <c r="AT454" s="1036" t="str">
        <f t="shared" si="45"/>
        <v>H22010</v>
      </c>
      <c r="AU454" s="599" t="str">
        <f t="shared" si="46"/>
        <v>RTI(TVQ) A RECEVOIR</v>
      </c>
      <c r="AV454" s="1030">
        <f>IFERROR(INDEX(V454:AG454,1,MATCH(Parametres!$B$3,V$1:AG$1,0)-1)*IF(OR(C454="L",C454="S",C454="I"),-1,1),"")</f>
        <v>0</v>
      </c>
      <c r="AW454" s="1030">
        <f t="shared" si="47"/>
        <v>0</v>
      </c>
      <c r="AX454" s="1030">
        <f>INDEX(V454:AG454,1,MATCH(Parametres!$B$3,V$1:AG$1,0))*IF(OR(C454="L",C454="S",C454="I"),-1,1)</f>
        <v>0</v>
      </c>
      <c r="AY454" s="598" t="s">
        <v>337</v>
      </c>
      <c r="AZ454" s="598">
        <f>+VLOOKUP($AJ454,Data_Validation!$A:$E,5,0)</f>
        <v>0</v>
      </c>
    </row>
    <row r="455" spans="1:52" ht="15" customHeight="1">
      <c r="A455" s="832" t="s">
        <v>1150</v>
      </c>
      <c r="B455" s="832">
        <v>2025</v>
      </c>
      <c r="C455" s="832" t="s">
        <v>2053</v>
      </c>
      <c r="D455" s="832" t="s">
        <v>2054</v>
      </c>
      <c r="E455" s="832" t="s">
        <v>333</v>
      </c>
      <c r="F455" s="832" t="s">
        <v>1153</v>
      </c>
      <c r="G455" s="832">
        <v>2992.5</v>
      </c>
      <c r="H455" s="832">
        <v>1206</v>
      </c>
      <c r="I455" s="832">
        <v>1696.5</v>
      </c>
      <c r="J455" s="832">
        <v>3636</v>
      </c>
      <c r="K455" s="832">
        <v>2619</v>
      </c>
      <c r="L455" s="832">
        <v>2047.5</v>
      </c>
      <c r="M455" s="832">
        <v>2191.5</v>
      </c>
      <c r="N455" s="832">
        <v>2479.5</v>
      </c>
      <c r="O455" s="832">
        <v>2299.5</v>
      </c>
      <c r="P455" s="832">
        <v>0</v>
      </c>
      <c r="Q455" s="832">
        <v>0</v>
      </c>
      <c r="R455" s="832">
        <v>0</v>
      </c>
      <c r="S455" s="832">
        <v>0</v>
      </c>
      <c r="T455" s="832">
        <v>0</v>
      </c>
      <c r="U455" s="832">
        <v>0</v>
      </c>
      <c r="V455" s="832">
        <v>0</v>
      </c>
      <c r="W455" s="832">
        <v>0</v>
      </c>
      <c r="X455" s="832">
        <v>0</v>
      </c>
      <c r="Y455" s="832">
        <v>0</v>
      </c>
      <c r="Z455" s="832">
        <v>0</v>
      </c>
      <c r="AA455" s="832">
        <v>0</v>
      </c>
      <c r="AB455" s="832">
        <v>0</v>
      </c>
      <c r="AC455" s="832">
        <v>0</v>
      </c>
      <c r="AD455" s="832">
        <v>0</v>
      </c>
      <c r="AE455" s="832">
        <v>0</v>
      </c>
      <c r="AF455" s="832">
        <v>0</v>
      </c>
      <c r="AG455" s="832">
        <v>0</v>
      </c>
      <c r="AH455" s="832">
        <v>0</v>
      </c>
      <c r="AI455" s="832">
        <v>0</v>
      </c>
      <c r="AJ455" s="1030" t="str">
        <f t="shared" si="42"/>
        <v>H22020</v>
      </c>
      <c r="AK455" s="1030" t="str">
        <f t="shared" si="43"/>
        <v>TAXES DE PNEUS</v>
      </c>
      <c r="AL455" s="1030">
        <f>IFERROR(INDEX(G455:R455,1,MATCH(Parametres!$B$3,G$1:R$1,0)-1)*IF(OR(F455="L",F455="S",F455="I"),-1,1),"")</f>
        <v>-3636</v>
      </c>
      <c r="AM455" s="1030">
        <f t="shared" si="44"/>
        <v>1017</v>
      </c>
      <c r="AN455" s="1030">
        <f>INDEX(G455:R455,1,MATCH(Parametres!$B$3,G$1:R$1,0))*IF(OR(F455="L",F455="S",F455="I"),-1,1)</f>
        <v>-2619</v>
      </c>
      <c r="AO455" s="598" t="str">
        <f>+VLOOKUP($AJ455,Data_Validation!$A:$D,1,0)</f>
        <v>H22020</v>
      </c>
      <c r="AP455" s="598" t="str">
        <f>+VLOOKUP($AJ455,Data_Validation!$A:$D,3,0)</f>
        <v>Bilan</v>
      </c>
      <c r="AQ455" s="598" t="str">
        <f>+VLOOKUP($AJ455,Data_Validation!$A:$D,4,0)</f>
        <v>Taxes de Vente à Payer</v>
      </c>
      <c r="AR455" s="598" t="s">
        <v>299</v>
      </c>
      <c r="AS455" s="598">
        <f>+VLOOKUP($AJ455,Data_Validation!$A:$E,5,0)</f>
        <v>0</v>
      </c>
      <c r="AT455" s="1036" t="str">
        <f t="shared" si="45"/>
        <v>H22020</v>
      </c>
      <c r="AU455" s="599" t="str">
        <f t="shared" si="46"/>
        <v>TAXES DE PNEUS</v>
      </c>
      <c r="AV455" s="1030">
        <f>IFERROR(INDEX(V455:AG455,1,MATCH(Parametres!$B$3,V$1:AG$1,0)-1)*IF(OR(C455="L",C455="S",C455="I"),-1,1),"")</f>
        <v>0</v>
      </c>
      <c r="AW455" s="1030">
        <f t="shared" si="47"/>
        <v>0</v>
      </c>
      <c r="AX455" s="1030">
        <f>INDEX(V455:AG455,1,MATCH(Parametres!$B$3,V$1:AG$1,0))*IF(OR(C455="L",C455="S",C455="I"),-1,1)</f>
        <v>0</v>
      </c>
      <c r="AY455" s="598" t="s">
        <v>337</v>
      </c>
      <c r="AZ455" s="598">
        <f>+VLOOKUP($AJ455,Data_Validation!$A:$E,5,0)</f>
        <v>0</v>
      </c>
    </row>
    <row r="456" spans="1:52" ht="15" customHeight="1">
      <c r="A456" s="832" t="s">
        <v>1150</v>
      </c>
      <c r="B456" s="832">
        <v>2025</v>
      </c>
      <c r="C456" s="832" t="s">
        <v>2055</v>
      </c>
      <c r="D456" s="832" t="s">
        <v>2056</v>
      </c>
      <c r="E456" s="832" t="s">
        <v>333</v>
      </c>
      <c r="F456" s="832" t="s">
        <v>1153</v>
      </c>
      <c r="G456" s="832">
        <v>20638.41</v>
      </c>
      <c r="H456" s="832">
        <v>20638.41</v>
      </c>
      <c r="I456" s="832">
        <v>20638.41</v>
      </c>
      <c r="J456" s="832">
        <v>-26178.11</v>
      </c>
      <c r="K456" s="832">
        <v>20638.41</v>
      </c>
      <c r="L456" s="832">
        <v>20638.41</v>
      </c>
      <c r="M456" s="832">
        <v>20638.41</v>
      </c>
      <c r="N456" s="832">
        <v>-29852.99</v>
      </c>
      <c r="O456" s="832">
        <v>-29852.99</v>
      </c>
      <c r="P456" s="832">
        <v>-44233.48</v>
      </c>
      <c r="Q456" s="832">
        <v>-34611.79</v>
      </c>
      <c r="R456" s="832">
        <v>77995.08</v>
      </c>
      <c r="S456" s="832">
        <v>0</v>
      </c>
      <c r="T456" s="832">
        <v>0</v>
      </c>
      <c r="U456" s="832">
        <v>0</v>
      </c>
      <c r="V456" s="832">
        <v>0</v>
      </c>
      <c r="W456" s="832">
        <v>0</v>
      </c>
      <c r="X456" s="832">
        <v>0</v>
      </c>
      <c r="Y456" s="832">
        <v>0</v>
      </c>
      <c r="Z456" s="832">
        <v>0</v>
      </c>
      <c r="AA456" s="832">
        <v>0</v>
      </c>
      <c r="AB456" s="832">
        <v>0</v>
      </c>
      <c r="AC456" s="832">
        <v>0</v>
      </c>
      <c r="AD456" s="832">
        <v>0</v>
      </c>
      <c r="AE456" s="832">
        <v>0</v>
      </c>
      <c r="AF456" s="832">
        <v>0</v>
      </c>
      <c r="AG456" s="832">
        <v>0</v>
      </c>
      <c r="AH456" s="832">
        <v>0</v>
      </c>
      <c r="AI456" s="832">
        <v>0</v>
      </c>
      <c r="AJ456" s="1030" t="str">
        <f t="shared" si="42"/>
        <v>H22050</v>
      </c>
      <c r="AK456" s="1030" t="str">
        <f t="shared" si="43"/>
        <v>TPS &amp; TVQ A RECEVOIR</v>
      </c>
      <c r="AL456" s="1030">
        <f>IFERROR(INDEX(G456:R456,1,MATCH(Parametres!$B$3,G$1:R$1,0)-1)*IF(OR(F456="L",F456="S",F456="I"),-1,1),"")</f>
        <v>26178.11</v>
      </c>
      <c r="AM456" s="1030">
        <f t="shared" si="44"/>
        <v>-46816.520000000004</v>
      </c>
      <c r="AN456" s="1030">
        <f>INDEX(G456:R456,1,MATCH(Parametres!$B$3,G$1:R$1,0))*IF(OR(F456="L",F456="S",F456="I"),-1,1)</f>
        <v>-20638.41</v>
      </c>
      <c r="AO456" s="598" t="str">
        <f>+VLOOKUP($AJ456,Data_Validation!$A:$D,1,0)</f>
        <v>H22050</v>
      </c>
      <c r="AP456" s="598" t="str">
        <f>+VLOOKUP($AJ456,Data_Validation!$A:$D,3,0)</f>
        <v>Bilan</v>
      </c>
      <c r="AQ456" s="598" t="str">
        <f>+VLOOKUP($AJ456,Data_Validation!$A:$D,4,0)</f>
        <v>Taxes de Vente à Payer</v>
      </c>
      <c r="AR456" s="598" t="s">
        <v>299</v>
      </c>
      <c r="AS456" s="598">
        <f>+VLOOKUP($AJ456,Data_Validation!$A:$E,5,0)</f>
        <v>0</v>
      </c>
      <c r="AT456" s="1036" t="str">
        <f t="shared" si="45"/>
        <v>H22050</v>
      </c>
      <c r="AU456" s="599" t="str">
        <f t="shared" si="46"/>
        <v>TPS &amp; TVQ A RECEVOIR</v>
      </c>
      <c r="AV456" s="1030">
        <f>IFERROR(INDEX(V456:AG456,1,MATCH(Parametres!$B$3,V$1:AG$1,0)-1)*IF(OR(C456="L",C456="S",C456="I"),-1,1),"")</f>
        <v>0</v>
      </c>
      <c r="AW456" s="1030">
        <f t="shared" si="47"/>
        <v>0</v>
      </c>
      <c r="AX456" s="1030">
        <f>INDEX(V456:AG456,1,MATCH(Parametres!$B$3,V$1:AG$1,0))*IF(OR(C456="L",C456="S",C456="I"),-1,1)</f>
        <v>0</v>
      </c>
      <c r="AY456" s="598" t="s">
        <v>337</v>
      </c>
      <c r="AZ456" s="598">
        <f>+VLOOKUP($AJ456,Data_Validation!$A:$E,5,0)</f>
        <v>0</v>
      </c>
    </row>
    <row r="457" spans="1:52" ht="15" customHeight="1">
      <c r="A457" s="832" t="s">
        <v>1150</v>
      </c>
      <c r="B457" s="832">
        <v>2025</v>
      </c>
      <c r="C457" s="832" t="s">
        <v>2057</v>
      </c>
      <c r="D457" s="832" t="s">
        <v>2058</v>
      </c>
      <c r="E457" s="832" t="s">
        <v>333</v>
      </c>
      <c r="F457" s="832" t="s">
        <v>1153</v>
      </c>
      <c r="G457" s="832">
        <v>-28226.32</v>
      </c>
      <c r="H457" s="832">
        <v>-28226.32</v>
      </c>
      <c r="I457" s="832">
        <v>-28226.32</v>
      </c>
      <c r="J457" s="832">
        <v>-28226.32</v>
      </c>
      <c r="K457" s="832">
        <v>-28226.32</v>
      </c>
      <c r="L457" s="832">
        <v>-28226.32</v>
      </c>
      <c r="M457" s="832">
        <v>-28226.32</v>
      </c>
      <c r="N457" s="832">
        <v>0</v>
      </c>
      <c r="O457" s="832">
        <v>0</v>
      </c>
      <c r="P457" s="832">
        <v>0</v>
      </c>
      <c r="Q457" s="832">
        <v>0</v>
      </c>
      <c r="R457" s="832">
        <v>0</v>
      </c>
      <c r="S457" s="832">
        <v>0</v>
      </c>
      <c r="T457" s="832">
        <v>0</v>
      </c>
      <c r="U457" s="832">
        <v>0</v>
      </c>
      <c r="V457" s="832">
        <v>0</v>
      </c>
      <c r="W457" s="832">
        <v>0</v>
      </c>
      <c r="X457" s="832">
        <v>0</v>
      </c>
      <c r="Y457" s="832">
        <v>0</v>
      </c>
      <c r="Z457" s="832">
        <v>0</v>
      </c>
      <c r="AA457" s="832">
        <v>0</v>
      </c>
      <c r="AB457" s="832">
        <v>0</v>
      </c>
      <c r="AC457" s="832">
        <v>0</v>
      </c>
      <c r="AD457" s="832">
        <v>0</v>
      </c>
      <c r="AE457" s="832">
        <v>0</v>
      </c>
      <c r="AF457" s="832">
        <v>0</v>
      </c>
      <c r="AG457" s="832">
        <v>0</v>
      </c>
      <c r="AH457" s="832">
        <v>0</v>
      </c>
      <c r="AI457" s="832">
        <v>0</v>
      </c>
      <c r="AJ457" s="1030" t="str">
        <f t="shared" si="42"/>
        <v>H22060</v>
      </c>
      <c r="AK457" s="1030" t="str">
        <f t="shared" si="43"/>
        <v>TPS &amp; TVQ A PAYER</v>
      </c>
      <c r="AL457" s="1030">
        <f>IFERROR(INDEX(G457:R457,1,MATCH(Parametres!$B$3,G$1:R$1,0)-1)*IF(OR(F457="L",F457="S",F457="I"),-1,1),"")</f>
        <v>28226.32</v>
      </c>
      <c r="AM457" s="1030">
        <f t="shared" si="44"/>
        <v>0</v>
      </c>
      <c r="AN457" s="1030">
        <f>INDEX(G457:R457,1,MATCH(Parametres!$B$3,G$1:R$1,0))*IF(OR(F457="L",F457="S",F457="I"),-1,1)</f>
        <v>28226.32</v>
      </c>
      <c r="AO457" s="598" t="str">
        <f>+VLOOKUP($AJ457,Data_Validation!$A:$D,1,0)</f>
        <v>H22060</v>
      </c>
      <c r="AP457" s="598" t="str">
        <f>+VLOOKUP($AJ457,Data_Validation!$A:$D,3,0)</f>
        <v>Bilan</v>
      </c>
      <c r="AQ457" s="598" t="str">
        <f>+VLOOKUP($AJ457,Data_Validation!$A:$D,4,0)</f>
        <v>Taxes de Vente à Payer</v>
      </c>
      <c r="AR457" s="598" t="s">
        <v>299</v>
      </c>
      <c r="AS457" s="598">
        <f>+VLOOKUP($AJ457,Data_Validation!$A:$E,5,0)</f>
        <v>0</v>
      </c>
      <c r="AT457" s="1036" t="str">
        <f t="shared" si="45"/>
        <v>H22060</v>
      </c>
      <c r="AU457" s="599" t="str">
        <f t="shared" si="46"/>
        <v>TPS &amp; TVQ A PAYER</v>
      </c>
      <c r="AV457" s="1030">
        <f>IFERROR(INDEX(V457:AG457,1,MATCH(Parametres!$B$3,V$1:AG$1,0)-1)*IF(OR(C457="L",C457="S",C457="I"),-1,1),"")</f>
        <v>0</v>
      </c>
      <c r="AW457" s="1030">
        <f t="shared" si="47"/>
        <v>0</v>
      </c>
      <c r="AX457" s="1030">
        <f>INDEX(V457:AG457,1,MATCH(Parametres!$B$3,V$1:AG$1,0))*IF(OR(C457="L",C457="S",C457="I"),-1,1)</f>
        <v>0</v>
      </c>
      <c r="AY457" s="598" t="s">
        <v>337</v>
      </c>
      <c r="AZ457" s="598">
        <f>+VLOOKUP($AJ457,Data_Validation!$A:$E,5,0)</f>
        <v>0</v>
      </c>
    </row>
    <row r="458" spans="1:52" ht="15" customHeight="1">
      <c r="A458" s="832" t="s">
        <v>1150</v>
      </c>
      <c r="B458" s="832">
        <v>2025</v>
      </c>
      <c r="C458" s="832" t="s">
        <v>2059</v>
      </c>
      <c r="D458" s="832" t="s">
        <v>2060</v>
      </c>
      <c r="E458" s="832" t="s">
        <v>333</v>
      </c>
      <c r="F458" s="832" t="s">
        <v>1153</v>
      </c>
      <c r="G458" s="832">
        <v>3281.58</v>
      </c>
      <c r="H458" s="832">
        <v>2187</v>
      </c>
      <c r="I458" s="832">
        <v>1702.26</v>
      </c>
      <c r="J458" s="832">
        <v>2468.0700000000002</v>
      </c>
      <c r="K458" s="832">
        <v>3333.96</v>
      </c>
      <c r="L458" s="832">
        <v>1984.59</v>
      </c>
      <c r="M458" s="832">
        <v>1689.39</v>
      </c>
      <c r="N458" s="832">
        <v>2488.14</v>
      </c>
      <c r="O458" s="832">
        <v>1183.77</v>
      </c>
      <c r="P458" s="832">
        <v>0</v>
      </c>
      <c r="Q458" s="832">
        <v>0</v>
      </c>
      <c r="R458" s="832">
        <v>0</v>
      </c>
      <c r="S458" s="832">
        <v>0</v>
      </c>
      <c r="T458" s="832">
        <v>0</v>
      </c>
      <c r="U458" s="832">
        <v>0</v>
      </c>
      <c r="V458" s="832">
        <v>0</v>
      </c>
      <c r="W458" s="832">
        <v>0</v>
      </c>
      <c r="X458" s="832">
        <v>0</v>
      </c>
      <c r="Y458" s="832">
        <v>0</v>
      </c>
      <c r="Z458" s="832">
        <v>0</v>
      </c>
      <c r="AA458" s="832">
        <v>0</v>
      </c>
      <c r="AB458" s="832">
        <v>0</v>
      </c>
      <c r="AC458" s="832">
        <v>0</v>
      </c>
      <c r="AD458" s="832">
        <v>0</v>
      </c>
      <c r="AE458" s="832">
        <v>0</v>
      </c>
      <c r="AF458" s="832">
        <v>0</v>
      </c>
      <c r="AG458" s="832">
        <v>0</v>
      </c>
      <c r="AH458" s="832">
        <v>0</v>
      </c>
      <c r="AI458" s="832">
        <v>0</v>
      </c>
      <c r="AJ458" s="1030" t="str">
        <f t="shared" si="42"/>
        <v>H22070</v>
      </c>
      <c r="AK458" s="1030" t="str">
        <f t="shared" si="43"/>
        <v>TPA - ASS REMPLACEMENT</v>
      </c>
      <c r="AL458" s="1030">
        <f>IFERROR(INDEX(G458:R458,1,MATCH(Parametres!$B$3,G$1:R$1,0)-1)*IF(OR(F458="L",F458="S",F458="I"),-1,1),"")</f>
        <v>-2468.0700000000002</v>
      </c>
      <c r="AM458" s="1030">
        <f t="shared" si="44"/>
        <v>-865.88999999999987</v>
      </c>
      <c r="AN458" s="1030">
        <f>INDEX(G458:R458,1,MATCH(Parametres!$B$3,G$1:R$1,0))*IF(OR(F458="L",F458="S",F458="I"),-1,1)</f>
        <v>-3333.96</v>
      </c>
      <c r="AO458" s="598" t="str">
        <f>+VLOOKUP($AJ458,Data_Validation!$A:$D,1,0)</f>
        <v>H22070</v>
      </c>
      <c r="AP458" s="598" t="str">
        <f>+VLOOKUP($AJ458,Data_Validation!$A:$D,3,0)</f>
        <v>Bilan</v>
      </c>
      <c r="AQ458" s="598" t="str">
        <f>+VLOOKUP($AJ458,Data_Validation!$A:$D,4,0)</f>
        <v>Taxes de Vente à Payer</v>
      </c>
      <c r="AR458" s="598" t="s">
        <v>299</v>
      </c>
      <c r="AS458" s="598">
        <f>+VLOOKUP($AJ458,Data_Validation!$A:$E,5,0)</f>
        <v>0</v>
      </c>
      <c r="AT458" s="1036" t="str">
        <f t="shared" si="45"/>
        <v>H22070</v>
      </c>
      <c r="AU458" s="599" t="str">
        <f t="shared" si="46"/>
        <v>TPA - ASS REMPLACEMENT</v>
      </c>
      <c r="AV458" s="1030">
        <f>IFERROR(INDEX(V458:AG458,1,MATCH(Parametres!$B$3,V$1:AG$1,0)-1)*IF(OR(C458="L",C458="S",C458="I"),-1,1),"")</f>
        <v>0</v>
      </c>
      <c r="AW458" s="1030">
        <f t="shared" si="47"/>
        <v>0</v>
      </c>
      <c r="AX458" s="1030">
        <f>INDEX(V458:AG458,1,MATCH(Parametres!$B$3,V$1:AG$1,0))*IF(OR(C458="L",C458="S",C458="I"),-1,1)</f>
        <v>0</v>
      </c>
      <c r="AY458" s="598" t="s">
        <v>337</v>
      </c>
      <c r="AZ458" s="598">
        <f>+VLOOKUP($AJ458,Data_Validation!$A:$E,5,0)</f>
        <v>0</v>
      </c>
    </row>
    <row r="459" spans="1:52" ht="15" customHeight="1">
      <c r="A459" s="832" t="s">
        <v>1150</v>
      </c>
      <c r="B459" s="832">
        <v>2025</v>
      </c>
      <c r="C459" s="832" t="s">
        <v>2061</v>
      </c>
      <c r="D459" s="832" t="s">
        <v>2062</v>
      </c>
      <c r="E459" s="832" t="s">
        <v>336</v>
      </c>
      <c r="F459" s="832" t="s">
        <v>1153</v>
      </c>
      <c r="G459" s="832">
        <v>0</v>
      </c>
      <c r="H459" s="832">
        <v>4669.55</v>
      </c>
      <c r="I459" s="832">
        <v>2864.27</v>
      </c>
      <c r="J459" s="832">
        <v>3483.87</v>
      </c>
      <c r="K459" s="832">
        <v>25804.52</v>
      </c>
      <c r="L459" s="832">
        <v>1140.54</v>
      </c>
      <c r="M459" s="832">
        <v>1543.82</v>
      </c>
      <c r="N459" s="832">
        <v>4960.37</v>
      </c>
      <c r="O459" s="832">
        <v>0</v>
      </c>
      <c r="P459" s="832">
        <v>-4712.99</v>
      </c>
      <c r="Q459" s="832">
        <v>-7998.9</v>
      </c>
      <c r="R459" s="832">
        <v>2044.88</v>
      </c>
      <c r="S459" s="832">
        <v>0</v>
      </c>
      <c r="T459" s="832">
        <v>0</v>
      </c>
      <c r="U459" s="832">
        <v>0</v>
      </c>
      <c r="V459" s="832">
        <v>0</v>
      </c>
      <c r="W459" s="832">
        <v>0</v>
      </c>
      <c r="X459" s="832">
        <v>0</v>
      </c>
      <c r="Y459" s="832">
        <v>0</v>
      </c>
      <c r="Z459" s="832">
        <v>0</v>
      </c>
      <c r="AA459" s="832">
        <v>0</v>
      </c>
      <c r="AB459" s="832">
        <v>0</v>
      </c>
      <c r="AC459" s="832">
        <v>0</v>
      </c>
      <c r="AD459" s="832">
        <v>0</v>
      </c>
      <c r="AE459" s="832">
        <v>0</v>
      </c>
      <c r="AF459" s="832">
        <v>0</v>
      </c>
      <c r="AG459" s="832">
        <v>0</v>
      </c>
      <c r="AH459" s="832">
        <v>0</v>
      </c>
      <c r="AI459" s="832">
        <v>0</v>
      </c>
      <c r="AJ459" s="1030" t="str">
        <f t="shared" si="42"/>
        <v>H22080</v>
      </c>
      <c r="AK459" s="1030" t="str">
        <f t="shared" si="43"/>
        <v>TVQ SAAQ</v>
      </c>
      <c r="AL459" s="1030">
        <f>IFERROR(INDEX(G459:R459,1,MATCH(Parametres!$B$3,G$1:R$1,0)-1)*IF(OR(F459="L",F459="S",F459="I"),-1,1),"")</f>
        <v>-3483.87</v>
      </c>
      <c r="AM459" s="1030">
        <f t="shared" si="44"/>
        <v>-22320.65</v>
      </c>
      <c r="AN459" s="1030">
        <f>INDEX(G459:R459,1,MATCH(Parametres!$B$3,G$1:R$1,0))*IF(OR(F459="L",F459="S",F459="I"),-1,1)</f>
        <v>-25804.52</v>
      </c>
      <c r="AO459" s="598" t="str">
        <f>+VLOOKUP($AJ459,Data_Validation!$A:$D,1,0)</f>
        <v>H22080</v>
      </c>
      <c r="AP459" s="598" t="str">
        <f>+VLOOKUP($AJ459,Data_Validation!$A:$D,3,0)</f>
        <v>Bilan</v>
      </c>
      <c r="AQ459" s="598" t="str">
        <f>+VLOOKUP($AJ459,Data_Validation!$A:$D,4,0)</f>
        <v>Taxes de Vente à Payer</v>
      </c>
      <c r="AR459" s="598" t="s">
        <v>299</v>
      </c>
      <c r="AS459" s="598">
        <f>+VLOOKUP($AJ459,Data_Validation!$A:$E,5,0)</f>
        <v>0</v>
      </c>
      <c r="AT459" s="1036" t="str">
        <f t="shared" si="45"/>
        <v>H22080</v>
      </c>
      <c r="AU459" s="599" t="str">
        <f t="shared" si="46"/>
        <v>TVQ SAAQ</v>
      </c>
      <c r="AV459" s="1030">
        <f>IFERROR(INDEX(V459:AG459,1,MATCH(Parametres!$B$3,V$1:AG$1,0)-1)*IF(OR(C459="L",C459="S",C459="I"),-1,1),"")</f>
        <v>0</v>
      </c>
      <c r="AW459" s="1030">
        <f t="shared" si="47"/>
        <v>0</v>
      </c>
      <c r="AX459" s="1030">
        <f>INDEX(V459:AG459,1,MATCH(Parametres!$B$3,V$1:AG$1,0))*IF(OR(C459="L",C459="S",C459="I"),-1,1)</f>
        <v>0</v>
      </c>
      <c r="AY459" s="598" t="s">
        <v>337</v>
      </c>
      <c r="AZ459" s="598">
        <f>+VLOOKUP($AJ459,Data_Validation!$A:$E,5,0)</f>
        <v>0</v>
      </c>
    </row>
    <row r="460" spans="1:52" ht="15" customHeight="1">
      <c r="A460" s="832" t="s">
        <v>1150</v>
      </c>
      <c r="B460" s="832">
        <v>2025</v>
      </c>
      <c r="C460" s="832" t="s">
        <v>2063</v>
      </c>
      <c r="D460" s="832" t="s">
        <v>2064</v>
      </c>
      <c r="E460" s="832" t="s">
        <v>2028</v>
      </c>
      <c r="F460" s="832" t="s">
        <v>1153</v>
      </c>
      <c r="G460" s="832">
        <v>143613.9</v>
      </c>
      <c r="H460" s="832">
        <v>93416.48</v>
      </c>
      <c r="I460" s="832">
        <v>40333.910000000003</v>
      </c>
      <c r="J460" s="832">
        <v>28579.45</v>
      </c>
      <c r="K460" s="832">
        <v>13832.44</v>
      </c>
      <c r="L460" s="832">
        <v>13464.41</v>
      </c>
      <c r="M460" s="832">
        <v>13520.49</v>
      </c>
      <c r="N460" s="832">
        <v>26815.88</v>
      </c>
      <c r="O460" s="832">
        <v>18116.89</v>
      </c>
      <c r="P460" s="832">
        <v>7189.78</v>
      </c>
      <c r="Q460" s="832">
        <v>7322.56</v>
      </c>
      <c r="R460" s="832">
        <v>7656.51</v>
      </c>
      <c r="S460" s="832">
        <v>0</v>
      </c>
      <c r="T460" s="832">
        <v>0</v>
      </c>
      <c r="U460" s="832">
        <v>0</v>
      </c>
      <c r="V460" s="832">
        <v>0</v>
      </c>
      <c r="W460" s="832">
        <v>0</v>
      </c>
      <c r="X460" s="832">
        <v>0</v>
      </c>
      <c r="Y460" s="832">
        <v>0</v>
      </c>
      <c r="Z460" s="832">
        <v>0</v>
      </c>
      <c r="AA460" s="832">
        <v>0</v>
      </c>
      <c r="AB460" s="832">
        <v>0</v>
      </c>
      <c r="AC460" s="832">
        <v>0</v>
      </c>
      <c r="AD460" s="832">
        <v>0</v>
      </c>
      <c r="AE460" s="832">
        <v>0</v>
      </c>
      <c r="AF460" s="832">
        <v>0</v>
      </c>
      <c r="AG460" s="832">
        <v>0</v>
      </c>
      <c r="AH460" s="832">
        <v>0</v>
      </c>
      <c r="AI460" s="832">
        <v>0</v>
      </c>
      <c r="AJ460" s="1030" t="str">
        <f t="shared" si="42"/>
        <v>H22100</v>
      </c>
      <c r="AK460" s="1030" t="str">
        <f t="shared" si="43"/>
        <v>COMMISSIONS VENDEURS</v>
      </c>
      <c r="AL460" s="1030">
        <f>IFERROR(INDEX(G460:R460,1,MATCH(Parametres!$B$3,G$1:R$1,0)-1)*IF(OR(F460="L",F460="S",F460="I"),-1,1),"")</f>
        <v>-28579.45</v>
      </c>
      <c r="AM460" s="1030">
        <f t="shared" si="44"/>
        <v>14747.01</v>
      </c>
      <c r="AN460" s="1030">
        <f>INDEX(G460:R460,1,MATCH(Parametres!$B$3,G$1:R$1,0))*IF(OR(F460="L",F460="S",F460="I"),-1,1)</f>
        <v>-13832.44</v>
      </c>
      <c r="AO460" s="598" t="str">
        <f>+VLOOKUP($AJ460,Data_Validation!$A:$D,1,0)</f>
        <v>H22100</v>
      </c>
      <c r="AP460" s="598" t="str">
        <f>+VLOOKUP($AJ460,Data_Validation!$A:$D,3,0)</f>
        <v>Bilan</v>
      </c>
      <c r="AQ460" s="598" t="str">
        <f>+VLOOKUP($AJ460,Data_Validation!$A:$D,4,0)</f>
        <v>Salaires à Payer</v>
      </c>
      <c r="AR460" s="598" t="s">
        <v>299</v>
      </c>
      <c r="AS460" s="598">
        <f>+VLOOKUP($AJ460,Data_Validation!$A:$E,5,0)</f>
        <v>0</v>
      </c>
      <c r="AT460" s="1036" t="str">
        <f t="shared" si="45"/>
        <v>H22100</v>
      </c>
      <c r="AU460" s="599" t="str">
        <f t="shared" si="46"/>
        <v>COMMISSIONS VENDEURS</v>
      </c>
      <c r="AV460" s="1030">
        <f>IFERROR(INDEX(V460:AG460,1,MATCH(Parametres!$B$3,V$1:AG$1,0)-1)*IF(OR(C460="L",C460="S",C460="I"),-1,1),"")</f>
        <v>0</v>
      </c>
      <c r="AW460" s="1030">
        <f t="shared" si="47"/>
        <v>0</v>
      </c>
      <c r="AX460" s="1030">
        <f>INDEX(V460:AG460,1,MATCH(Parametres!$B$3,V$1:AG$1,0))*IF(OR(C460="L",C460="S",C460="I"),-1,1)</f>
        <v>0</v>
      </c>
      <c r="AY460" s="598" t="s">
        <v>337</v>
      </c>
      <c r="AZ460" s="598">
        <f>+VLOOKUP($AJ460,Data_Validation!$A:$E,5,0)</f>
        <v>0</v>
      </c>
    </row>
    <row r="461" spans="1:52" ht="15" customHeight="1">
      <c r="A461" s="832" t="s">
        <v>1150</v>
      </c>
      <c r="B461" s="832">
        <v>2025</v>
      </c>
      <c r="C461" s="832" t="s">
        <v>2065</v>
      </c>
      <c r="D461" s="832" t="s">
        <v>2066</v>
      </c>
      <c r="E461" s="832" t="s">
        <v>2028</v>
      </c>
      <c r="F461" s="832" t="s">
        <v>1153</v>
      </c>
      <c r="G461" s="832">
        <v>0</v>
      </c>
      <c r="H461" s="832">
        <v>0</v>
      </c>
      <c r="I461" s="832">
        <v>57575.24</v>
      </c>
      <c r="J461" s="832">
        <v>194260.68</v>
      </c>
      <c r="K461" s="832">
        <v>118117.93</v>
      </c>
      <c r="L461" s="832">
        <v>70636.13</v>
      </c>
      <c r="M461" s="832">
        <v>82288.289999999994</v>
      </c>
      <c r="N461" s="832">
        <v>115294.91</v>
      </c>
      <c r="O461" s="832">
        <v>117348.54</v>
      </c>
      <c r="P461" s="832">
        <v>80591.89</v>
      </c>
      <c r="Q461" s="832">
        <v>101308.81</v>
      </c>
      <c r="R461" s="832">
        <v>89793.61</v>
      </c>
      <c r="S461" s="832">
        <v>0</v>
      </c>
      <c r="T461" s="832">
        <v>0</v>
      </c>
      <c r="U461" s="832">
        <v>0</v>
      </c>
      <c r="V461" s="832">
        <v>0</v>
      </c>
      <c r="W461" s="832">
        <v>0</v>
      </c>
      <c r="X461" s="832">
        <v>0</v>
      </c>
      <c r="Y461" s="832">
        <v>0</v>
      </c>
      <c r="Z461" s="832">
        <v>0</v>
      </c>
      <c r="AA461" s="832">
        <v>0</v>
      </c>
      <c r="AB461" s="832">
        <v>0</v>
      </c>
      <c r="AC461" s="832">
        <v>0</v>
      </c>
      <c r="AD461" s="832">
        <v>0</v>
      </c>
      <c r="AE461" s="832">
        <v>0</v>
      </c>
      <c r="AF461" s="832">
        <v>0</v>
      </c>
      <c r="AG461" s="832">
        <v>0</v>
      </c>
      <c r="AH461" s="832">
        <v>0</v>
      </c>
      <c r="AI461" s="832">
        <v>0</v>
      </c>
      <c r="AJ461" s="1030" t="str">
        <f t="shared" si="42"/>
        <v>H22101</v>
      </c>
      <c r="AK461" s="1030" t="str">
        <f t="shared" si="43"/>
        <v>BONI A PAYER</v>
      </c>
      <c r="AL461" s="1030">
        <f>IFERROR(INDEX(G461:R461,1,MATCH(Parametres!$B$3,G$1:R$1,0)-1)*IF(OR(F461="L",F461="S",F461="I"),-1,1),"")</f>
        <v>-194260.68</v>
      </c>
      <c r="AM461" s="1030">
        <f t="shared" si="44"/>
        <v>76142.75</v>
      </c>
      <c r="AN461" s="1030">
        <f>INDEX(G461:R461,1,MATCH(Parametres!$B$3,G$1:R$1,0))*IF(OR(F461="L",F461="S",F461="I"),-1,1)</f>
        <v>-118117.93</v>
      </c>
      <c r="AO461" s="598" t="str">
        <f>+VLOOKUP($AJ461,Data_Validation!$A:$D,1,0)</f>
        <v>H22101</v>
      </c>
      <c r="AP461" s="598" t="str">
        <f>+VLOOKUP($AJ461,Data_Validation!$A:$D,3,0)</f>
        <v>Bilan</v>
      </c>
      <c r="AQ461" s="598" t="str">
        <f>+VLOOKUP($AJ461,Data_Validation!$A:$D,4,0)</f>
        <v>Salaires à Payer</v>
      </c>
      <c r="AR461" s="598" t="s">
        <v>299</v>
      </c>
      <c r="AS461" s="598">
        <f>+VLOOKUP($AJ461,Data_Validation!$A:$E,5,0)</f>
        <v>0</v>
      </c>
      <c r="AT461" s="1036" t="str">
        <f t="shared" si="45"/>
        <v>H22101</v>
      </c>
      <c r="AU461" s="599" t="str">
        <f t="shared" si="46"/>
        <v>BONI A PAYER</v>
      </c>
      <c r="AV461" s="1030">
        <f>IFERROR(INDEX(V461:AG461,1,MATCH(Parametres!$B$3,V$1:AG$1,0)-1)*IF(OR(C461="L",C461="S",C461="I"),-1,1),"")</f>
        <v>0</v>
      </c>
      <c r="AW461" s="1030">
        <f t="shared" si="47"/>
        <v>0</v>
      </c>
      <c r="AX461" s="1030">
        <f>INDEX(V461:AG461,1,MATCH(Parametres!$B$3,V$1:AG$1,0))*IF(OR(C461="L",C461="S",C461="I"),-1,1)</f>
        <v>0</v>
      </c>
      <c r="AY461" s="598" t="s">
        <v>337</v>
      </c>
      <c r="AZ461" s="598">
        <f>+VLOOKUP($AJ461,Data_Validation!$A:$E,5,0)</f>
        <v>0</v>
      </c>
    </row>
    <row r="462" spans="1:52" ht="15" customHeight="1">
      <c r="A462" s="832" t="s">
        <v>1150</v>
      </c>
      <c r="B462" s="832">
        <v>2025</v>
      </c>
      <c r="C462" s="832" t="s">
        <v>2067</v>
      </c>
      <c r="D462" s="832" t="s">
        <v>2068</v>
      </c>
      <c r="E462" s="832" t="s">
        <v>2028</v>
      </c>
      <c r="F462" s="832" t="s">
        <v>1153</v>
      </c>
      <c r="G462" s="832">
        <v>33122.949999999997</v>
      </c>
      <c r="H462" s="832">
        <v>24214.9</v>
      </c>
      <c r="I462" s="832">
        <v>16222.9</v>
      </c>
      <c r="J462" s="832">
        <v>25652.25</v>
      </c>
      <c r="K462" s="832">
        <v>13447.95</v>
      </c>
      <c r="L462" s="832">
        <v>17626.28</v>
      </c>
      <c r="M462" s="832">
        <v>14093.81</v>
      </c>
      <c r="N462" s="832">
        <v>24849.31</v>
      </c>
      <c r="O462" s="832">
        <v>18129.23</v>
      </c>
      <c r="P462" s="832">
        <v>8251.33</v>
      </c>
      <c r="Q462" s="832">
        <v>8162.05</v>
      </c>
      <c r="R462" s="832">
        <v>6439.53</v>
      </c>
      <c r="S462" s="832">
        <v>0</v>
      </c>
      <c r="T462" s="832">
        <v>0</v>
      </c>
      <c r="U462" s="832">
        <v>0</v>
      </c>
      <c r="V462" s="832">
        <v>0</v>
      </c>
      <c r="W462" s="832">
        <v>0</v>
      </c>
      <c r="X462" s="832">
        <v>0</v>
      </c>
      <c r="Y462" s="832">
        <v>0</v>
      </c>
      <c r="Z462" s="832">
        <v>0</v>
      </c>
      <c r="AA462" s="832">
        <v>0</v>
      </c>
      <c r="AB462" s="832">
        <v>0</v>
      </c>
      <c r="AC462" s="832">
        <v>0</v>
      </c>
      <c r="AD462" s="832">
        <v>0</v>
      </c>
      <c r="AE462" s="832">
        <v>0</v>
      </c>
      <c r="AF462" s="832">
        <v>0</v>
      </c>
      <c r="AG462" s="832">
        <v>0</v>
      </c>
      <c r="AH462" s="832">
        <v>0</v>
      </c>
      <c r="AI462" s="832">
        <v>0</v>
      </c>
      <c r="AJ462" s="1030" t="str">
        <f t="shared" si="42"/>
        <v>H22110</v>
      </c>
      <c r="AK462" s="1030" t="str">
        <f t="shared" si="43"/>
        <v>COMMISSIONS F&amp;I</v>
      </c>
      <c r="AL462" s="1030">
        <f>IFERROR(INDEX(G462:R462,1,MATCH(Parametres!$B$3,G$1:R$1,0)-1)*IF(OR(F462="L",F462="S",F462="I"),-1,1),"")</f>
        <v>-25652.25</v>
      </c>
      <c r="AM462" s="1030">
        <f t="shared" si="44"/>
        <v>12204.3</v>
      </c>
      <c r="AN462" s="1030">
        <f>INDEX(G462:R462,1,MATCH(Parametres!$B$3,G$1:R$1,0))*IF(OR(F462="L",F462="S",F462="I"),-1,1)</f>
        <v>-13447.95</v>
      </c>
      <c r="AO462" s="598" t="str">
        <f>+VLOOKUP($AJ462,Data_Validation!$A:$D,1,0)</f>
        <v>H22110</v>
      </c>
      <c r="AP462" s="598" t="str">
        <f>+VLOOKUP($AJ462,Data_Validation!$A:$D,3,0)</f>
        <v>Bilan</v>
      </c>
      <c r="AQ462" s="598" t="str">
        <f>+VLOOKUP($AJ462,Data_Validation!$A:$D,4,0)</f>
        <v>Salaires à Payer</v>
      </c>
      <c r="AR462" s="598" t="s">
        <v>299</v>
      </c>
      <c r="AS462" s="598">
        <f>+VLOOKUP($AJ462,Data_Validation!$A:$E,5,0)</f>
        <v>0</v>
      </c>
      <c r="AT462" s="1036" t="str">
        <f t="shared" si="45"/>
        <v>H22110</v>
      </c>
      <c r="AU462" s="599" t="str">
        <f t="shared" si="46"/>
        <v>COMMISSIONS F&amp;I</v>
      </c>
      <c r="AV462" s="1030">
        <f>IFERROR(INDEX(V462:AG462,1,MATCH(Parametres!$B$3,V$1:AG$1,0)-1)*IF(OR(C462="L",C462="S",C462="I"),-1,1),"")</f>
        <v>0</v>
      </c>
      <c r="AW462" s="1030">
        <f t="shared" si="47"/>
        <v>0</v>
      </c>
      <c r="AX462" s="1030">
        <f>INDEX(V462:AG462,1,MATCH(Parametres!$B$3,V$1:AG$1,0))*IF(OR(C462="L",C462="S",C462="I"),-1,1)</f>
        <v>0</v>
      </c>
      <c r="AY462" s="598" t="s">
        <v>337</v>
      </c>
      <c r="AZ462" s="598">
        <f>+VLOOKUP($AJ462,Data_Validation!$A:$E,5,0)</f>
        <v>0</v>
      </c>
    </row>
    <row r="463" spans="1:52" ht="15" customHeight="1">
      <c r="A463" s="832" t="s">
        <v>1150</v>
      </c>
      <c r="B463" s="832">
        <v>2025</v>
      </c>
      <c r="C463" s="832" t="s">
        <v>2069</v>
      </c>
      <c r="D463" s="832" t="s">
        <v>2070</v>
      </c>
      <c r="E463" s="832" t="s">
        <v>2028</v>
      </c>
      <c r="F463" s="832" t="s">
        <v>1153</v>
      </c>
      <c r="G463" s="832">
        <v>0</v>
      </c>
      <c r="H463" s="832">
        <v>0</v>
      </c>
      <c r="I463" s="832">
        <v>0</v>
      </c>
      <c r="J463" s="832">
        <v>0</v>
      </c>
      <c r="K463" s="832">
        <v>0</v>
      </c>
      <c r="L463" s="832">
        <v>0</v>
      </c>
      <c r="M463" s="832">
        <v>0</v>
      </c>
      <c r="N463" s="832">
        <v>0</v>
      </c>
      <c r="O463" s="832">
        <v>0</v>
      </c>
      <c r="P463" s="832">
        <v>0</v>
      </c>
      <c r="Q463" s="832">
        <v>0</v>
      </c>
      <c r="R463" s="832">
        <v>0</v>
      </c>
      <c r="S463" s="832">
        <v>0</v>
      </c>
      <c r="T463" s="832">
        <v>0</v>
      </c>
      <c r="U463" s="832">
        <v>0</v>
      </c>
      <c r="V463" s="832">
        <v>0</v>
      </c>
      <c r="W463" s="832">
        <v>0</v>
      </c>
      <c r="X463" s="832">
        <v>0</v>
      </c>
      <c r="Y463" s="832">
        <v>0</v>
      </c>
      <c r="Z463" s="832">
        <v>0</v>
      </c>
      <c r="AA463" s="832">
        <v>0</v>
      </c>
      <c r="AB463" s="832">
        <v>0</v>
      </c>
      <c r="AC463" s="832">
        <v>0</v>
      </c>
      <c r="AD463" s="832">
        <v>0</v>
      </c>
      <c r="AE463" s="832">
        <v>0</v>
      </c>
      <c r="AF463" s="832">
        <v>0</v>
      </c>
      <c r="AG463" s="832">
        <v>0</v>
      </c>
      <c r="AH463" s="832">
        <v>0</v>
      </c>
      <c r="AI463" s="832">
        <v>0</v>
      </c>
      <c r="AJ463" s="1030" t="str">
        <f t="shared" si="42"/>
        <v>H22120</v>
      </c>
      <c r="AK463" s="1030" t="str">
        <f t="shared" si="43"/>
        <v>COMM. A PAYER FORTUNE</v>
      </c>
      <c r="AL463" s="1030">
        <f>IFERROR(INDEX(G463:R463,1,MATCH(Parametres!$B$3,G$1:R$1,0)-1)*IF(OR(F463="L",F463="S",F463="I"),-1,1),"")</f>
        <v>0</v>
      </c>
      <c r="AM463" s="1030">
        <f t="shared" si="44"/>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t="str">
        <f t="shared" si="45"/>
        <v>H22120</v>
      </c>
      <c r="AU463" s="599" t="str">
        <f t="shared" si="46"/>
        <v>COMM. A PAYER FORTUNE</v>
      </c>
      <c r="AV463" s="1030">
        <f>IFERROR(INDEX(V463:AG463,1,MATCH(Parametres!$B$3,V$1:AG$1,0)-1)*IF(OR(C463="L",C463="S",C463="I"),-1,1),"")</f>
        <v>0</v>
      </c>
      <c r="AW463" s="1030">
        <f t="shared" si="47"/>
        <v>0</v>
      </c>
      <c r="AX463" s="1030">
        <f>INDEX(V463:AG463,1,MATCH(Parametres!$B$3,V$1:AG$1,0))*IF(OR(C463="L",C463="S",C463="I"),-1,1)</f>
        <v>0</v>
      </c>
      <c r="AY463" s="598" t="s">
        <v>337</v>
      </c>
      <c r="AZ463" s="598" t="e">
        <f>+VLOOKUP($AJ463,Data_Validation!$A:$E,5,0)</f>
        <v>#N/A</v>
      </c>
    </row>
    <row r="464" spans="1:52" ht="15" customHeight="1">
      <c r="A464" s="832" t="s">
        <v>1150</v>
      </c>
      <c r="B464" s="832">
        <v>2025</v>
      </c>
      <c r="C464" s="832" t="s">
        <v>2071</v>
      </c>
      <c r="D464" s="832" t="s">
        <v>2072</v>
      </c>
      <c r="E464" s="832" t="s">
        <v>1854</v>
      </c>
      <c r="F464" s="832" t="s">
        <v>1153</v>
      </c>
      <c r="G464" s="832">
        <v>22267.759999999998</v>
      </c>
      <c r="H464" s="832">
        <v>20053.2</v>
      </c>
      <c r="I464" s="832">
        <v>20704.57</v>
      </c>
      <c r="J464" s="832">
        <v>16240.82</v>
      </c>
      <c r="K464" s="832">
        <v>15753.2</v>
      </c>
      <c r="L464" s="832">
        <v>13353.2</v>
      </c>
      <c r="M464" s="832">
        <v>13153.2</v>
      </c>
      <c r="N464" s="832">
        <v>13762.85</v>
      </c>
      <c r="O464" s="832">
        <v>13030.24</v>
      </c>
      <c r="P464" s="832">
        <v>13026.94</v>
      </c>
      <c r="Q464" s="832">
        <v>251117.15</v>
      </c>
      <c r="R464" s="832">
        <v>3266.15</v>
      </c>
      <c r="S464" s="832">
        <v>0</v>
      </c>
      <c r="T464" s="832">
        <v>0</v>
      </c>
      <c r="U464" s="832">
        <v>0</v>
      </c>
      <c r="V464" s="832">
        <v>0</v>
      </c>
      <c r="W464" s="832">
        <v>0</v>
      </c>
      <c r="X464" s="832">
        <v>0</v>
      </c>
      <c r="Y464" s="832">
        <v>0</v>
      </c>
      <c r="Z464" s="832">
        <v>0</v>
      </c>
      <c r="AA464" s="832">
        <v>0</v>
      </c>
      <c r="AB464" s="832">
        <v>0</v>
      </c>
      <c r="AC464" s="832">
        <v>0</v>
      </c>
      <c r="AD464" s="832">
        <v>0</v>
      </c>
      <c r="AE464" s="832">
        <v>0</v>
      </c>
      <c r="AF464" s="832">
        <v>0</v>
      </c>
      <c r="AG464" s="832">
        <v>0</v>
      </c>
      <c r="AH464" s="832">
        <v>0</v>
      </c>
      <c r="AI464" s="832">
        <v>0</v>
      </c>
      <c r="AJ464" s="1030" t="str">
        <f t="shared" si="42"/>
        <v>H22200</v>
      </c>
      <c r="AK464" s="1030" t="str">
        <f t="shared" si="43"/>
        <v>DEPOTS CLIENTS</v>
      </c>
      <c r="AL464" s="1030">
        <f>IFERROR(INDEX(G464:R464,1,MATCH(Parametres!$B$3,G$1:R$1,0)-1)*IF(OR(F464="L",F464="S",F464="I"),-1,1),"")</f>
        <v>-16240.82</v>
      </c>
      <c r="AM464" s="1030">
        <f t="shared" si="44"/>
        <v>487.61999999999898</v>
      </c>
      <c r="AN464" s="1030">
        <f>INDEX(G464:R464,1,MATCH(Parametres!$B$3,G$1:R$1,0))*IF(OR(F464="L",F464="S",F464="I"),-1,1)</f>
        <v>-15753.2</v>
      </c>
      <c r="AO464" s="598" t="str">
        <f>+VLOOKUP($AJ464,Data_Validation!$A:$D,1,0)</f>
        <v>H22200</v>
      </c>
      <c r="AP464" s="598" t="str">
        <f>+VLOOKUP($AJ464,Data_Validation!$A:$D,3,0)</f>
        <v>Bilan</v>
      </c>
      <c r="AQ464" s="598" t="str">
        <f>+VLOOKUP($AJ464,Data_Validation!$A:$D,4,0)</f>
        <v>Dépôts de Client</v>
      </c>
      <c r="AR464" s="598" t="s">
        <v>299</v>
      </c>
      <c r="AS464" s="598">
        <f>+VLOOKUP($AJ464,Data_Validation!$A:$E,5,0)</f>
        <v>0</v>
      </c>
      <c r="AT464" s="1036" t="str">
        <f t="shared" si="45"/>
        <v>H22200</v>
      </c>
      <c r="AU464" s="599" t="str">
        <f t="shared" si="46"/>
        <v>DEPOTS CLIENTS</v>
      </c>
      <c r="AV464" s="1030">
        <f>IFERROR(INDEX(V464:AG464,1,MATCH(Parametres!$B$3,V$1:AG$1,0)-1)*IF(OR(C464="L",C464="S",C464="I"),-1,1),"")</f>
        <v>0</v>
      </c>
      <c r="AW464" s="1030">
        <f t="shared" si="47"/>
        <v>0</v>
      </c>
      <c r="AX464" s="1030">
        <f>INDEX(V464:AG464,1,MATCH(Parametres!$B$3,V$1:AG$1,0))*IF(OR(C464="L",C464="S",C464="I"),-1,1)</f>
        <v>0</v>
      </c>
      <c r="AY464" s="598" t="s">
        <v>337</v>
      </c>
      <c r="AZ464" s="598">
        <f>+VLOOKUP($AJ464,Data_Validation!$A:$E,5,0)</f>
        <v>0</v>
      </c>
    </row>
    <row r="465" spans="1:52" ht="15" customHeight="1">
      <c r="A465" s="832" t="s">
        <v>1150</v>
      </c>
      <c r="B465" s="832">
        <v>2025</v>
      </c>
      <c r="C465" s="832" t="s">
        <v>2073</v>
      </c>
      <c r="D465" s="832" t="s">
        <v>656</v>
      </c>
      <c r="E465" s="832" t="s">
        <v>333</v>
      </c>
      <c r="F465" s="832" t="s">
        <v>1153</v>
      </c>
      <c r="G465" s="832">
        <v>296192.71999999997</v>
      </c>
      <c r="H465" s="832">
        <v>136192.88</v>
      </c>
      <c r="I465" s="832">
        <v>195940.56</v>
      </c>
      <c r="J465" s="832">
        <v>399807.82</v>
      </c>
      <c r="K465" s="832">
        <v>311820.14</v>
      </c>
      <c r="L465" s="832">
        <v>249541.55</v>
      </c>
      <c r="M465" s="832">
        <v>271248.82</v>
      </c>
      <c r="N465" s="832">
        <v>284249.34000000003</v>
      </c>
      <c r="O465" s="832">
        <v>286884.83</v>
      </c>
      <c r="P465" s="832">
        <v>0</v>
      </c>
      <c r="Q465" s="832">
        <v>0</v>
      </c>
      <c r="R465" s="832">
        <v>0</v>
      </c>
      <c r="S465" s="832">
        <v>0</v>
      </c>
      <c r="T465" s="832">
        <v>0</v>
      </c>
      <c r="U465" s="832">
        <v>0</v>
      </c>
      <c r="V465" s="832">
        <v>0</v>
      </c>
      <c r="W465" s="832">
        <v>0</v>
      </c>
      <c r="X465" s="832">
        <v>0</v>
      </c>
      <c r="Y465" s="832">
        <v>0</v>
      </c>
      <c r="Z465" s="832">
        <v>0</v>
      </c>
      <c r="AA465" s="832">
        <v>0</v>
      </c>
      <c r="AB465" s="832">
        <v>0</v>
      </c>
      <c r="AC465" s="832">
        <v>0</v>
      </c>
      <c r="AD465" s="832">
        <v>0</v>
      </c>
      <c r="AE465" s="832">
        <v>0</v>
      </c>
      <c r="AF465" s="832">
        <v>0</v>
      </c>
      <c r="AG465" s="832">
        <v>0</v>
      </c>
      <c r="AH465" s="832">
        <v>0</v>
      </c>
      <c r="AI465" s="832">
        <v>0</v>
      </c>
      <c r="AJ465" s="1030" t="str">
        <f t="shared" si="42"/>
        <v>H22300</v>
      </c>
      <c r="AK465" s="1030" t="str">
        <f t="shared" si="43"/>
        <v>TPS A PAYER</v>
      </c>
      <c r="AL465" s="1030">
        <f>IFERROR(INDEX(G465:R465,1,MATCH(Parametres!$B$3,G$1:R$1,0)-1)*IF(OR(F465="L",F465="S",F465="I"),-1,1),"")</f>
        <v>-399807.82</v>
      </c>
      <c r="AM465" s="1030">
        <f t="shared" si="44"/>
        <v>87987.68</v>
      </c>
      <c r="AN465" s="1030">
        <f>INDEX(G465:R465,1,MATCH(Parametres!$B$3,G$1:R$1,0))*IF(OR(F465="L",F465="S",F465="I"),-1,1)</f>
        <v>-311820.14</v>
      </c>
      <c r="AO465" s="598" t="str">
        <f>+VLOOKUP($AJ465,Data_Validation!$A:$D,1,0)</f>
        <v>H22300</v>
      </c>
      <c r="AP465" s="598" t="str">
        <f>+VLOOKUP($AJ465,Data_Validation!$A:$D,3,0)</f>
        <v>Bilan</v>
      </c>
      <c r="AQ465" s="598" t="str">
        <f>+VLOOKUP($AJ465,Data_Validation!$A:$D,4,0)</f>
        <v>Taxes de Vente à Payer</v>
      </c>
      <c r="AR465" s="598" t="s">
        <v>299</v>
      </c>
      <c r="AS465" s="598">
        <f>+VLOOKUP($AJ465,Data_Validation!$A:$E,5,0)</f>
        <v>0</v>
      </c>
      <c r="AT465" s="1036" t="str">
        <f t="shared" si="45"/>
        <v>H22300</v>
      </c>
      <c r="AU465" s="599" t="str">
        <f t="shared" si="46"/>
        <v>TPS A PAYER</v>
      </c>
      <c r="AV465" s="1030">
        <f>IFERROR(INDEX(V465:AG465,1,MATCH(Parametres!$B$3,V$1:AG$1,0)-1)*IF(OR(C465="L",C465="S",C465="I"),-1,1),"")</f>
        <v>0</v>
      </c>
      <c r="AW465" s="1030">
        <f t="shared" si="47"/>
        <v>0</v>
      </c>
      <c r="AX465" s="1030">
        <f>INDEX(V465:AG465,1,MATCH(Parametres!$B$3,V$1:AG$1,0))*IF(OR(C465="L",C465="S",C465="I"),-1,1)</f>
        <v>0</v>
      </c>
      <c r="AY465" s="598" t="s">
        <v>337</v>
      </c>
      <c r="AZ465" s="598">
        <f>+VLOOKUP($AJ465,Data_Validation!$A:$E,5,0)</f>
        <v>0</v>
      </c>
    </row>
    <row r="466" spans="1:52" ht="15" customHeight="1">
      <c r="A466" s="832" t="s">
        <v>1150</v>
      </c>
      <c r="B466" s="832">
        <v>2025</v>
      </c>
      <c r="C466" s="832" t="s">
        <v>2074</v>
      </c>
      <c r="D466" s="832" t="s">
        <v>2075</v>
      </c>
      <c r="E466" s="832" t="s">
        <v>333</v>
      </c>
      <c r="F466" s="832" t="s">
        <v>1153</v>
      </c>
      <c r="G466" s="832">
        <v>-265573.90000000002</v>
      </c>
      <c r="H466" s="832">
        <v>-173262.89</v>
      </c>
      <c r="I466" s="832">
        <v>-252500.01</v>
      </c>
      <c r="J466" s="832">
        <v>-206386.17</v>
      </c>
      <c r="K466" s="832">
        <v>-206530.32</v>
      </c>
      <c r="L466" s="832">
        <v>-122672.54</v>
      </c>
      <c r="M466" s="832">
        <v>-325560.76</v>
      </c>
      <c r="N466" s="832">
        <v>-264528.98</v>
      </c>
      <c r="O466" s="832">
        <v>-318346.36</v>
      </c>
      <c r="P466" s="832">
        <v>0</v>
      </c>
      <c r="Q466" s="832">
        <v>0</v>
      </c>
      <c r="R466" s="832">
        <v>93.5</v>
      </c>
      <c r="S466" s="832">
        <v>0</v>
      </c>
      <c r="T466" s="832">
        <v>0</v>
      </c>
      <c r="U466" s="832">
        <v>0</v>
      </c>
      <c r="V466" s="832">
        <v>0</v>
      </c>
      <c r="W466" s="832">
        <v>0</v>
      </c>
      <c r="X466" s="832">
        <v>0</v>
      </c>
      <c r="Y466" s="832">
        <v>0</v>
      </c>
      <c r="Z466" s="832">
        <v>0</v>
      </c>
      <c r="AA466" s="832">
        <v>0</v>
      </c>
      <c r="AB466" s="832">
        <v>0</v>
      </c>
      <c r="AC466" s="832">
        <v>0</v>
      </c>
      <c r="AD466" s="832">
        <v>0</v>
      </c>
      <c r="AE466" s="832">
        <v>0</v>
      </c>
      <c r="AF466" s="832">
        <v>0</v>
      </c>
      <c r="AG466" s="832">
        <v>0</v>
      </c>
      <c r="AH466" s="832">
        <v>0</v>
      </c>
      <c r="AI466" s="832">
        <v>0</v>
      </c>
      <c r="AJ466" s="1030" t="str">
        <f t="shared" si="42"/>
        <v>H22310</v>
      </c>
      <c r="AK466" s="1030" t="str">
        <f t="shared" si="43"/>
        <v>CTI(TPS) A RECEVOIR</v>
      </c>
      <c r="AL466" s="1030">
        <f>IFERROR(INDEX(G466:R466,1,MATCH(Parametres!$B$3,G$1:R$1,0)-1)*IF(OR(F466="L",F466="S",F466="I"),-1,1),"")</f>
        <v>206386.17</v>
      </c>
      <c r="AM466" s="1030">
        <f t="shared" si="44"/>
        <v>144.14999999999418</v>
      </c>
      <c r="AN466" s="1030">
        <f>INDEX(G466:R466,1,MATCH(Parametres!$B$3,G$1:R$1,0))*IF(OR(F466="L",F466="S",F466="I"),-1,1)</f>
        <v>206530.32</v>
      </c>
      <c r="AO466" s="598" t="str">
        <f>+VLOOKUP($AJ466,Data_Validation!$A:$D,1,0)</f>
        <v>H22310</v>
      </c>
      <c r="AP466" s="598" t="str">
        <f>+VLOOKUP($AJ466,Data_Validation!$A:$D,3,0)</f>
        <v>Bilan</v>
      </c>
      <c r="AQ466" s="598" t="str">
        <f>+VLOOKUP($AJ466,Data_Validation!$A:$D,4,0)</f>
        <v>Taxes de Vente à Payer</v>
      </c>
      <c r="AR466" s="598" t="s">
        <v>299</v>
      </c>
      <c r="AS466" s="598">
        <f>+VLOOKUP($AJ466,Data_Validation!$A:$E,5,0)</f>
        <v>0</v>
      </c>
      <c r="AT466" s="1036" t="str">
        <f t="shared" si="45"/>
        <v>H22310</v>
      </c>
      <c r="AU466" s="599" t="str">
        <f t="shared" si="46"/>
        <v>CTI(TPS) A RECEVOIR</v>
      </c>
      <c r="AV466" s="1030">
        <f>IFERROR(INDEX(V466:AG466,1,MATCH(Parametres!$B$3,V$1:AG$1,0)-1)*IF(OR(C466="L",C466="S",C466="I"),-1,1),"")</f>
        <v>0</v>
      </c>
      <c r="AW466" s="1030">
        <f t="shared" si="47"/>
        <v>0</v>
      </c>
      <c r="AX466" s="1030">
        <f>INDEX(V466:AG466,1,MATCH(Parametres!$B$3,V$1:AG$1,0))*IF(OR(C466="L",C466="S",C466="I"),-1,1)</f>
        <v>0</v>
      </c>
      <c r="AY466" s="598" t="s">
        <v>337</v>
      </c>
      <c r="AZ466" s="598">
        <f>+VLOOKUP($AJ466,Data_Validation!$A:$E,5,0)</f>
        <v>0</v>
      </c>
    </row>
    <row r="467" spans="1:52" ht="15" customHeight="1">
      <c r="A467" s="832" t="s">
        <v>1150</v>
      </c>
      <c r="B467" s="832">
        <v>2025</v>
      </c>
      <c r="C467" s="832" t="s">
        <v>2076</v>
      </c>
      <c r="D467" s="832" t="s">
        <v>2077</v>
      </c>
      <c r="E467" s="832" t="s">
        <v>333</v>
      </c>
      <c r="F467" s="832" t="s">
        <v>1153</v>
      </c>
      <c r="G467" s="832">
        <v>0</v>
      </c>
      <c r="H467" s="832">
        <v>0</v>
      </c>
      <c r="I467" s="832">
        <v>0</v>
      </c>
      <c r="J467" s="832">
        <v>0</v>
      </c>
      <c r="K467" s="832">
        <v>0</v>
      </c>
      <c r="L467" s="832">
        <v>0</v>
      </c>
      <c r="M467" s="832">
        <v>0</v>
      </c>
      <c r="N467" s="832">
        <v>0</v>
      </c>
      <c r="O467" s="832">
        <v>0</v>
      </c>
      <c r="P467" s="832">
        <v>0</v>
      </c>
      <c r="Q467" s="832">
        <v>0</v>
      </c>
      <c r="R467" s="832">
        <v>0</v>
      </c>
      <c r="S467" s="832">
        <v>0</v>
      </c>
      <c r="T467" s="832">
        <v>0</v>
      </c>
      <c r="U467" s="832">
        <v>0</v>
      </c>
      <c r="V467" s="832">
        <v>0</v>
      </c>
      <c r="W467" s="832">
        <v>0</v>
      </c>
      <c r="X467" s="832">
        <v>0</v>
      </c>
      <c r="Y467" s="832">
        <v>0</v>
      </c>
      <c r="Z467" s="832">
        <v>0</v>
      </c>
      <c r="AA467" s="832">
        <v>0</v>
      </c>
      <c r="AB467" s="832">
        <v>0</v>
      </c>
      <c r="AC467" s="832">
        <v>0</v>
      </c>
      <c r="AD467" s="832">
        <v>0</v>
      </c>
      <c r="AE467" s="832">
        <v>0</v>
      </c>
      <c r="AF467" s="832">
        <v>0</v>
      </c>
      <c r="AG467" s="832">
        <v>0</v>
      </c>
      <c r="AH467" s="832">
        <v>0</v>
      </c>
      <c r="AI467" s="832">
        <v>0</v>
      </c>
      <c r="AJ467" s="1030" t="str">
        <f t="shared" ref="AJ467:AJ530" si="48">C467</f>
        <v>H22330</v>
      </c>
      <c r="AK467" s="1030" t="str">
        <f t="shared" ref="AK467:AK530" si="49">D467</f>
        <v>TAXE DE LUXE</v>
      </c>
      <c r="AL467" s="1030">
        <f>IFERROR(INDEX(G467:R467,1,MATCH(Parametres!$B$3,G$1:R$1,0)-1)*IF(OR(F467="L",F467="S",F467="I"),-1,1),"")</f>
        <v>0</v>
      </c>
      <c r="AM467" s="1030">
        <f t="shared" si="44"/>
        <v>0</v>
      </c>
      <c r="AN467" s="1030">
        <f>INDEX(G467:R467,1,MATCH(Parametres!$B$3,G$1:R$1,0))*IF(OR(F467="L",F467="S",F467="I"),-1,1)</f>
        <v>0</v>
      </c>
      <c r="AO467" s="598" t="str">
        <f>+VLOOKUP($AJ467,Data_Validation!$A:$D,1,0)</f>
        <v>H22330</v>
      </c>
      <c r="AP467" s="598" t="str">
        <f>+VLOOKUP($AJ467,Data_Validation!$A:$D,3,0)</f>
        <v>Bilan</v>
      </c>
      <c r="AQ467" s="598" t="str">
        <f>+VLOOKUP($AJ467,Data_Validation!$A:$D,4,0)</f>
        <v>Taxes de Vente à Payer</v>
      </c>
      <c r="AR467" s="598" t="s">
        <v>299</v>
      </c>
      <c r="AS467" s="598">
        <f>+VLOOKUP($AJ467,Data_Validation!$A:$E,5,0)</f>
        <v>0</v>
      </c>
      <c r="AT467" s="1036" t="str">
        <f t="shared" si="45"/>
        <v>H22330</v>
      </c>
      <c r="AU467" s="599" t="str">
        <f t="shared" si="46"/>
        <v>TAXE DE LUXE</v>
      </c>
      <c r="AV467" s="1030">
        <f>IFERROR(INDEX(V467:AG467,1,MATCH(Parametres!$B$3,V$1:AG$1,0)-1)*IF(OR(C467="L",C467="S",C467="I"),-1,1),"")</f>
        <v>0</v>
      </c>
      <c r="AW467" s="1030">
        <f t="shared" si="47"/>
        <v>0</v>
      </c>
      <c r="AX467" s="1030">
        <f>INDEX(V467:AG467,1,MATCH(Parametres!$B$3,V$1:AG$1,0))*IF(OR(C467="L",C467="S",C467="I"),-1,1)</f>
        <v>0</v>
      </c>
      <c r="AY467" s="598" t="s">
        <v>337</v>
      </c>
      <c r="AZ467" s="598">
        <f>+VLOOKUP($AJ467,Data_Validation!$A:$E,5,0)</f>
        <v>0</v>
      </c>
    </row>
    <row r="468" spans="1:52" ht="15" customHeight="1">
      <c r="A468" s="832" t="s">
        <v>1150</v>
      </c>
      <c r="B468" s="832">
        <v>2025</v>
      </c>
      <c r="C468" s="832" t="s">
        <v>2078</v>
      </c>
      <c r="D468" s="832" t="s">
        <v>657</v>
      </c>
      <c r="E468" s="832" t="s">
        <v>333</v>
      </c>
      <c r="F468" s="832" t="s">
        <v>1153</v>
      </c>
      <c r="G468" s="832">
        <v>28896.55</v>
      </c>
      <c r="H468" s="832">
        <v>28896.55</v>
      </c>
      <c r="I468" s="832">
        <v>28896.55</v>
      </c>
      <c r="J468" s="832">
        <v>28896.55</v>
      </c>
      <c r="K468" s="832">
        <v>28896.55</v>
      </c>
      <c r="L468" s="832">
        <v>28896.55</v>
      </c>
      <c r="M468" s="832">
        <v>28896.55</v>
      </c>
      <c r="N468" s="832">
        <v>0</v>
      </c>
      <c r="O468" s="832">
        <v>0</v>
      </c>
      <c r="P468" s="832">
        <v>0</v>
      </c>
      <c r="Q468" s="832">
        <v>0</v>
      </c>
      <c r="R468" s="832">
        <v>0</v>
      </c>
      <c r="S468" s="832">
        <v>0</v>
      </c>
      <c r="T468" s="832">
        <v>0</v>
      </c>
      <c r="U468" s="832">
        <v>0</v>
      </c>
      <c r="V468" s="832">
        <v>0</v>
      </c>
      <c r="W468" s="832">
        <v>0</v>
      </c>
      <c r="X468" s="832">
        <v>0</v>
      </c>
      <c r="Y468" s="832">
        <v>0</v>
      </c>
      <c r="Z468" s="832">
        <v>0</v>
      </c>
      <c r="AA468" s="832">
        <v>0</v>
      </c>
      <c r="AB468" s="832">
        <v>0</v>
      </c>
      <c r="AC468" s="832">
        <v>0</v>
      </c>
      <c r="AD468" s="832">
        <v>0</v>
      </c>
      <c r="AE468" s="832">
        <v>0</v>
      </c>
      <c r="AF468" s="832">
        <v>0</v>
      </c>
      <c r="AG468" s="832">
        <v>0</v>
      </c>
      <c r="AH468" s="832">
        <v>0</v>
      </c>
      <c r="AI468" s="832">
        <v>0</v>
      </c>
      <c r="AJ468" s="1030" t="str">
        <f t="shared" si="48"/>
        <v>H22350</v>
      </c>
      <c r="AK468" s="1030" t="str">
        <f t="shared" si="49"/>
        <v>TPS A RECEVOIR</v>
      </c>
      <c r="AL468" s="1030">
        <f>IFERROR(INDEX(G468:R468,1,MATCH(Parametres!$B$3,G$1:R$1,0)-1)*IF(OR(F468="L",F468="S",F468="I"),-1,1),"")</f>
        <v>-28896.55</v>
      </c>
      <c r="AM468" s="1030">
        <f t="shared" si="44"/>
        <v>0</v>
      </c>
      <c r="AN468" s="1030">
        <f>INDEX(G468:R468,1,MATCH(Parametres!$B$3,G$1:R$1,0))*IF(OR(F468="L",F468="S",F468="I"),-1,1)</f>
        <v>-28896.55</v>
      </c>
      <c r="AO468" s="598" t="str">
        <f>+VLOOKUP($AJ468,Data_Validation!$A:$D,1,0)</f>
        <v>H22350</v>
      </c>
      <c r="AP468" s="598" t="str">
        <f>+VLOOKUP($AJ468,Data_Validation!$A:$D,3,0)</f>
        <v>Bilan</v>
      </c>
      <c r="AQ468" s="598" t="str">
        <f>+VLOOKUP($AJ468,Data_Validation!$A:$D,4,0)</f>
        <v>Taxes de Vente à Payer</v>
      </c>
      <c r="AR468" s="598" t="s">
        <v>299</v>
      </c>
      <c r="AS468" s="598">
        <f>+VLOOKUP($AJ468,Data_Validation!$A:$E,5,0)</f>
        <v>0</v>
      </c>
      <c r="AT468" s="1036" t="str">
        <f t="shared" si="45"/>
        <v>H22350</v>
      </c>
      <c r="AU468" s="599" t="str">
        <f t="shared" si="46"/>
        <v>TPS A RECEVOIR</v>
      </c>
      <c r="AV468" s="1030">
        <f>IFERROR(INDEX(V468:AG468,1,MATCH(Parametres!$B$3,V$1:AG$1,0)-1)*IF(OR(C468="L",C468="S",C468="I"),-1,1),"")</f>
        <v>0</v>
      </c>
      <c r="AW468" s="1030">
        <f t="shared" si="47"/>
        <v>0</v>
      </c>
      <c r="AX468" s="1030">
        <f>INDEX(V468:AG468,1,MATCH(Parametres!$B$3,V$1:AG$1,0))*IF(OR(C468="L",C468="S",C468="I"),-1,1)</f>
        <v>0</v>
      </c>
      <c r="AY468" s="598" t="s">
        <v>337</v>
      </c>
      <c r="AZ468" s="598">
        <f>+VLOOKUP($AJ468,Data_Validation!$A:$E,5,0)</f>
        <v>0</v>
      </c>
    </row>
    <row r="469" spans="1:52" ht="15" customHeight="1">
      <c r="A469" s="832" t="s">
        <v>1150</v>
      </c>
      <c r="B469" s="832">
        <v>2025</v>
      </c>
      <c r="C469" s="832" t="s">
        <v>2079</v>
      </c>
      <c r="D469" s="832" t="s">
        <v>656</v>
      </c>
      <c r="E469" s="832" t="s">
        <v>333</v>
      </c>
      <c r="F469" s="832" t="s">
        <v>1153</v>
      </c>
      <c r="G469" s="832">
        <v>-44761.27</v>
      </c>
      <c r="H469" s="832">
        <v>-44761.27</v>
      </c>
      <c r="I469" s="832">
        <v>-44761.27</v>
      </c>
      <c r="J469" s="832">
        <v>-44761.27</v>
      </c>
      <c r="K469" s="832">
        <v>-44761.27</v>
      </c>
      <c r="L469" s="832">
        <v>-44761.27</v>
      </c>
      <c r="M469" s="832">
        <v>-44761.27</v>
      </c>
      <c r="N469" s="832">
        <v>0</v>
      </c>
      <c r="O469" s="832">
        <v>0</v>
      </c>
      <c r="P469" s="832">
        <v>0</v>
      </c>
      <c r="Q469" s="832">
        <v>0</v>
      </c>
      <c r="R469" s="832">
        <v>0</v>
      </c>
      <c r="S469" s="832">
        <v>0</v>
      </c>
      <c r="T469" s="832">
        <v>0</v>
      </c>
      <c r="U469" s="832">
        <v>0</v>
      </c>
      <c r="V469" s="832">
        <v>0</v>
      </c>
      <c r="W469" s="832">
        <v>0</v>
      </c>
      <c r="X469" s="832">
        <v>0</v>
      </c>
      <c r="Y469" s="832">
        <v>0</v>
      </c>
      <c r="Z469" s="832">
        <v>0</v>
      </c>
      <c r="AA469" s="832">
        <v>0</v>
      </c>
      <c r="AB469" s="832">
        <v>0</v>
      </c>
      <c r="AC469" s="832">
        <v>0</v>
      </c>
      <c r="AD469" s="832">
        <v>0</v>
      </c>
      <c r="AE469" s="832">
        <v>0</v>
      </c>
      <c r="AF469" s="832">
        <v>0</v>
      </c>
      <c r="AG469" s="832">
        <v>0</v>
      </c>
      <c r="AH469" s="832">
        <v>0</v>
      </c>
      <c r="AI469" s="832">
        <v>0</v>
      </c>
      <c r="AJ469" s="1030" t="str">
        <f t="shared" si="48"/>
        <v>H22360</v>
      </c>
      <c r="AK469" s="1030" t="str">
        <f t="shared" si="49"/>
        <v>TPS A PAYER</v>
      </c>
      <c r="AL469" s="1030">
        <f>IFERROR(INDEX(G469:R469,1,MATCH(Parametres!$B$3,G$1:R$1,0)-1)*IF(OR(F469="L",F469="S",F469="I"),-1,1),"")</f>
        <v>44761.27</v>
      </c>
      <c r="AM469" s="1030">
        <f t="shared" si="44"/>
        <v>0</v>
      </c>
      <c r="AN469" s="1030">
        <f>INDEX(G469:R469,1,MATCH(Parametres!$B$3,G$1:R$1,0))*IF(OR(F469="L",F469="S",F469="I"),-1,1)</f>
        <v>44761.27</v>
      </c>
      <c r="AO469" s="598" t="str">
        <f>+VLOOKUP($AJ469,Data_Validation!$A:$D,1,0)</f>
        <v>H22360</v>
      </c>
      <c r="AP469" s="598" t="str">
        <f>+VLOOKUP($AJ469,Data_Validation!$A:$D,3,0)</f>
        <v>Bilan</v>
      </c>
      <c r="AQ469" s="598" t="str">
        <f>+VLOOKUP($AJ469,Data_Validation!$A:$D,4,0)</f>
        <v>Taxes de Vente à Payer</v>
      </c>
      <c r="AR469" s="598" t="s">
        <v>299</v>
      </c>
      <c r="AS469" s="598">
        <f>+VLOOKUP($AJ469,Data_Validation!$A:$E,5,0)</f>
        <v>0</v>
      </c>
      <c r="AT469" s="1036" t="str">
        <f t="shared" si="45"/>
        <v>H22360</v>
      </c>
      <c r="AU469" s="599" t="str">
        <f t="shared" si="46"/>
        <v>TPS A PAYER</v>
      </c>
      <c r="AV469" s="1030">
        <f>IFERROR(INDEX(V469:AG469,1,MATCH(Parametres!$B$3,V$1:AG$1,0)-1)*IF(OR(C469="L",C469="S",C469="I"),-1,1),"")</f>
        <v>0</v>
      </c>
      <c r="AW469" s="1030">
        <f t="shared" si="47"/>
        <v>0</v>
      </c>
      <c r="AX469" s="1030">
        <f>INDEX(V469:AG469,1,MATCH(Parametres!$B$3,V$1:AG$1,0))*IF(OR(C469="L",C469="S",C469="I"),-1,1)</f>
        <v>0</v>
      </c>
      <c r="AY469" s="598" t="s">
        <v>337</v>
      </c>
      <c r="AZ469" s="598">
        <f>+VLOOKUP($AJ469,Data_Validation!$A:$E,5,0)</f>
        <v>0</v>
      </c>
    </row>
    <row r="470" spans="1:52" ht="15" customHeight="1">
      <c r="A470" s="832" t="s">
        <v>1150</v>
      </c>
      <c r="B470" s="832">
        <v>2025</v>
      </c>
      <c r="C470" s="832" t="s">
        <v>2080</v>
      </c>
      <c r="D470" s="832" t="s">
        <v>2081</v>
      </c>
      <c r="E470" s="832" t="s">
        <v>333</v>
      </c>
      <c r="F470" s="832" t="s">
        <v>1153</v>
      </c>
      <c r="G470" s="832">
        <v>-41.72</v>
      </c>
      <c r="H470" s="832">
        <v>-41.72</v>
      </c>
      <c r="I470" s="832">
        <v>-41.72</v>
      </c>
      <c r="J470" s="832">
        <v>-41.72</v>
      </c>
      <c r="K470" s="832">
        <v>0</v>
      </c>
      <c r="L470" s="832">
        <v>0</v>
      </c>
      <c r="M470" s="832">
        <v>0</v>
      </c>
      <c r="N470" s="832">
        <v>0</v>
      </c>
      <c r="O470" s="832">
        <v>0</v>
      </c>
      <c r="P470" s="832">
        <v>0</v>
      </c>
      <c r="Q470" s="832">
        <v>0</v>
      </c>
      <c r="R470" s="832">
        <v>0</v>
      </c>
      <c r="S470" s="832">
        <v>0</v>
      </c>
      <c r="T470" s="832">
        <v>0</v>
      </c>
      <c r="U470" s="832">
        <v>0</v>
      </c>
      <c r="V470" s="832">
        <v>0</v>
      </c>
      <c r="W470" s="832">
        <v>0</v>
      </c>
      <c r="X470" s="832">
        <v>0</v>
      </c>
      <c r="Y470" s="832">
        <v>0</v>
      </c>
      <c r="Z470" s="832">
        <v>0</v>
      </c>
      <c r="AA470" s="832">
        <v>0</v>
      </c>
      <c r="AB470" s="832">
        <v>0</v>
      </c>
      <c r="AC470" s="832">
        <v>0</v>
      </c>
      <c r="AD470" s="832">
        <v>0</v>
      </c>
      <c r="AE470" s="832">
        <v>0</v>
      </c>
      <c r="AF470" s="832">
        <v>0</v>
      </c>
      <c r="AG470" s="832">
        <v>0</v>
      </c>
      <c r="AH470" s="832">
        <v>0</v>
      </c>
      <c r="AI470" s="832">
        <v>0</v>
      </c>
      <c r="AJ470" s="1030" t="str">
        <f t="shared" si="48"/>
        <v>H22370</v>
      </c>
      <c r="AK470" s="1030" t="str">
        <f t="shared" si="49"/>
        <v>TVH ONTARIO 13%</v>
      </c>
      <c r="AL470" s="1030">
        <f>IFERROR(INDEX(G470:R470,1,MATCH(Parametres!$B$3,G$1:R$1,0)-1)*IF(OR(F470="L",F470="S",F470="I"),-1,1),"")</f>
        <v>41.72</v>
      </c>
      <c r="AM470" s="1030">
        <f t="shared" si="44"/>
        <v>-41.72</v>
      </c>
      <c r="AN470" s="1030">
        <f>INDEX(G470:R470,1,MATCH(Parametres!$B$3,G$1:R$1,0))*IF(OR(F470="L",F470="S",F470="I"),-1,1)</f>
        <v>0</v>
      </c>
      <c r="AO470" s="598" t="str">
        <f>+VLOOKUP($AJ470,Data_Validation!$A:$D,1,0)</f>
        <v>H22370</v>
      </c>
      <c r="AP470" s="598" t="str">
        <f>+VLOOKUP($AJ470,Data_Validation!$A:$D,3,0)</f>
        <v>Bilan</v>
      </c>
      <c r="AQ470" s="598" t="str">
        <f>+VLOOKUP($AJ470,Data_Validation!$A:$D,4,0)</f>
        <v>Taxes de Vente à Payer</v>
      </c>
      <c r="AR470" s="598" t="s">
        <v>299</v>
      </c>
      <c r="AS470" s="598">
        <f>+VLOOKUP($AJ470,Data_Validation!$A:$E,5,0)</f>
        <v>0</v>
      </c>
      <c r="AT470" s="1036" t="str">
        <f t="shared" si="45"/>
        <v>H22370</v>
      </c>
      <c r="AU470" s="599" t="str">
        <f t="shared" si="46"/>
        <v>TVH ONTARIO 13%</v>
      </c>
      <c r="AV470" s="1030">
        <f>IFERROR(INDEX(V470:AG470,1,MATCH(Parametres!$B$3,V$1:AG$1,0)-1)*IF(OR(C470="L",C470="S",C470="I"),-1,1),"")</f>
        <v>0</v>
      </c>
      <c r="AW470" s="1030">
        <f t="shared" si="47"/>
        <v>0</v>
      </c>
      <c r="AX470" s="1030">
        <f>INDEX(V470:AG470,1,MATCH(Parametres!$B$3,V$1:AG$1,0))*IF(OR(C470="L",C470="S",C470="I"),-1,1)</f>
        <v>0</v>
      </c>
      <c r="AY470" s="598" t="s">
        <v>337</v>
      </c>
      <c r="AZ470" s="598">
        <f>+VLOOKUP($AJ470,Data_Validation!$A:$E,5,0)</f>
        <v>0</v>
      </c>
    </row>
    <row r="471" spans="1:52" ht="15" customHeight="1">
      <c r="A471" s="832" t="s">
        <v>1150</v>
      </c>
      <c r="B471" s="832">
        <v>2025</v>
      </c>
      <c r="C471" s="832" t="s">
        <v>2082</v>
      </c>
      <c r="D471" s="832" t="s">
        <v>2083</v>
      </c>
      <c r="E471" s="832" t="s">
        <v>1813</v>
      </c>
      <c r="F471" s="832" t="s">
        <v>1153</v>
      </c>
      <c r="G471" s="832">
        <v>26387.55</v>
      </c>
      <c r="H471" s="832">
        <v>14408.86</v>
      </c>
      <c r="I471" s="832">
        <v>17993.95</v>
      </c>
      <c r="J471" s="832">
        <v>30338.02</v>
      </c>
      <c r="K471" s="832">
        <v>36431.919999999998</v>
      </c>
      <c r="L471" s="832">
        <v>20897.310000000001</v>
      </c>
      <c r="M471" s="832">
        <v>34133.4</v>
      </c>
      <c r="N471" s="832">
        <v>16569.62</v>
      </c>
      <c r="O471" s="832">
        <v>-15187.38</v>
      </c>
      <c r="P471" s="832">
        <v>-13244.38</v>
      </c>
      <c r="Q471" s="832">
        <v>-14904.38</v>
      </c>
      <c r="R471" s="832">
        <v>-14454.38</v>
      </c>
      <c r="S471" s="832">
        <v>0</v>
      </c>
      <c r="T471" s="832">
        <v>0</v>
      </c>
      <c r="U471" s="832">
        <v>0</v>
      </c>
      <c r="V471" s="832">
        <v>0</v>
      </c>
      <c r="W471" s="832">
        <v>0</v>
      </c>
      <c r="X471" s="832">
        <v>0</v>
      </c>
      <c r="Y471" s="832">
        <v>0</v>
      </c>
      <c r="Z471" s="832">
        <v>0</v>
      </c>
      <c r="AA471" s="832">
        <v>0</v>
      </c>
      <c r="AB471" s="832">
        <v>0</v>
      </c>
      <c r="AC471" s="832">
        <v>0</v>
      </c>
      <c r="AD471" s="832">
        <v>0</v>
      </c>
      <c r="AE471" s="832">
        <v>0</v>
      </c>
      <c r="AF471" s="832">
        <v>0</v>
      </c>
      <c r="AG471" s="832">
        <v>0</v>
      </c>
      <c r="AH471" s="832">
        <v>0</v>
      </c>
      <c r="AI471" s="832">
        <v>0</v>
      </c>
      <c r="AJ471" s="1030" t="str">
        <f t="shared" si="48"/>
        <v>H22400</v>
      </c>
      <c r="AK471" s="1030" t="str">
        <f t="shared" si="49"/>
        <v>PPH A PAYER</v>
      </c>
      <c r="AL471" s="1030">
        <f>IFERROR(INDEX(G471:R471,1,MATCH(Parametres!$B$3,G$1:R$1,0)-1)*IF(OR(F471="L",F471="S",F471="I"),-1,1),"")</f>
        <v>-30338.02</v>
      </c>
      <c r="AM471" s="1030">
        <f t="shared" si="44"/>
        <v>-6093.8999999999978</v>
      </c>
      <c r="AN471" s="1030">
        <f>INDEX(G471:R471,1,MATCH(Parametres!$B$3,G$1:R$1,0))*IF(OR(F471="L",F471="S",F471="I"),-1,1)</f>
        <v>-36431.919999999998</v>
      </c>
      <c r="AO471" s="598" t="str">
        <f>+VLOOKUP($AJ471,Data_Validation!$A:$D,1,0)</f>
        <v>H22400</v>
      </c>
      <c r="AP471" s="598" t="str">
        <f>+VLOOKUP($AJ471,Data_Validation!$A:$D,3,0)</f>
        <v>Bilan</v>
      </c>
      <c r="AQ471" s="598" t="str">
        <f>+VLOOKUP($AJ471,Data_Validation!$A:$D,4,0)</f>
        <v>Autres Comptes à Payer</v>
      </c>
      <c r="AR471" s="598" t="s">
        <v>299</v>
      </c>
      <c r="AS471" s="598">
        <f>+VLOOKUP($AJ471,Data_Validation!$A:$E,5,0)</f>
        <v>0</v>
      </c>
      <c r="AT471" s="1036" t="str">
        <f t="shared" si="45"/>
        <v>H22400</v>
      </c>
      <c r="AU471" s="599" t="str">
        <f t="shared" si="46"/>
        <v>PPH A PAYER</v>
      </c>
      <c r="AV471" s="1030">
        <f>IFERROR(INDEX(V471:AG471,1,MATCH(Parametres!$B$3,V$1:AG$1,0)-1)*IF(OR(C471="L",C471="S",C471="I"),-1,1),"")</f>
        <v>0</v>
      </c>
      <c r="AW471" s="1030">
        <f t="shared" si="47"/>
        <v>0</v>
      </c>
      <c r="AX471" s="1030">
        <f>INDEX(V471:AG471,1,MATCH(Parametres!$B$3,V$1:AG$1,0))*IF(OR(C471="L",C471="S",C471="I"),-1,1)</f>
        <v>0</v>
      </c>
      <c r="AY471" s="598" t="s">
        <v>337</v>
      </c>
      <c r="AZ471" s="598">
        <f>+VLOOKUP($AJ471,Data_Validation!$A:$E,5,0)</f>
        <v>0</v>
      </c>
    </row>
    <row r="472" spans="1:52" ht="15" customHeight="1">
      <c r="A472" s="832" t="s">
        <v>1150</v>
      </c>
      <c r="B472" s="832">
        <v>2025</v>
      </c>
      <c r="C472" s="832" t="s">
        <v>2084</v>
      </c>
      <c r="D472" s="832" t="s">
        <v>2085</v>
      </c>
      <c r="E472" s="832" t="s">
        <v>1813</v>
      </c>
      <c r="F472" s="832" t="s">
        <v>1153</v>
      </c>
      <c r="G472" s="832">
        <v>0</v>
      </c>
      <c r="H472" s="832">
        <v>0</v>
      </c>
      <c r="I472" s="832">
        <v>770</v>
      </c>
      <c r="J472" s="832">
        <v>3946.9</v>
      </c>
      <c r="K472" s="832">
        <v>2678.25</v>
      </c>
      <c r="L472" s="832">
        <v>2871.99</v>
      </c>
      <c r="M472" s="832">
        <v>3176.99</v>
      </c>
      <c r="N472" s="832">
        <v>4691.99</v>
      </c>
      <c r="O472" s="832">
        <v>5691.99</v>
      </c>
      <c r="P472" s="832">
        <v>6831.99</v>
      </c>
      <c r="Q472" s="832">
        <v>6320.95</v>
      </c>
      <c r="R472" s="832">
        <v>4228.17</v>
      </c>
      <c r="S472" s="832">
        <v>0</v>
      </c>
      <c r="T472" s="832">
        <v>0</v>
      </c>
      <c r="U472" s="832">
        <v>0</v>
      </c>
      <c r="V472" s="832">
        <v>0</v>
      </c>
      <c r="W472" s="832">
        <v>0</v>
      </c>
      <c r="X472" s="832">
        <v>0</v>
      </c>
      <c r="Y472" s="832">
        <v>0</v>
      </c>
      <c r="Z472" s="832">
        <v>0</v>
      </c>
      <c r="AA472" s="832">
        <v>0</v>
      </c>
      <c r="AB472" s="832">
        <v>0</v>
      </c>
      <c r="AC472" s="832">
        <v>0</v>
      </c>
      <c r="AD472" s="832">
        <v>0</v>
      </c>
      <c r="AE472" s="832">
        <v>0</v>
      </c>
      <c r="AF472" s="832">
        <v>0</v>
      </c>
      <c r="AG472" s="832">
        <v>0</v>
      </c>
      <c r="AH472" s="832">
        <v>0</v>
      </c>
      <c r="AI472" s="832">
        <v>0</v>
      </c>
      <c r="AJ472" s="1030" t="str">
        <f t="shared" si="48"/>
        <v>H22410</v>
      </c>
      <c r="AK472" s="1030" t="str">
        <f t="shared" si="49"/>
        <v>RESERVE DOMMAGE VEH NEUF</v>
      </c>
      <c r="AL472" s="1030">
        <f>IFERROR(INDEX(G472:R472,1,MATCH(Parametres!$B$3,G$1:R$1,0)-1)*IF(OR(F472="L",F472="S",F472="I"),-1,1),"")</f>
        <v>-3946.9</v>
      </c>
      <c r="AM472" s="1030">
        <f t="shared" si="44"/>
        <v>1268.6500000000001</v>
      </c>
      <c r="AN472" s="1030">
        <f>INDEX(G472:R472,1,MATCH(Parametres!$B$3,G$1:R$1,0))*IF(OR(F472="L",F472="S",F472="I"),-1,1)</f>
        <v>-2678.25</v>
      </c>
      <c r="AO472" s="598" t="str">
        <f>+VLOOKUP($AJ472,Data_Validation!$A:$D,1,0)</f>
        <v>H22410</v>
      </c>
      <c r="AP472" s="598" t="str">
        <f>+VLOOKUP($AJ472,Data_Validation!$A:$D,3,0)</f>
        <v>Bilan</v>
      </c>
      <c r="AQ472" s="598" t="str">
        <f>+VLOOKUP($AJ472,Data_Validation!$A:$D,4,0)</f>
        <v>Autres Courus</v>
      </c>
      <c r="AR472" s="598" t="s">
        <v>299</v>
      </c>
      <c r="AS472" s="598">
        <f>+VLOOKUP($AJ472,Data_Validation!$A:$E,5,0)</f>
        <v>0</v>
      </c>
      <c r="AT472" s="1036" t="str">
        <f t="shared" si="45"/>
        <v>H22410</v>
      </c>
      <c r="AU472" s="599" t="str">
        <f t="shared" si="46"/>
        <v>RESERVE DOMMAGE VEH NEUF</v>
      </c>
      <c r="AV472" s="1030">
        <f>IFERROR(INDEX(V472:AG472,1,MATCH(Parametres!$B$3,V$1:AG$1,0)-1)*IF(OR(C472="L",C472="S",C472="I"),-1,1),"")</f>
        <v>0</v>
      </c>
      <c r="AW472" s="1030">
        <f t="shared" si="47"/>
        <v>0</v>
      </c>
      <c r="AX472" s="1030">
        <f>INDEX(V472:AG472,1,MATCH(Parametres!$B$3,V$1:AG$1,0))*IF(OR(C472="L",C472="S",C472="I"),-1,1)</f>
        <v>0</v>
      </c>
      <c r="AY472" s="598" t="s">
        <v>337</v>
      </c>
      <c r="AZ472" s="598">
        <f>+VLOOKUP($AJ472,Data_Validation!$A:$E,5,0)</f>
        <v>0</v>
      </c>
    </row>
    <row r="473" spans="1:52" ht="15" customHeight="1">
      <c r="A473" s="832" t="s">
        <v>1150</v>
      </c>
      <c r="B473" s="832">
        <v>2025</v>
      </c>
      <c r="C473" s="832" t="s">
        <v>2086</v>
      </c>
      <c r="D473" s="832" t="s">
        <v>2087</v>
      </c>
      <c r="E473" s="832" t="s">
        <v>1813</v>
      </c>
      <c r="F473" s="832" t="s">
        <v>1153</v>
      </c>
      <c r="G473" s="832">
        <v>0</v>
      </c>
      <c r="H473" s="832">
        <v>0</v>
      </c>
      <c r="I473" s="832">
        <v>1275</v>
      </c>
      <c r="J473" s="832">
        <v>3105</v>
      </c>
      <c r="K473" s="832">
        <v>5460</v>
      </c>
      <c r="L473" s="832">
        <v>7395</v>
      </c>
      <c r="M473" s="832">
        <v>12437</v>
      </c>
      <c r="N473" s="832">
        <v>14507</v>
      </c>
      <c r="O473" s="832">
        <v>15027</v>
      </c>
      <c r="P473" s="832">
        <v>17292</v>
      </c>
      <c r="Q473" s="832">
        <v>17199.34</v>
      </c>
      <c r="R473" s="832">
        <v>18365.34</v>
      </c>
      <c r="S473" s="832">
        <v>0</v>
      </c>
      <c r="T473" s="832">
        <v>0</v>
      </c>
      <c r="U473" s="832">
        <v>0</v>
      </c>
      <c r="V473" s="832">
        <v>0</v>
      </c>
      <c r="W473" s="832">
        <v>0</v>
      </c>
      <c r="X473" s="832">
        <v>0</v>
      </c>
      <c r="Y473" s="832">
        <v>0</v>
      </c>
      <c r="Z473" s="832">
        <v>0</v>
      </c>
      <c r="AA473" s="832">
        <v>0</v>
      </c>
      <c r="AB473" s="832">
        <v>0</v>
      </c>
      <c r="AC473" s="832">
        <v>0</v>
      </c>
      <c r="AD473" s="832">
        <v>0</v>
      </c>
      <c r="AE473" s="832">
        <v>0</v>
      </c>
      <c r="AF473" s="832">
        <v>0</v>
      </c>
      <c r="AG473" s="832">
        <v>0</v>
      </c>
      <c r="AH473" s="832">
        <v>0</v>
      </c>
      <c r="AI473" s="832">
        <v>0</v>
      </c>
      <c r="AJ473" s="1030" t="str">
        <f t="shared" si="48"/>
        <v>H22415</v>
      </c>
      <c r="AK473" s="1030" t="str">
        <f t="shared" si="49"/>
        <v>RESERVE F&amp;I NEUF + USED</v>
      </c>
      <c r="AL473" s="1030">
        <f>IFERROR(INDEX(G473:R473,1,MATCH(Parametres!$B$3,G$1:R$1,0)-1)*IF(OR(F473="L",F473="S",F473="I"),-1,1),"")</f>
        <v>-3105</v>
      </c>
      <c r="AM473" s="1030">
        <f t="shared" si="44"/>
        <v>-2355</v>
      </c>
      <c r="AN473" s="1030">
        <f>INDEX(G473:R473,1,MATCH(Parametres!$B$3,G$1:R$1,0))*IF(OR(F473="L",F473="S",F473="I"),-1,1)</f>
        <v>-5460</v>
      </c>
      <c r="AO473" s="598" t="str">
        <f>+VLOOKUP($AJ473,Data_Validation!$A:$D,1,0)</f>
        <v>H22415</v>
      </c>
      <c r="AP473" s="598" t="str">
        <f>+VLOOKUP($AJ473,Data_Validation!$A:$D,3,0)</f>
        <v>Bilan</v>
      </c>
      <c r="AQ473" s="598" t="str">
        <f>+VLOOKUP($AJ473,Data_Validation!$A:$D,4,0)</f>
        <v>Autres Courus</v>
      </c>
      <c r="AR473" s="598" t="s">
        <v>299</v>
      </c>
      <c r="AS473" s="598">
        <f>+VLOOKUP($AJ473,Data_Validation!$A:$E,5,0)</f>
        <v>0</v>
      </c>
      <c r="AT473" s="1036" t="str">
        <f t="shared" si="45"/>
        <v>H22415</v>
      </c>
      <c r="AU473" s="599" t="str">
        <f t="shared" si="46"/>
        <v>RESERVE F&amp;I NEUF + USED</v>
      </c>
      <c r="AV473" s="1030">
        <f>IFERROR(INDEX(V473:AG473,1,MATCH(Parametres!$B$3,V$1:AG$1,0)-1)*IF(OR(C473="L",C473="S",C473="I"),-1,1),"")</f>
        <v>0</v>
      </c>
      <c r="AW473" s="1030">
        <f t="shared" si="47"/>
        <v>0</v>
      </c>
      <c r="AX473" s="1030">
        <f>INDEX(V473:AG473,1,MATCH(Parametres!$B$3,V$1:AG$1,0))*IF(OR(C473="L",C473="S",C473="I"),-1,1)</f>
        <v>0</v>
      </c>
      <c r="AY473" s="598" t="s">
        <v>337</v>
      </c>
      <c r="AZ473" s="598">
        <f>+VLOOKUP($AJ473,Data_Validation!$A:$E,5,0)</f>
        <v>0</v>
      </c>
    </row>
    <row r="474" spans="1:52" ht="15" customHeight="1">
      <c r="A474" s="832" t="s">
        <v>1150</v>
      </c>
      <c r="B474" s="832">
        <v>2025</v>
      </c>
      <c r="C474" s="832" t="s">
        <v>2088</v>
      </c>
      <c r="D474" s="832" t="s">
        <v>2089</v>
      </c>
      <c r="E474" s="832" t="s">
        <v>1813</v>
      </c>
      <c r="F474" s="832" t="s">
        <v>1153</v>
      </c>
      <c r="G474" s="832">
        <v>0</v>
      </c>
      <c r="H474" s="832">
        <v>0</v>
      </c>
      <c r="I474" s="832">
        <v>300</v>
      </c>
      <c r="J474" s="832">
        <v>600</v>
      </c>
      <c r="K474" s="832">
        <v>1100</v>
      </c>
      <c r="L474" s="832">
        <v>1600</v>
      </c>
      <c r="M474" s="832">
        <v>2100</v>
      </c>
      <c r="N474" s="832">
        <v>2600</v>
      </c>
      <c r="O474" s="832">
        <v>3100</v>
      </c>
      <c r="P474" s="832">
        <v>3600</v>
      </c>
      <c r="Q474" s="832">
        <v>3567.18</v>
      </c>
      <c r="R474" s="832">
        <v>2719.05</v>
      </c>
      <c r="S474" s="832">
        <v>0</v>
      </c>
      <c r="T474" s="832">
        <v>0</v>
      </c>
      <c r="U474" s="832">
        <v>0</v>
      </c>
      <c r="V474" s="832">
        <v>0</v>
      </c>
      <c r="W474" s="832">
        <v>0</v>
      </c>
      <c r="X474" s="832">
        <v>0</v>
      </c>
      <c r="Y474" s="832">
        <v>0</v>
      </c>
      <c r="Z474" s="832">
        <v>0</v>
      </c>
      <c r="AA474" s="832">
        <v>0</v>
      </c>
      <c r="AB474" s="832">
        <v>0</v>
      </c>
      <c r="AC474" s="832">
        <v>0</v>
      </c>
      <c r="AD474" s="832">
        <v>0</v>
      </c>
      <c r="AE474" s="832">
        <v>0</v>
      </c>
      <c r="AF474" s="832">
        <v>0</v>
      </c>
      <c r="AG474" s="832">
        <v>0</v>
      </c>
      <c r="AH474" s="832">
        <v>0</v>
      </c>
      <c r="AI474" s="832">
        <v>0</v>
      </c>
      <c r="AJ474" s="1030" t="str">
        <f t="shared" si="48"/>
        <v>H22416</v>
      </c>
      <c r="AK474" s="1030" t="str">
        <f t="shared" si="49"/>
        <v>RESERVE DOMMAGE SERVICE</v>
      </c>
      <c r="AL474" s="1030">
        <f>IFERROR(INDEX(G474:R474,1,MATCH(Parametres!$B$3,G$1:R$1,0)-1)*IF(OR(F474="L",F474="S",F474="I"),-1,1),"")</f>
        <v>-600</v>
      </c>
      <c r="AM474" s="1030">
        <f t="shared" si="44"/>
        <v>-500</v>
      </c>
      <c r="AN474" s="1030">
        <f>INDEX(G474:R474,1,MATCH(Parametres!$B$3,G$1:R$1,0))*IF(OR(F474="L",F474="S",F474="I"),-1,1)</f>
        <v>-1100</v>
      </c>
      <c r="AO474" s="598" t="str">
        <f>+VLOOKUP($AJ474,Data_Validation!$A:$D,1,0)</f>
        <v>H22416</v>
      </c>
      <c r="AP474" s="598" t="str">
        <f>+VLOOKUP($AJ474,Data_Validation!$A:$D,3,0)</f>
        <v>Bilan</v>
      </c>
      <c r="AQ474" s="598" t="str">
        <f>+VLOOKUP($AJ474,Data_Validation!$A:$D,4,0)</f>
        <v>Autres Courus</v>
      </c>
      <c r="AR474" s="598" t="s">
        <v>299</v>
      </c>
      <c r="AS474" s="598">
        <f>+VLOOKUP($AJ474,Data_Validation!$A:$E,5,0)</f>
        <v>0</v>
      </c>
      <c r="AT474" s="1036" t="str">
        <f t="shared" si="45"/>
        <v>H22416</v>
      </c>
      <c r="AU474" s="599" t="str">
        <f t="shared" si="46"/>
        <v>RESERVE DOMMAGE SERVICE</v>
      </c>
      <c r="AV474" s="1030">
        <f>IFERROR(INDEX(V474:AG474,1,MATCH(Parametres!$B$3,V$1:AG$1,0)-1)*IF(OR(C474="L",C474="S",C474="I"),-1,1),"")</f>
        <v>0</v>
      </c>
      <c r="AW474" s="1030">
        <f t="shared" si="47"/>
        <v>0</v>
      </c>
      <c r="AX474" s="1030">
        <f>INDEX(V474:AG474,1,MATCH(Parametres!$B$3,V$1:AG$1,0))*IF(OR(C474="L",C474="S",C474="I"),-1,1)</f>
        <v>0</v>
      </c>
      <c r="AY474" s="598" t="s">
        <v>337</v>
      </c>
      <c r="AZ474" s="598">
        <f>+VLOOKUP($AJ474,Data_Validation!$A:$E,5,0)</f>
        <v>0</v>
      </c>
    </row>
    <row r="475" spans="1:52" ht="15" customHeight="1">
      <c r="A475" s="832" t="s">
        <v>1150</v>
      </c>
      <c r="B475" s="832">
        <v>2025</v>
      </c>
      <c r="C475" s="832" t="s">
        <v>2090</v>
      </c>
      <c r="D475" s="832" t="s">
        <v>2091</v>
      </c>
      <c r="E475" s="832" t="s">
        <v>333</v>
      </c>
      <c r="F475" s="832" t="s">
        <v>1153</v>
      </c>
      <c r="G475" s="832">
        <v>0</v>
      </c>
      <c r="H475" s="832">
        <v>0</v>
      </c>
      <c r="I475" s="832">
        <v>1500</v>
      </c>
      <c r="J475" s="832">
        <v>3000</v>
      </c>
      <c r="K475" s="832">
        <v>4500</v>
      </c>
      <c r="L475" s="832">
        <v>6000</v>
      </c>
      <c r="M475" s="832">
        <v>7500</v>
      </c>
      <c r="N475" s="832">
        <v>9000</v>
      </c>
      <c r="O475" s="832">
        <v>10500</v>
      </c>
      <c r="P475" s="832">
        <v>12000</v>
      </c>
      <c r="Q475" s="832">
        <v>13500</v>
      </c>
      <c r="R475" s="832">
        <v>15000</v>
      </c>
      <c r="S475" s="832">
        <v>0</v>
      </c>
      <c r="T475" s="832">
        <v>0</v>
      </c>
      <c r="U475" s="832">
        <v>0</v>
      </c>
      <c r="V475" s="832">
        <v>0</v>
      </c>
      <c r="W475" s="832">
        <v>0</v>
      </c>
      <c r="X475" s="832">
        <v>0</v>
      </c>
      <c r="Y475" s="832">
        <v>0</v>
      </c>
      <c r="Z475" s="832">
        <v>0</v>
      </c>
      <c r="AA475" s="832">
        <v>0</v>
      </c>
      <c r="AB475" s="832">
        <v>0</v>
      </c>
      <c r="AC475" s="832">
        <v>0</v>
      </c>
      <c r="AD475" s="832">
        <v>0</v>
      </c>
      <c r="AE475" s="832">
        <v>0</v>
      </c>
      <c r="AF475" s="832">
        <v>0</v>
      </c>
      <c r="AG475" s="832">
        <v>0</v>
      </c>
      <c r="AH475" s="832">
        <v>0</v>
      </c>
      <c r="AI475" s="832">
        <v>0</v>
      </c>
      <c r="AJ475" s="1030" t="str">
        <f t="shared" si="48"/>
        <v>H22417</v>
      </c>
      <c r="AK475" s="1030" t="str">
        <f t="shared" si="49"/>
        <v>RESERVE PARTY-EMPLOYES</v>
      </c>
      <c r="AL475" s="1030">
        <f>IFERROR(INDEX(G475:R475,1,MATCH(Parametres!$B$3,G$1:R$1,0)-1)*IF(OR(F475="L",F475="S",F475="I"),-1,1),"")</f>
        <v>-3000</v>
      </c>
      <c r="AM475" s="1030">
        <f t="shared" si="44"/>
        <v>-1500</v>
      </c>
      <c r="AN475" s="1030">
        <f>INDEX(G475:R475,1,MATCH(Parametres!$B$3,G$1:R$1,0))*IF(OR(F475="L",F475="S",F475="I"),-1,1)</f>
        <v>-4500</v>
      </c>
      <c r="AO475" s="598" t="str">
        <f>+VLOOKUP($AJ475,Data_Validation!$A:$D,1,0)</f>
        <v>H22417</v>
      </c>
      <c r="AP475" s="598" t="str">
        <f>+VLOOKUP($AJ475,Data_Validation!$A:$D,3,0)</f>
        <v>Bilan</v>
      </c>
      <c r="AQ475" s="598" t="str">
        <f>+VLOOKUP($AJ475,Data_Validation!$A:$D,4,0)</f>
        <v>Autres Courus</v>
      </c>
      <c r="AR475" s="598" t="s">
        <v>299</v>
      </c>
      <c r="AS475" s="598">
        <f>+VLOOKUP($AJ475,Data_Validation!$A:$E,5,0)</f>
        <v>0</v>
      </c>
      <c r="AT475" s="1036" t="str">
        <f t="shared" si="45"/>
        <v>H22417</v>
      </c>
      <c r="AU475" s="599" t="str">
        <f t="shared" si="46"/>
        <v>RESERVE PARTY-EMPLOYES</v>
      </c>
      <c r="AV475" s="1030">
        <f>IFERROR(INDEX(V475:AG475,1,MATCH(Parametres!$B$3,V$1:AG$1,0)-1)*IF(OR(C475="L",C475="S",C475="I"),-1,1),"")</f>
        <v>0</v>
      </c>
      <c r="AW475" s="1030">
        <f t="shared" si="47"/>
        <v>0</v>
      </c>
      <c r="AX475" s="1030">
        <f>INDEX(V475:AG475,1,MATCH(Parametres!$B$3,V$1:AG$1,0))*IF(OR(C475="L",C475="S",C475="I"),-1,1)</f>
        <v>0</v>
      </c>
      <c r="AY475" s="598" t="s">
        <v>337</v>
      </c>
      <c r="AZ475" s="598">
        <f>+VLOOKUP($AJ475,Data_Validation!$A:$E,5,0)</f>
        <v>0</v>
      </c>
    </row>
    <row r="476" spans="1:52" ht="15" customHeight="1">
      <c r="A476" s="832" t="s">
        <v>1150</v>
      </c>
      <c r="B476" s="832">
        <v>2025</v>
      </c>
      <c r="C476" s="832" t="s">
        <v>2092</v>
      </c>
      <c r="D476" s="832" t="s">
        <v>2093</v>
      </c>
      <c r="E476" s="832" t="s">
        <v>1813</v>
      </c>
      <c r="F476" s="832" t="s">
        <v>1153</v>
      </c>
      <c r="G476" s="832">
        <v>0</v>
      </c>
      <c r="H476" s="832">
        <v>0</v>
      </c>
      <c r="I476" s="832">
        <v>0</v>
      </c>
      <c r="J476" s="832">
        <v>0</v>
      </c>
      <c r="K476" s="832">
        <v>0</v>
      </c>
      <c r="L476" s="832">
        <v>0</v>
      </c>
      <c r="M476" s="832">
        <v>0</v>
      </c>
      <c r="N476" s="832">
        <v>0</v>
      </c>
      <c r="O476" s="832">
        <v>0</v>
      </c>
      <c r="P476" s="832">
        <v>0</v>
      </c>
      <c r="Q476" s="832">
        <v>0</v>
      </c>
      <c r="R476" s="832">
        <v>0</v>
      </c>
      <c r="S476" s="832">
        <v>0</v>
      </c>
      <c r="T476" s="832">
        <v>0</v>
      </c>
      <c r="U476" s="832">
        <v>0</v>
      </c>
      <c r="V476" s="832">
        <v>0</v>
      </c>
      <c r="W476" s="832">
        <v>0</v>
      </c>
      <c r="X476" s="832">
        <v>0</v>
      </c>
      <c r="Y476" s="832">
        <v>0</v>
      </c>
      <c r="Z476" s="832">
        <v>0</v>
      </c>
      <c r="AA476" s="832">
        <v>0</v>
      </c>
      <c r="AB476" s="832">
        <v>0</v>
      </c>
      <c r="AC476" s="832">
        <v>0</v>
      </c>
      <c r="AD476" s="832">
        <v>0</v>
      </c>
      <c r="AE476" s="832">
        <v>0</v>
      </c>
      <c r="AF476" s="832">
        <v>0</v>
      </c>
      <c r="AG476" s="832">
        <v>0</v>
      </c>
      <c r="AH476" s="832">
        <v>0</v>
      </c>
      <c r="AI476" s="832">
        <v>0</v>
      </c>
      <c r="AJ476" s="1030" t="str">
        <f t="shared" si="48"/>
        <v>H22420</v>
      </c>
      <c r="AK476" s="1030" t="str">
        <f t="shared" si="49"/>
        <v>PROGRAMME ENTRETIEN</v>
      </c>
      <c r="AL476" s="1030">
        <f>IFERROR(INDEX(G476:R476,1,MATCH(Parametres!$B$3,G$1:R$1,0)-1)*IF(OR(F476="L",F476="S",F476="I"),-1,1),"")</f>
        <v>0</v>
      </c>
      <c r="AM476" s="1030">
        <f t="shared" si="44"/>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t="str">
        <f t="shared" si="45"/>
        <v>H22420</v>
      </c>
      <c r="AU476" s="599" t="str">
        <f t="shared" si="46"/>
        <v>PROGRAMME ENTRETIEN</v>
      </c>
      <c r="AV476" s="1030">
        <f>IFERROR(INDEX(V476:AG476,1,MATCH(Parametres!$B$3,V$1:AG$1,0)-1)*IF(OR(C476="L",C476="S",C476="I"),-1,1),"")</f>
        <v>0</v>
      </c>
      <c r="AW476" s="1030">
        <f t="shared" si="47"/>
        <v>0</v>
      </c>
      <c r="AX476" s="1030">
        <f>INDEX(V476:AG476,1,MATCH(Parametres!$B$3,V$1:AG$1,0))*IF(OR(C476="L",C476="S",C476="I"),-1,1)</f>
        <v>0</v>
      </c>
      <c r="AY476" s="598" t="s">
        <v>337</v>
      </c>
      <c r="AZ476" s="598" t="e">
        <f>+VLOOKUP($AJ476,Data_Validation!$A:$E,5,0)</f>
        <v>#N/A</v>
      </c>
    </row>
    <row r="477" spans="1:52" ht="15" customHeight="1">
      <c r="A477" s="832" t="s">
        <v>1150</v>
      </c>
      <c r="B477" s="832">
        <v>2025</v>
      </c>
      <c r="C477" s="832" t="s">
        <v>2094</v>
      </c>
      <c r="D477" s="832" t="s">
        <v>2095</v>
      </c>
      <c r="E477" s="832" t="s">
        <v>333</v>
      </c>
      <c r="F477" s="832" t="s">
        <v>1153</v>
      </c>
      <c r="G477" s="832">
        <v>0</v>
      </c>
      <c r="H477" s="832">
        <v>0</v>
      </c>
      <c r="I477" s="832">
        <v>0</v>
      </c>
      <c r="J477" s="832">
        <v>0</v>
      </c>
      <c r="K477" s="832">
        <v>0</v>
      </c>
      <c r="L477" s="832">
        <v>0</v>
      </c>
      <c r="M477" s="832">
        <v>0</v>
      </c>
      <c r="N477" s="832">
        <v>0</v>
      </c>
      <c r="O477" s="832">
        <v>0</v>
      </c>
      <c r="P477" s="832">
        <v>0</v>
      </c>
      <c r="Q477" s="832">
        <v>0</v>
      </c>
      <c r="R477" s="832">
        <v>0</v>
      </c>
      <c r="S477" s="832">
        <v>0</v>
      </c>
      <c r="T477" s="832">
        <v>0</v>
      </c>
      <c r="U477" s="832">
        <v>0</v>
      </c>
      <c r="V477" s="832">
        <v>0</v>
      </c>
      <c r="W477" s="832">
        <v>0</v>
      </c>
      <c r="X477" s="832">
        <v>0</v>
      </c>
      <c r="Y477" s="832">
        <v>0</v>
      </c>
      <c r="Z477" s="832">
        <v>0</v>
      </c>
      <c r="AA477" s="832">
        <v>0</v>
      </c>
      <c r="AB477" s="832">
        <v>0</v>
      </c>
      <c r="AC477" s="832">
        <v>0</v>
      </c>
      <c r="AD477" s="832">
        <v>0</v>
      </c>
      <c r="AE477" s="832">
        <v>0</v>
      </c>
      <c r="AF477" s="832">
        <v>0</v>
      </c>
      <c r="AG477" s="832">
        <v>0</v>
      </c>
      <c r="AH477" s="832">
        <v>0</v>
      </c>
      <c r="AI477" s="832">
        <v>0</v>
      </c>
      <c r="AJ477" s="1030" t="str">
        <f t="shared" si="48"/>
        <v>H22430</v>
      </c>
      <c r="AK477" s="1030" t="str">
        <f t="shared" si="49"/>
        <v>DEDUCTIBLE DEMOS</v>
      </c>
      <c r="AL477" s="1030">
        <f>IFERROR(INDEX(G477:R477,1,MATCH(Parametres!$B$3,G$1:R$1,0)-1)*IF(OR(F477="L",F477="S",F477="I"),-1,1),"")</f>
        <v>0</v>
      </c>
      <c r="AM477" s="1030">
        <f t="shared" si="44"/>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t="str">
        <f t="shared" si="45"/>
        <v>H22430</v>
      </c>
      <c r="AU477" s="599" t="str">
        <f t="shared" si="46"/>
        <v>DEDUCTIBLE DEMOS</v>
      </c>
      <c r="AV477" s="1030">
        <f>IFERROR(INDEX(V477:AG477,1,MATCH(Parametres!$B$3,V$1:AG$1,0)-1)*IF(OR(C477="L",C477="S",C477="I"),-1,1),"")</f>
        <v>0</v>
      </c>
      <c r="AW477" s="1030">
        <f t="shared" si="47"/>
        <v>0</v>
      </c>
      <c r="AX477" s="1030">
        <f>INDEX(V477:AG477,1,MATCH(Parametres!$B$3,V$1:AG$1,0))*IF(OR(C477="L",C477="S",C477="I"),-1,1)</f>
        <v>0</v>
      </c>
      <c r="AY477" s="598" t="s">
        <v>337</v>
      </c>
      <c r="AZ477" s="598" t="e">
        <f>+VLOOKUP($AJ477,Data_Validation!$A:$E,5,0)</f>
        <v>#N/A</v>
      </c>
    </row>
    <row r="478" spans="1:52" ht="15" customHeight="1">
      <c r="A478" s="832" t="s">
        <v>1150</v>
      </c>
      <c r="B478" s="832">
        <v>2025</v>
      </c>
      <c r="C478" s="832" t="s">
        <v>2096</v>
      </c>
      <c r="D478" s="832" t="s">
        <v>2097</v>
      </c>
      <c r="E478" s="832" t="s">
        <v>1854</v>
      </c>
      <c r="F478" s="832" t="s">
        <v>1153</v>
      </c>
      <c r="G478" s="832">
        <v>0</v>
      </c>
      <c r="H478" s="832">
        <v>0</v>
      </c>
      <c r="I478" s="832">
        <v>0</v>
      </c>
      <c r="J478" s="832">
        <v>0</v>
      </c>
      <c r="K478" s="832">
        <v>0</v>
      </c>
      <c r="L478" s="832">
        <v>0</v>
      </c>
      <c r="M478" s="832">
        <v>0</v>
      </c>
      <c r="N478" s="832">
        <v>0</v>
      </c>
      <c r="O478" s="832">
        <v>0</v>
      </c>
      <c r="P478" s="832">
        <v>0</v>
      </c>
      <c r="Q478" s="832">
        <v>0</v>
      </c>
      <c r="R478" s="832">
        <v>0</v>
      </c>
      <c r="S478" s="832">
        <v>0</v>
      </c>
      <c r="T478" s="832">
        <v>0</v>
      </c>
      <c r="U478" s="832">
        <v>0</v>
      </c>
      <c r="V478" s="832">
        <v>0</v>
      </c>
      <c r="W478" s="832">
        <v>0</v>
      </c>
      <c r="X478" s="832">
        <v>0</v>
      </c>
      <c r="Y478" s="832">
        <v>0</v>
      </c>
      <c r="Z478" s="832">
        <v>0</v>
      </c>
      <c r="AA478" s="832">
        <v>0</v>
      </c>
      <c r="AB478" s="832">
        <v>0</v>
      </c>
      <c r="AC478" s="832">
        <v>0</v>
      </c>
      <c r="AD478" s="832">
        <v>0</v>
      </c>
      <c r="AE478" s="832">
        <v>0</v>
      </c>
      <c r="AF478" s="832">
        <v>0</v>
      </c>
      <c r="AG478" s="832">
        <v>0</v>
      </c>
      <c r="AH478" s="832">
        <v>0</v>
      </c>
      <c r="AI478" s="832">
        <v>0</v>
      </c>
      <c r="AJ478" s="1030" t="str">
        <f t="shared" si="48"/>
        <v>H22440</v>
      </c>
      <c r="AK478" s="1030" t="str">
        <f t="shared" si="49"/>
        <v>RES FRAIS DEMO FONC</v>
      </c>
      <c r="AL478" s="1030">
        <f>IFERROR(INDEX(G478:R478,1,MATCH(Parametres!$B$3,G$1:R$1,0)-1)*IF(OR(F478="L",F478="S",F478="I"),-1,1),"")</f>
        <v>0</v>
      </c>
      <c r="AM478" s="1030">
        <f t="shared" si="44"/>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t="str">
        <f t="shared" si="45"/>
        <v>H22440</v>
      </c>
      <c r="AU478" s="599" t="str">
        <f t="shared" si="46"/>
        <v>RES FRAIS DEMO FONC</v>
      </c>
      <c r="AV478" s="1030">
        <f>IFERROR(INDEX(V478:AG478,1,MATCH(Parametres!$B$3,V$1:AG$1,0)-1)*IF(OR(C478="L",C478="S",C478="I"),-1,1),"")</f>
        <v>0</v>
      </c>
      <c r="AW478" s="1030">
        <f t="shared" si="47"/>
        <v>0</v>
      </c>
      <c r="AX478" s="1030">
        <f>INDEX(V478:AG478,1,MATCH(Parametres!$B$3,V$1:AG$1,0))*IF(OR(C478="L",C478="S",C478="I"),-1,1)</f>
        <v>0</v>
      </c>
      <c r="AY478" s="598" t="s">
        <v>337</v>
      </c>
      <c r="AZ478" s="598" t="e">
        <f>+VLOOKUP($AJ478,Data_Validation!$A:$E,5,0)</f>
        <v>#N/A</v>
      </c>
    </row>
    <row r="479" spans="1:52" ht="15" customHeight="1">
      <c r="A479" s="832" t="s">
        <v>1150</v>
      </c>
      <c r="B479" s="832">
        <v>2025</v>
      </c>
      <c r="C479" s="832" t="s">
        <v>2098</v>
      </c>
      <c r="D479" s="832" t="s">
        <v>2099</v>
      </c>
      <c r="E479" s="832" t="s">
        <v>333</v>
      </c>
      <c r="F479" s="832" t="s">
        <v>1153</v>
      </c>
      <c r="G479" s="832">
        <v>0</v>
      </c>
      <c r="H479" s="832">
        <v>0</v>
      </c>
      <c r="I479" s="832">
        <v>0</v>
      </c>
      <c r="J479" s="832">
        <v>0</v>
      </c>
      <c r="K479" s="832">
        <v>0</v>
      </c>
      <c r="L479" s="832">
        <v>0</v>
      </c>
      <c r="M479" s="832">
        <v>0</v>
      </c>
      <c r="N479" s="832">
        <v>0</v>
      </c>
      <c r="O479" s="832">
        <v>0</v>
      </c>
      <c r="P479" s="832">
        <v>0</v>
      </c>
      <c r="Q479" s="832">
        <v>0</v>
      </c>
      <c r="R479" s="832">
        <v>0</v>
      </c>
      <c r="S479" s="832">
        <v>0</v>
      </c>
      <c r="T479" s="832">
        <v>0</v>
      </c>
      <c r="U479" s="832">
        <v>0</v>
      </c>
      <c r="V479" s="832">
        <v>0</v>
      </c>
      <c r="W479" s="832">
        <v>0</v>
      </c>
      <c r="X479" s="832">
        <v>0</v>
      </c>
      <c r="Y479" s="832">
        <v>0</v>
      </c>
      <c r="Z479" s="832">
        <v>0</v>
      </c>
      <c r="AA479" s="832">
        <v>0</v>
      </c>
      <c r="AB479" s="832">
        <v>0</v>
      </c>
      <c r="AC479" s="832">
        <v>0</v>
      </c>
      <c r="AD479" s="832">
        <v>0</v>
      </c>
      <c r="AE479" s="832">
        <v>0</v>
      </c>
      <c r="AF479" s="832">
        <v>0</v>
      </c>
      <c r="AG479" s="832">
        <v>0</v>
      </c>
      <c r="AH479" s="832">
        <v>0</v>
      </c>
      <c r="AI479" s="832">
        <v>0</v>
      </c>
      <c r="AJ479" s="1030" t="str">
        <f t="shared" si="48"/>
        <v>H22450</v>
      </c>
      <c r="AK479" s="1030" t="str">
        <f t="shared" si="49"/>
        <v>TAXES</v>
      </c>
      <c r="AL479" s="1030">
        <f>IFERROR(INDEX(G479:R479,1,MATCH(Parametres!$B$3,G$1:R$1,0)-1)*IF(OR(F479="L",F479="S",F479="I"),-1,1),"")</f>
        <v>0</v>
      </c>
      <c r="AM479" s="1030">
        <f t="shared" si="44"/>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t="str">
        <f t="shared" si="45"/>
        <v>H22450</v>
      </c>
      <c r="AU479" s="599" t="str">
        <f t="shared" si="46"/>
        <v>TAXES</v>
      </c>
      <c r="AV479" s="1030">
        <f>IFERROR(INDEX(V479:AG479,1,MATCH(Parametres!$B$3,V$1:AG$1,0)-1)*IF(OR(C479="L",C479="S",C479="I"),-1,1),"")</f>
        <v>0</v>
      </c>
      <c r="AW479" s="1030">
        <f t="shared" si="47"/>
        <v>0</v>
      </c>
      <c r="AX479" s="1030">
        <f>INDEX(V479:AG479,1,MATCH(Parametres!$B$3,V$1:AG$1,0))*IF(OR(C479="L",C479="S",C479="I"),-1,1)</f>
        <v>0</v>
      </c>
      <c r="AY479" s="598" t="s">
        <v>337</v>
      </c>
      <c r="AZ479" s="598" t="e">
        <f>+VLOOKUP($AJ479,Data_Validation!$A:$E,5,0)</f>
        <v>#N/A</v>
      </c>
    </row>
    <row r="480" spans="1:52" ht="15" customHeight="1">
      <c r="A480" s="832" t="s">
        <v>1150</v>
      </c>
      <c r="B480" s="832">
        <v>2025</v>
      </c>
      <c r="C480" s="832" t="s">
        <v>2100</v>
      </c>
      <c r="D480" s="832" t="s">
        <v>2101</v>
      </c>
      <c r="E480" s="832" t="s">
        <v>333</v>
      </c>
      <c r="F480" s="832" t="s">
        <v>1153</v>
      </c>
      <c r="G480" s="832">
        <v>0</v>
      </c>
      <c r="H480" s="832">
        <v>0</v>
      </c>
      <c r="I480" s="832">
        <v>0</v>
      </c>
      <c r="J480" s="832">
        <v>0</v>
      </c>
      <c r="K480" s="832">
        <v>0</v>
      </c>
      <c r="L480" s="832">
        <v>0</v>
      </c>
      <c r="M480" s="832">
        <v>0</v>
      </c>
      <c r="N480" s="832">
        <v>0</v>
      </c>
      <c r="O480" s="832">
        <v>0</v>
      </c>
      <c r="P480" s="832">
        <v>0</v>
      </c>
      <c r="Q480" s="832">
        <v>0</v>
      </c>
      <c r="R480" s="832">
        <v>0</v>
      </c>
      <c r="S480" s="832">
        <v>0</v>
      </c>
      <c r="T480" s="832">
        <v>0</v>
      </c>
      <c r="U480" s="832">
        <v>0</v>
      </c>
      <c r="V480" s="832">
        <v>0</v>
      </c>
      <c r="W480" s="832">
        <v>0</v>
      </c>
      <c r="X480" s="832">
        <v>0</v>
      </c>
      <c r="Y480" s="832">
        <v>0</v>
      </c>
      <c r="Z480" s="832">
        <v>0</v>
      </c>
      <c r="AA480" s="832">
        <v>0</v>
      </c>
      <c r="AB480" s="832">
        <v>0</v>
      </c>
      <c r="AC480" s="832">
        <v>0</v>
      </c>
      <c r="AD480" s="832">
        <v>0</v>
      </c>
      <c r="AE480" s="832">
        <v>0</v>
      </c>
      <c r="AF480" s="832">
        <v>0</v>
      </c>
      <c r="AG480" s="832">
        <v>0</v>
      </c>
      <c r="AH480" s="832">
        <v>0</v>
      </c>
      <c r="AI480" s="832">
        <v>0</v>
      </c>
      <c r="AJ480" s="1030" t="str">
        <f t="shared" si="48"/>
        <v>H22460</v>
      </c>
      <c r="AK480" s="1030" t="str">
        <f t="shared" si="49"/>
        <v>ASSURANCES</v>
      </c>
      <c r="AL480" s="1030">
        <f>IFERROR(INDEX(G480:R480,1,MATCH(Parametres!$B$3,G$1:R$1,0)-1)*IF(OR(F480="L",F480="S",F480="I"),-1,1),"")</f>
        <v>0</v>
      </c>
      <c r="AM480" s="1030">
        <f t="shared" si="44"/>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t="str">
        <f t="shared" si="45"/>
        <v>H22460</v>
      </c>
      <c r="AU480" s="599" t="str">
        <f t="shared" si="46"/>
        <v>ASSURANCES</v>
      </c>
      <c r="AV480" s="1030">
        <f>IFERROR(INDEX(V480:AG480,1,MATCH(Parametres!$B$3,V$1:AG$1,0)-1)*IF(OR(C480="L",C480="S",C480="I"),-1,1),"")</f>
        <v>0</v>
      </c>
      <c r="AW480" s="1030">
        <f t="shared" si="47"/>
        <v>0</v>
      </c>
      <c r="AX480" s="1030">
        <f>INDEX(V480:AG480,1,MATCH(Parametres!$B$3,V$1:AG$1,0))*IF(OR(C480="L",C480="S",C480="I"),-1,1)</f>
        <v>0</v>
      </c>
      <c r="AY480" s="598" t="s">
        <v>337</v>
      </c>
      <c r="AZ480" s="598" t="e">
        <f>+VLOOKUP($AJ480,Data_Validation!$A:$E,5,0)</f>
        <v>#N/A</v>
      </c>
    </row>
    <row r="481" spans="1:52" ht="15" customHeight="1">
      <c r="A481" s="832" t="s">
        <v>1150</v>
      </c>
      <c r="B481" s="832">
        <v>2025</v>
      </c>
      <c r="C481" s="832" t="s">
        <v>2102</v>
      </c>
      <c r="D481" s="832" t="s">
        <v>2103</v>
      </c>
      <c r="E481" s="832" t="s">
        <v>1813</v>
      </c>
      <c r="F481" s="832" t="s">
        <v>1153</v>
      </c>
      <c r="G481" s="832">
        <v>2879.61</v>
      </c>
      <c r="H481" s="832">
        <v>-2562.4499999999998</v>
      </c>
      <c r="I481" s="832">
        <v>-1901.49</v>
      </c>
      <c r="J481" s="832">
        <v>2732.83</v>
      </c>
      <c r="K481" s="832">
        <v>7210.84</v>
      </c>
      <c r="L481" s="832">
        <v>-1002.18</v>
      </c>
      <c r="M481" s="832">
        <v>2301.35</v>
      </c>
      <c r="N481" s="832">
        <v>7193.54</v>
      </c>
      <c r="O481" s="832">
        <v>437.22</v>
      </c>
      <c r="P481" s="832">
        <v>7185.71</v>
      </c>
      <c r="Q481" s="832">
        <v>5755.74</v>
      </c>
      <c r="R481" s="832">
        <v>13515.35</v>
      </c>
      <c r="S481" s="832">
        <v>0</v>
      </c>
      <c r="T481" s="832">
        <v>0</v>
      </c>
      <c r="U481" s="832">
        <v>0</v>
      </c>
      <c r="V481" s="832">
        <v>0</v>
      </c>
      <c r="W481" s="832">
        <v>0</v>
      </c>
      <c r="X481" s="832">
        <v>0</v>
      </c>
      <c r="Y481" s="832">
        <v>0</v>
      </c>
      <c r="Z481" s="832">
        <v>0</v>
      </c>
      <c r="AA481" s="832">
        <v>0</v>
      </c>
      <c r="AB481" s="832">
        <v>0</v>
      </c>
      <c r="AC481" s="832">
        <v>0</v>
      </c>
      <c r="AD481" s="832">
        <v>0</v>
      </c>
      <c r="AE481" s="832">
        <v>0</v>
      </c>
      <c r="AF481" s="832">
        <v>0</v>
      </c>
      <c r="AG481" s="832">
        <v>0</v>
      </c>
      <c r="AH481" s="832">
        <v>0</v>
      </c>
      <c r="AI481" s="832">
        <v>0</v>
      </c>
      <c r="AJ481" s="1030" t="str">
        <f t="shared" si="48"/>
        <v>H22490</v>
      </c>
      <c r="AK481" s="1030" t="str">
        <f t="shared" si="49"/>
        <v>ACCESS VENDU NON INSTALLÉ</v>
      </c>
      <c r="AL481" s="1030">
        <f>IFERROR(INDEX(G481:R481,1,MATCH(Parametres!$B$3,G$1:R$1,0)-1)*IF(OR(F481="L",F481="S",F481="I"),-1,1),"")</f>
        <v>-2732.83</v>
      </c>
      <c r="AM481" s="1030">
        <f t="shared" si="44"/>
        <v>-4478.01</v>
      </c>
      <c r="AN481" s="1030">
        <f>INDEX(G481:R481,1,MATCH(Parametres!$B$3,G$1:R$1,0))*IF(OR(F481="L",F481="S",F481="I"),-1,1)</f>
        <v>-7210.84</v>
      </c>
      <c r="AO481" s="598" t="str">
        <f>+VLOOKUP($AJ481,Data_Validation!$A:$D,1,0)</f>
        <v>H22490</v>
      </c>
      <c r="AP481" s="598" t="str">
        <f>+VLOOKUP($AJ481,Data_Validation!$A:$D,3,0)</f>
        <v>Bilan</v>
      </c>
      <c r="AQ481" s="598" t="str">
        <f>+VLOOKUP($AJ481,Data_Validation!$A:$D,4,0)</f>
        <v>Autres Courus</v>
      </c>
      <c r="AR481" s="598" t="s">
        <v>299</v>
      </c>
      <c r="AS481" s="598">
        <f>+VLOOKUP($AJ481,Data_Validation!$A:$E,5,0)</f>
        <v>0</v>
      </c>
      <c r="AT481" s="1036" t="str">
        <f t="shared" si="45"/>
        <v>H22490</v>
      </c>
      <c r="AU481" s="599" t="str">
        <f t="shared" si="46"/>
        <v>ACCESS VENDU NON INSTALLÉ</v>
      </c>
      <c r="AV481" s="1030">
        <f>IFERROR(INDEX(V481:AG481,1,MATCH(Parametres!$B$3,V$1:AG$1,0)-1)*IF(OR(C481="L",C481="S",C481="I"),-1,1),"")</f>
        <v>0</v>
      </c>
      <c r="AW481" s="1030">
        <f t="shared" si="47"/>
        <v>0</v>
      </c>
      <c r="AX481" s="1030">
        <f>INDEX(V481:AG481,1,MATCH(Parametres!$B$3,V$1:AG$1,0))*IF(OR(C481="L",C481="S",C481="I"),-1,1)</f>
        <v>0</v>
      </c>
      <c r="AY481" s="598" t="s">
        <v>337</v>
      </c>
      <c r="AZ481" s="598">
        <f>+VLOOKUP($AJ481,Data_Validation!$A:$E,5,0)</f>
        <v>0</v>
      </c>
    </row>
    <row r="482" spans="1:52" ht="15" customHeight="1">
      <c r="A482" s="832" t="s">
        <v>1150</v>
      </c>
      <c r="B482" s="832">
        <v>2025</v>
      </c>
      <c r="C482" s="832" t="s">
        <v>2104</v>
      </c>
      <c r="D482" s="832" t="s">
        <v>2105</v>
      </c>
      <c r="E482" s="832" t="s">
        <v>333</v>
      </c>
      <c r="F482" s="832" t="s">
        <v>1153</v>
      </c>
      <c r="G482" s="832">
        <v>-249653.62</v>
      </c>
      <c r="H482" s="832">
        <v>-250497.39</v>
      </c>
      <c r="I482" s="832">
        <v>-244799.16</v>
      </c>
      <c r="J482" s="832">
        <v>-219775.95</v>
      </c>
      <c r="K482" s="832">
        <v>-293312.63</v>
      </c>
      <c r="L482" s="832">
        <v>-284309.56</v>
      </c>
      <c r="M482" s="832">
        <v>-261779.97</v>
      </c>
      <c r="N482" s="832">
        <v>68223.89</v>
      </c>
      <c r="O482" s="832">
        <v>44279.1</v>
      </c>
      <c r="P482" s="832">
        <v>30405.37</v>
      </c>
      <c r="Q482" s="832">
        <v>30405.37</v>
      </c>
      <c r="R482" s="832">
        <v>50678.82</v>
      </c>
      <c r="S482" s="832">
        <v>0</v>
      </c>
      <c r="T482" s="832">
        <v>0</v>
      </c>
      <c r="U482" s="832">
        <v>0</v>
      </c>
      <c r="V482" s="832">
        <v>0</v>
      </c>
      <c r="W482" s="832">
        <v>0</v>
      </c>
      <c r="X482" s="832">
        <v>0</v>
      </c>
      <c r="Y482" s="832">
        <v>0</v>
      </c>
      <c r="Z482" s="832">
        <v>0</v>
      </c>
      <c r="AA482" s="832">
        <v>0</v>
      </c>
      <c r="AB482" s="832">
        <v>0</v>
      </c>
      <c r="AC482" s="832">
        <v>0</v>
      </c>
      <c r="AD482" s="832">
        <v>0</v>
      </c>
      <c r="AE482" s="832">
        <v>0</v>
      </c>
      <c r="AF482" s="832">
        <v>0</v>
      </c>
      <c r="AG482" s="832">
        <v>0</v>
      </c>
      <c r="AH482" s="832">
        <v>0</v>
      </c>
      <c r="AI482" s="832">
        <v>0</v>
      </c>
      <c r="AJ482" s="1030" t="str">
        <f t="shared" si="48"/>
        <v>H22500</v>
      </c>
      <c r="AK482" s="1030" t="str">
        <f t="shared" si="49"/>
        <v>PAIE NET A PAYER</v>
      </c>
      <c r="AL482" s="1030">
        <f>IFERROR(INDEX(G482:R482,1,MATCH(Parametres!$B$3,G$1:R$1,0)-1)*IF(OR(F482="L",F482="S",F482="I"),-1,1),"")</f>
        <v>219775.95</v>
      </c>
      <c r="AM482" s="1030">
        <f t="shared" si="44"/>
        <v>73536.679999999993</v>
      </c>
      <c r="AN482" s="1030">
        <f>INDEX(G482:R482,1,MATCH(Parametres!$B$3,G$1:R$1,0))*IF(OR(F482="L",F482="S",F482="I"),-1,1)</f>
        <v>293312.63</v>
      </c>
      <c r="AO482" s="598" t="str">
        <f>+VLOOKUP($AJ482,Data_Validation!$A:$D,1,0)</f>
        <v>H22500</v>
      </c>
      <c r="AP482" s="598" t="str">
        <f>+VLOOKUP($AJ482,Data_Validation!$A:$D,3,0)</f>
        <v>Bilan</v>
      </c>
      <c r="AQ482" s="598" t="str">
        <f>+VLOOKUP($AJ482,Data_Validation!$A:$D,4,0)</f>
        <v>Salaires à Payer</v>
      </c>
      <c r="AR482" s="598" t="s">
        <v>299</v>
      </c>
      <c r="AS482" s="598">
        <f>+VLOOKUP($AJ482,Data_Validation!$A:$E,5,0)</f>
        <v>0</v>
      </c>
      <c r="AT482" s="1036" t="str">
        <f t="shared" si="45"/>
        <v>H22500</v>
      </c>
      <c r="AU482" s="599" t="str">
        <f t="shared" si="46"/>
        <v>PAIE NET A PAYER</v>
      </c>
      <c r="AV482" s="1030">
        <f>IFERROR(INDEX(V482:AG482,1,MATCH(Parametres!$B$3,V$1:AG$1,0)-1)*IF(OR(C482="L",C482="S",C482="I"),-1,1),"")</f>
        <v>0</v>
      </c>
      <c r="AW482" s="1030">
        <f t="shared" si="47"/>
        <v>0</v>
      </c>
      <c r="AX482" s="1030">
        <f>INDEX(V482:AG482,1,MATCH(Parametres!$B$3,V$1:AG$1,0))*IF(OR(C482="L",C482="S",C482="I"),-1,1)</f>
        <v>0</v>
      </c>
      <c r="AY482" s="598" t="s">
        <v>337</v>
      </c>
      <c r="AZ482" s="598">
        <f>+VLOOKUP($AJ482,Data_Validation!$A:$E,5,0)</f>
        <v>0</v>
      </c>
    </row>
    <row r="483" spans="1:52" ht="15" customHeight="1">
      <c r="A483" s="832" t="s">
        <v>1150</v>
      </c>
      <c r="B483" s="832">
        <v>2025</v>
      </c>
      <c r="C483" s="832" t="s">
        <v>2106</v>
      </c>
      <c r="D483" s="832" t="s">
        <v>2107</v>
      </c>
      <c r="E483" s="832" t="s">
        <v>1119</v>
      </c>
      <c r="F483" s="832" t="s">
        <v>1153</v>
      </c>
      <c r="G483" s="832">
        <v>0</v>
      </c>
      <c r="H483" s="832">
        <v>0</v>
      </c>
      <c r="I483" s="832">
        <v>0</v>
      </c>
      <c r="J483" s="832">
        <v>0</v>
      </c>
      <c r="K483" s="832">
        <v>0</v>
      </c>
      <c r="L483" s="832">
        <v>0</v>
      </c>
      <c r="M483" s="832">
        <v>0</v>
      </c>
      <c r="N483" s="832">
        <v>0</v>
      </c>
      <c r="O483" s="832">
        <v>0</v>
      </c>
      <c r="P483" s="832">
        <v>0</v>
      </c>
      <c r="Q483" s="832">
        <v>0</v>
      </c>
      <c r="R483" s="832">
        <v>0</v>
      </c>
      <c r="S483" s="832">
        <v>0</v>
      </c>
      <c r="T483" s="832">
        <v>0</v>
      </c>
      <c r="U483" s="832">
        <v>0</v>
      </c>
      <c r="V483" s="832">
        <v>0</v>
      </c>
      <c r="W483" s="832">
        <v>0</v>
      </c>
      <c r="X483" s="832">
        <v>0</v>
      </c>
      <c r="Y483" s="832">
        <v>0</v>
      </c>
      <c r="Z483" s="832">
        <v>0</v>
      </c>
      <c r="AA483" s="832">
        <v>0</v>
      </c>
      <c r="AB483" s="832">
        <v>0</v>
      </c>
      <c r="AC483" s="832">
        <v>0</v>
      </c>
      <c r="AD483" s="832">
        <v>0</v>
      </c>
      <c r="AE483" s="832">
        <v>0</v>
      </c>
      <c r="AF483" s="832">
        <v>0</v>
      </c>
      <c r="AG483" s="832">
        <v>0</v>
      </c>
      <c r="AH483" s="832">
        <v>0</v>
      </c>
      <c r="AI483" s="832">
        <v>0</v>
      </c>
      <c r="AJ483" s="1030" t="str">
        <f t="shared" si="48"/>
        <v>H22500E</v>
      </c>
      <c r="AK483" s="1030" t="str">
        <f t="shared" si="49"/>
        <v>SALAIRES A PAYER - IN/OUT</v>
      </c>
      <c r="AL483" s="1030">
        <f>IFERROR(INDEX(G483:R483,1,MATCH(Parametres!$B$3,G$1:R$1,0)-1)*IF(OR(F483="L",F483="S",F483="I"),-1,1),"")</f>
        <v>0</v>
      </c>
      <c r="AM483" s="1030">
        <f t="shared" si="44"/>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t="str">
        <f t="shared" si="45"/>
        <v>H22500E</v>
      </c>
      <c r="AU483" s="599" t="str">
        <f t="shared" si="46"/>
        <v>SALAIRES A PAYER - IN/OUT</v>
      </c>
      <c r="AV483" s="1030">
        <f>IFERROR(INDEX(V483:AG483,1,MATCH(Parametres!$B$3,V$1:AG$1,0)-1)*IF(OR(C483="L",C483="S",C483="I"),-1,1),"")</f>
        <v>0</v>
      </c>
      <c r="AW483" s="1030">
        <f t="shared" si="47"/>
        <v>0</v>
      </c>
      <c r="AX483" s="1030">
        <f>INDEX(V483:AG483,1,MATCH(Parametres!$B$3,V$1:AG$1,0))*IF(OR(C483="L",C483="S",C483="I"),-1,1)</f>
        <v>0</v>
      </c>
      <c r="AY483" s="598" t="s">
        <v>337</v>
      </c>
      <c r="AZ483" s="598" t="e">
        <f>+VLOOKUP($AJ483,Data_Validation!$A:$E,5,0)</f>
        <v>#N/A</v>
      </c>
    </row>
    <row r="484" spans="1:52" ht="15" customHeight="1">
      <c r="A484" s="832" t="s">
        <v>1150</v>
      </c>
      <c r="B484" s="832">
        <v>2025</v>
      </c>
      <c r="C484" s="832" t="s">
        <v>2108</v>
      </c>
      <c r="D484" s="832" t="s">
        <v>2109</v>
      </c>
      <c r="E484" s="832" t="s">
        <v>2110</v>
      </c>
      <c r="F484" s="832" t="s">
        <v>1153</v>
      </c>
      <c r="G484" s="832">
        <v>0</v>
      </c>
      <c r="H484" s="832">
        <v>0</v>
      </c>
      <c r="I484" s="832">
        <v>0</v>
      </c>
      <c r="J484" s="832">
        <v>0</v>
      </c>
      <c r="K484" s="832">
        <v>0</v>
      </c>
      <c r="L484" s="832">
        <v>0</v>
      </c>
      <c r="M484" s="832">
        <v>0</v>
      </c>
      <c r="N484" s="832">
        <v>0</v>
      </c>
      <c r="O484" s="832">
        <v>0</v>
      </c>
      <c r="P484" s="832">
        <v>0</v>
      </c>
      <c r="Q484" s="832">
        <v>0</v>
      </c>
      <c r="R484" s="832">
        <v>0</v>
      </c>
      <c r="S484" s="832">
        <v>0</v>
      </c>
      <c r="T484" s="832">
        <v>0</v>
      </c>
      <c r="U484" s="832">
        <v>0</v>
      </c>
      <c r="V484" s="832">
        <v>0</v>
      </c>
      <c r="W484" s="832">
        <v>0</v>
      </c>
      <c r="X484" s="832">
        <v>0</v>
      </c>
      <c r="Y484" s="832">
        <v>0</v>
      </c>
      <c r="Z484" s="832">
        <v>0</v>
      </c>
      <c r="AA484" s="832">
        <v>0</v>
      </c>
      <c r="AB484" s="832">
        <v>0</v>
      </c>
      <c r="AC484" s="832">
        <v>0</v>
      </c>
      <c r="AD484" s="832">
        <v>0</v>
      </c>
      <c r="AE484" s="832">
        <v>0</v>
      </c>
      <c r="AF484" s="832">
        <v>0</v>
      </c>
      <c r="AG484" s="832">
        <v>0</v>
      </c>
      <c r="AH484" s="832">
        <v>0</v>
      </c>
      <c r="AI484" s="832">
        <v>0</v>
      </c>
      <c r="AJ484" s="1030" t="str">
        <f t="shared" si="48"/>
        <v>H22500G</v>
      </c>
      <c r="AK484" s="1030" t="str">
        <f t="shared" si="49"/>
        <v>DEDUCTIONS A PAYER/IN-OUT</v>
      </c>
      <c r="AL484" s="1030">
        <f>IFERROR(INDEX(G484:R484,1,MATCH(Parametres!$B$3,G$1:R$1,0)-1)*IF(OR(F484="L",F484="S",F484="I"),-1,1),"")</f>
        <v>0</v>
      </c>
      <c r="AM484" s="1030">
        <f t="shared" si="44"/>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t="str">
        <f t="shared" si="45"/>
        <v>H22500G</v>
      </c>
      <c r="AU484" s="599" t="str">
        <f t="shared" si="46"/>
        <v>DEDUCTIONS A PAYER/IN-OUT</v>
      </c>
      <c r="AV484" s="1030">
        <f>IFERROR(INDEX(V484:AG484,1,MATCH(Parametres!$B$3,V$1:AG$1,0)-1)*IF(OR(C484="L",C484="S",C484="I"),-1,1),"")</f>
        <v>0</v>
      </c>
      <c r="AW484" s="1030">
        <f t="shared" si="47"/>
        <v>0</v>
      </c>
      <c r="AX484" s="1030">
        <f>INDEX(V484:AG484,1,MATCH(Parametres!$B$3,V$1:AG$1,0))*IF(OR(C484="L",C484="S",C484="I"),-1,1)</f>
        <v>0</v>
      </c>
      <c r="AY484" s="598" t="s">
        <v>337</v>
      </c>
      <c r="AZ484" s="598" t="e">
        <f>+VLOOKUP($AJ484,Data_Validation!$A:$E,5,0)</f>
        <v>#N/A</v>
      </c>
    </row>
    <row r="485" spans="1:52" ht="15" customHeight="1">
      <c r="A485" s="832" t="s">
        <v>1150</v>
      </c>
      <c r="B485" s="832">
        <v>2025</v>
      </c>
      <c r="C485" s="832" t="s">
        <v>2111</v>
      </c>
      <c r="D485" s="832" t="s">
        <v>2112</v>
      </c>
      <c r="E485" s="832" t="s">
        <v>1854</v>
      </c>
      <c r="F485" s="832" t="s">
        <v>1153</v>
      </c>
      <c r="G485" s="832">
        <v>167163.49</v>
      </c>
      <c r="H485" s="832">
        <v>166491.76</v>
      </c>
      <c r="I485" s="832">
        <v>164621.57999999999</v>
      </c>
      <c r="J485" s="832">
        <v>176105.07</v>
      </c>
      <c r="K485" s="832">
        <v>201764.4</v>
      </c>
      <c r="L485" s="832">
        <v>198130.47</v>
      </c>
      <c r="M485" s="832">
        <v>188865.12</v>
      </c>
      <c r="N485" s="832">
        <v>151861.34</v>
      </c>
      <c r="O485" s="832">
        <v>154194.29</v>
      </c>
      <c r="P485" s="832">
        <v>167069.82</v>
      </c>
      <c r="Q485" s="832">
        <v>175451.93</v>
      </c>
      <c r="R485" s="832">
        <v>177916.75</v>
      </c>
      <c r="S485" s="832">
        <v>0</v>
      </c>
      <c r="T485" s="832">
        <v>0</v>
      </c>
      <c r="U485" s="832">
        <v>0</v>
      </c>
      <c r="V485" s="832">
        <v>0</v>
      </c>
      <c r="W485" s="832">
        <v>0</v>
      </c>
      <c r="X485" s="832">
        <v>0</v>
      </c>
      <c r="Y485" s="832">
        <v>0</v>
      </c>
      <c r="Z485" s="832">
        <v>0</v>
      </c>
      <c r="AA485" s="832">
        <v>0</v>
      </c>
      <c r="AB485" s="832">
        <v>0</v>
      </c>
      <c r="AC485" s="832">
        <v>0</v>
      </c>
      <c r="AD485" s="832">
        <v>0</v>
      </c>
      <c r="AE485" s="832">
        <v>0</v>
      </c>
      <c r="AF485" s="832">
        <v>0</v>
      </c>
      <c r="AG485" s="832">
        <v>0</v>
      </c>
      <c r="AH485" s="832">
        <v>0</v>
      </c>
      <c r="AI485" s="832">
        <v>0</v>
      </c>
      <c r="AJ485" s="1030" t="str">
        <f t="shared" si="48"/>
        <v>H22600</v>
      </c>
      <c r="AK485" s="1030" t="str">
        <f t="shared" si="49"/>
        <v>VACANCES &amp; CONGES A PAYES</v>
      </c>
      <c r="AL485" s="1030">
        <f>IFERROR(INDEX(G485:R485,1,MATCH(Parametres!$B$3,G$1:R$1,0)-1)*IF(OR(F485="L",F485="S",F485="I"),-1,1),"")</f>
        <v>-176105.07</v>
      </c>
      <c r="AM485" s="1030">
        <f t="shared" si="44"/>
        <v>-25659.329999999987</v>
      </c>
      <c r="AN485" s="1030">
        <f>INDEX(G485:R485,1,MATCH(Parametres!$B$3,G$1:R$1,0))*IF(OR(F485="L",F485="S",F485="I"),-1,1)</f>
        <v>-201764.4</v>
      </c>
      <c r="AO485" s="598" t="str">
        <f>+VLOOKUP($AJ485,Data_Validation!$A:$D,1,0)</f>
        <v>H22600</v>
      </c>
      <c r="AP485" s="598" t="str">
        <f>+VLOOKUP($AJ485,Data_Validation!$A:$D,3,0)</f>
        <v>Bilan</v>
      </c>
      <c r="AQ485" s="598" t="str">
        <f>+VLOOKUP($AJ485,Data_Validation!$A:$D,4,0)</f>
        <v>Salaires à Payer</v>
      </c>
      <c r="AR485" s="598" t="s">
        <v>299</v>
      </c>
      <c r="AS485" s="598">
        <f>+VLOOKUP($AJ485,Data_Validation!$A:$E,5,0)</f>
        <v>0</v>
      </c>
      <c r="AT485" s="1036" t="str">
        <f t="shared" si="45"/>
        <v>H22600</v>
      </c>
      <c r="AU485" s="599" t="str">
        <f t="shared" si="46"/>
        <v>VACANCES &amp; CONGES A PAYES</v>
      </c>
      <c r="AV485" s="1030">
        <f>IFERROR(INDEX(V485:AG485,1,MATCH(Parametres!$B$3,V$1:AG$1,0)-1)*IF(OR(C485="L",C485="S",C485="I"),-1,1),"")</f>
        <v>0</v>
      </c>
      <c r="AW485" s="1030">
        <f t="shared" si="47"/>
        <v>0</v>
      </c>
      <c r="AX485" s="1030">
        <f>INDEX(V485:AG485,1,MATCH(Parametres!$B$3,V$1:AG$1,0))*IF(OR(C485="L",C485="S",C485="I"),-1,1)</f>
        <v>0</v>
      </c>
      <c r="AY485" s="598" t="s">
        <v>337</v>
      </c>
      <c r="AZ485" s="598">
        <f>+VLOOKUP($AJ485,Data_Validation!$A:$E,5,0)</f>
        <v>0</v>
      </c>
    </row>
    <row r="486" spans="1:52" ht="15" customHeight="1">
      <c r="A486" s="832" t="s">
        <v>1150</v>
      </c>
      <c r="B486" s="832">
        <v>2025</v>
      </c>
      <c r="C486" s="832" t="s">
        <v>2113</v>
      </c>
      <c r="D486" s="832" t="s">
        <v>2114</v>
      </c>
      <c r="E486" s="832" t="s">
        <v>333</v>
      </c>
      <c r="F486" s="832" t="s">
        <v>1153</v>
      </c>
      <c r="G486" s="832">
        <v>-1165.54</v>
      </c>
      <c r="H486" s="832">
        <v>-1165.54</v>
      </c>
      <c r="I486" s="832">
        <v>-1165.54</v>
      </c>
      <c r="J486" s="832">
        <v>-1165.54</v>
      </c>
      <c r="K486" s="832">
        <v>-1165.54</v>
      </c>
      <c r="L486" s="832">
        <v>-1165.54</v>
      </c>
      <c r="M486" s="832">
        <v>-1165.54</v>
      </c>
      <c r="N486" s="832">
        <v>-1165.54</v>
      </c>
      <c r="O486" s="832">
        <v>-1165.54</v>
      </c>
      <c r="P486" s="832">
        <v>-1165.54</v>
      </c>
      <c r="Q486" s="832">
        <v>-1165.54</v>
      </c>
      <c r="R486" s="832">
        <v>-1165.54</v>
      </c>
      <c r="S486" s="832">
        <v>0</v>
      </c>
      <c r="T486" s="832">
        <v>0</v>
      </c>
      <c r="U486" s="832">
        <v>0</v>
      </c>
      <c r="V486" s="832">
        <v>0</v>
      </c>
      <c r="W486" s="832">
        <v>0</v>
      </c>
      <c r="X486" s="832">
        <v>0</v>
      </c>
      <c r="Y486" s="832">
        <v>0</v>
      </c>
      <c r="Z486" s="832">
        <v>0</v>
      </c>
      <c r="AA486" s="832">
        <v>0</v>
      </c>
      <c r="AB486" s="832">
        <v>0</v>
      </c>
      <c r="AC486" s="832">
        <v>0</v>
      </c>
      <c r="AD486" s="832">
        <v>0</v>
      </c>
      <c r="AE486" s="832">
        <v>0</v>
      </c>
      <c r="AF486" s="832">
        <v>0</v>
      </c>
      <c r="AG486" s="832">
        <v>0</v>
      </c>
      <c r="AH486" s="832">
        <v>0</v>
      </c>
      <c r="AI486" s="832">
        <v>0</v>
      </c>
      <c r="AJ486" s="1030" t="str">
        <f t="shared" si="48"/>
        <v>H22700</v>
      </c>
      <c r="AK486" s="1030" t="str">
        <f t="shared" si="49"/>
        <v>INTERETS COURUS</v>
      </c>
      <c r="AL486" s="1030">
        <f>IFERROR(INDEX(G486:R486,1,MATCH(Parametres!$B$3,G$1:R$1,0)-1)*IF(OR(F486="L",F486="S",F486="I"),-1,1),"")</f>
        <v>1165.54</v>
      </c>
      <c r="AM486" s="1030">
        <f t="shared" si="44"/>
        <v>0</v>
      </c>
      <c r="AN486" s="1030">
        <f>INDEX(G486:R486,1,MATCH(Parametres!$B$3,G$1:R$1,0))*IF(OR(F486="L",F486="S",F486="I"),-1,1)</f>
        <v>1165.54</v>
      </c>
      <c r="AO486" s="598" t="str">
        <f>+VLOOKUP($AJ486,Data_Validation!$A:$D,1,0)</f>
        <v>H22700</v>
      </c>
      <c r="AP486" s="598" t="str">
        <f>+VLOOKUP($AJ486,Data_Validation!$A:$D,3,0)</f>
        <v>Bilan</v>
      </c>
      <c r="AQ486" s="598" t="str">
        <f>+VLOOKUP($AJ486,Data_Validation!$A:$D,4,0)</f>
        <v>Autres Courus</v>
      </c>
      <c r="AR486" s="598" t="s">
        <v>299</v>
      </c>
      <c r="AS486" s="598">
        <f>+VLOOKUP($AJ486,Data_Validation!$A:$E,5,0)</f>
        <v>0</v>
      </c>
      <c r="AT486" s="1036" t="str">
        <f t="shared" si="45"/>
        <v>H22700</v>
      </c>
      <c r="AU486" s="599" t="str">
        <f t="shared" si="46"/>
        <v>INTERETS COURUS</v>
      </c>
      <c r="AV486" s="1030">
        <f>IFERROR(INDEX(V486:AG486,1,MATCH(Parametres!$B$3,V$1:AG$1,0)-1)*IF(OR(C486="L",C486="S",C486="I"),-1,1),"")</f>
        <v>0</v>
      </c>
      <c r="AW486" s="1030">
        <f t="shared" si="47"/>
        <v>0</v>
      </c>
      <c r="AX486" s="1030">
        <f>INDEX(V486:AG486,1,MATCH(Parametres!$B$3,V$1:AG$1,0))*IF(OR(C486="L",C486="S",C486="I"),-1,1)</f>
        <v>0</v>
      </c>
      <c r="AY486" s="598" t="s">
        <v>337</v>
      </c>
      <c r="AZ486" s="598">
        <f>+VLOOKUP($AJ486,Data_Validation!$A:$E,5,0)</f>
        <v>0</v>
      </c>
    </row>
    <row r="487" spans="1:52" ht="15" customHeight="1">
      <c r="A487" s="832" t="s">
        <v>1150</v>
      </c>
      <c r="B487" s="832">
        <v>2025</v>
      </c>
      <c r="C487" s="832" t="s">
        <v>2115</v>
      </c>
      <c r="D487" s="832" t="s">
        <v>2116</v>
      </c>
      <c r="E487" s="832" t="s">
        <v>333</v>
      </c>
      <c r="F487" s="832" t="s">
        <v>1153</v>
      </c>
      <c r="G487" s="832">
        <v>578076.74</v>
      </c>
      <c r="H487" s="832">
        <v>473385.08</v>
      </c>
      <c r="I487" s="832">
        <v>433104.23</v>
      </c>
      <c r="J487" s="832">
        <v>389214.23</v>
      </c>
      <c r="K487" s="832">
        <v>401604.23</v>
      </c>
      <c r="L487" s="832">
        <v>401604.23</v>
      </c>
      <c r="M487" s="832">
        <v>401604.23</v>
      </c>
      <c r="N487" s="832">
        <v>-63410.05</v>
      </c>
      <c r="O487" s="832">
        <v>-44651.42</v>
      </c>
      <c r="P487" s="832">
        <v>-32651.42</v>
      </c>
      <c r="Q487" s="832">
        <v>-32651.42</v>
      </c>
      <c r="R487" s="832">
        <v>-32651.42</v>
      </c>
      <c r="S487" s="832">
        <v>0</v>
      </c>
      <c r="T487" s="832">
        <v>0</v>
      </c>
      <c r="U487" s="832">
        <v>0</v>
      </c>
      <c r="V487" s="832">
        <v>0</v>
      </c>
      <c r="W487" s="832">
        <v>0</v>
      </c>
      <c r="X487" s="832">
        <v>0</v>
      </c>
      <c r="Y487" s="832">
        <v>0</v>
      </c>
      <c r="Z487" s="832">
        <v>0</v>
      </c>
      <c r="AA487" s="832">
        <v>0</v>
      </c>
      <c r="AB487" s="832">
        <v>0</v>
      </c>
      <c r="AC487" s="832">
        <v>0</v>
      </c>
      <c r="AD487" s="832">
        <v>0</v>
      </c>
      <c r="AE487" s="832">
        <v>0</v>
      </c>
      <c r="AF487" s="832">
        <v>0</v>
      </c>
      <c r="AG487" s="832">
        <v>0</v>
      </c>
      <c r="AH487" s="832">
        <v>0</v>
      </c>
      <c r="AI487" s="832">
        <v>0</v>
      </c>
      <c r="AJ487" s="1030" t="str">
        <f t="shared" si="48"/>
        <v>H22800</v>
      </c>
      <c r="AK487" s="1030" t="str">
        <f t="shared" si="49"/>
        <v>RESERVE DIVERS</v>
      </c>
      <c r="AL487" s="1030">
        <f>IFERROR(INDEX(G487:R487,1,MATCH(Parametres!$B$3,G$1:R$1,0)-1)*IF(OR(F487="L",F487="S",F487="I"),-1,1),"")</f>
        <v>-389214.23</v>
      </c>
      <c r="AM487" s="1030">
        <f t="shared" si="44"/>
        <v>-12390</v>
      </c>
      <c r="AN487" s="1030">
        <f>INDEX(G487:R487,1,MATCH(Parametres!$B$3,G$1:R$1,0))*IF(OR(F487="L",F487="S",F487="I"),-1,1)</f>
        <v>-401604.23</v>
      </c>
      <c r="AO487" s="598" t="str">
        <f>+VLOOKUP($AJ487,Data_Validation!$A:$D,1,0)</f>
        <v>H22800</v>
      </c>
      <c r="AP487" s="598" t="str">
        <f>+VLOOKUP($AJ487,Data_Validation!$A:$D,3,0)</f>
        <v>Bilan</v>
      </c>
      <c r="AQ487" s="598" t="str">
        <f>+VLOOKUP($AJ487,Data_Validation!$A:$D,4,0)</f>
        <v>Autres Courus</v>
      </c>
      <c r="AR487" s="598" t="s">
        <v>299</v>
      </c>
      <c r="AS487" s="598">
        <f>+VLOOKUP($AJ487,Data_Validation!$A:$E,5,0)</f>
        <v>0</v>
      </c>
      <c r="AT487" s="1036" t="str">
        <f t="shared" si="45"/>
        <v>H22800</v>
      </c>
      <c r="AU487" s="599" t="str">
        <f t="shared" si="46"/>
        <v>RESERVE DIVERS</v>
      </c>
      <c r="AV487" s="1030">
        <f>IFERROR(INDEX(V487:AG487,1,MATCH(Parametres!$B$3,V$1:AG$1,0)-1)*IF(OR(C487="L",C487="S",C487="I"),-1,1),"")</f>
        <v>0</v>
      </c>
      <c r="AW487" s="1030">
        <f t="shared" si="47"/>
        <v>0</v>
      </c>
      <c r="AX487" s="1030">
        <f>INDEX(V487:AG487,1,MATCH(Parametres!$B$3,V$1:AG$1,0))*IF(OR(C487="L",C487="S",C487="I"),-1,1)</f>
        <v>0</v>
      </c>
      <c r="AY487" s="598" t="s">
        <v>337</v>
      </c>
      <c r="AZ487" s="598">
        <f>+VLOOKUP($AJ487,Data_Validation!$A:$E,5,0)</f>
        <v>0</v>
      </c>
    </row>
    <row r="488" spans="1:52" ht="15" customHeight="1">
      <c r="A488" s="832" t="s">
        <v>1150</v>
      </c>
      <c r="B488" s="832">
        <v>2025</v>
      </c>
      <c r="C488" s="832" t="s">
        <v>2117</v>
      </c>
      <c r="D488" s="832" t="s">
        <v>2715</v>
      </c>
      <c r="E488" s="832" t="s">
        <v>1813</v>
      </c>
      <c r="F488" s="832" t="s">
        <v>1153</v>
      </c>
      <c r="G488" s="832">
        <v>0</v>
      </c>
      <c r="H488" s="832">
        <v>0</v>
      </c>
      <c r="I488" s="832">
        <v>0</v>
      </c>
      <c r="J488" s="832">
        <v>0</v>
      </c>
      <c r="K488" s="832">
        <v>0</v>
      </c>
      <c r="L488" s="832">
        <v>0</v>
      </c>
      <c r="M488" s="832">
        <v>0</v>
      </c>
      <c r="N488" s="832">
        <v>0</v>
      </c>
      <c r="O488" s="832">
        <v>0</v>
      </c>
      <c r="P488" s="832">
        <v>0</v>
      </c>
      <c r="Q488" s="832">
        <v>0</v>
      </c>
      <c r="R488" s="832">
        <v>0</v>
      </c>
      <c r="S488" s="832">
        <v>0</v>
      </c>
      <c r="T488" s="832">
        <v>0</v>
      </c>
      <c r="U488" s="832">
        <v>0</v>
      </c>
      <c r="V488" s="832">
        <v>0</v>
      </c>
      <c r="W488" s="832">
        <v>0</v>
      </c>
      <c r="X488" s="832">
        <v>0</v>
      </c>
      <c r="Y488" s="832">
        <v>0</v>
      </c>
      <c r="Z488" s="832">
        <v>0</v>
      </c>
      <c r="AA488" s="832">
        <v>0</v>
      </c>
      <c r="AB488" s="832">
        <v>0</v>
      </c>
      <c r="AC488" s="832">
        <v>0</v>
      </c>
      <c r="AD488" s="832">
        <v>0</v>
      </c>
      <c r="AE488" s="832">
        <v>0</v>
      </c>
      <c r="AF488" s="832">
        <v>0</v>
      </c>
      <c r="AG488" s="832">
        <v>0</v>
      </c>
      <c r="AH488" s="832">
        <v>0</v>
      </c>
      <c r="AI488" s="832">
        <v>0</v>
      </c>
      <c r="AJ488" s="1030" t="str">
        <f t="shared" si="48"/>
        <v>H22810</v>
      </c>
      <c r="AK488" s="1030" t="str">
        <f t="shared" si="49"/>
        <v>RESERVE DEDUC GAR REMPLAC</v>
      </c>
      <c r="AL488" s="1030">
        <f>IFERROR(INDEX(G488:R488,1,MATCH(Parametres!$B$3,G$1:R$1,0)-1)*IF(OR(F488="L",F488="S",F488="I"),-1,1),"")</f>
        <v>0</v>
      </c>
      <c r="AM488" s="1030">
        <f t="shared" si="44"/>
        <v>0</v>
      </c>
      <c r="AN488" s="1030">
        <f>INDEX(G488:R488,1,MATCH(Parametres!$B$3,G$1:R$1,0))*IF(OR(F488="L",F488="S",F488="I"),-1,1)</f>
        <v>0</v>
      </c>
      <c r="AO488" s="598" t="str">
        <f>+VLOOKUP($AJ488,Data_Validation!$A:$D,1,0)</f>
        <v>H22810</v>
      </c>
      <c r="AP488" s="598" t="str">
        <f>+VLOOKUP($AJ488,Data_Validation!$A:$D,3,0)</f>
        <v>Bilan</v>
      </c>
      <c r="AQ488" s="598" t="str">
        <f>+VLOOKUP($AJ488,Data_Validation!$A:$D,4,0)</f>
        <v>Autres Courus</v>
      </c>
      <c r="AR488" s="598" t="s">
        <v>299</v>
      </c>
      <c r="AS488" s="598">
        <f>+VLOOKUP($AJ488,Data_Validation!$A:$E,5,0)</f>
        <v>0</v>
      </c>
      <c r="AT488" s="1036" t="str">
        <f t="shared" si="45"/>
        <v>H22810</v>
      </c>
      <c r="AU488" s="599" t="str">
        <f t="shared" si="46"/>
        <v>RESERVE DEDUC GAR REMPLAC</v>
      </c>
      <c r="AV488" s="1030">
        <f>IFERROR(INDEX(V488:AG488,1,MATCH(Parametres!$B$3,V$1:AG$1,0)-1)*IF(OR(C488="L",C488="S",C488="I"),-1,1),"")</f>
        <v>0</v>
      </c>
      <c r="AW488" s="1030">
        <f t="shared" si="47"/>
        <v>0</v>
      </c>
      <c r="AX488" s="1030">
        <f>INDEX(V488:AG488,1,MATCH(Parametres!$B$3,V$1:AG$1,0))*IF(OR(C488="L",C488="S",C488="I"),-1,1)</f>
        <v>0</v>
      </c>
      <c r="AY488" s="598" t="s">
        <v>337</v>
      </c>
      <c r="AZ488" s="598">
        <f>+VLOOKUP($AJ488,Data_Validation!$A:$E,5,0)</f>
        <v>0</v>
      </c>
    </row>
    <row r="489" spans="1:52" ht="15" customHeight="1">
      <c r="A489" s="832" t="s">
        <v>1150</v>
      </c>
      <c r="B489" s="832">
        <v>2025</v>
      </c>
      <c r="C489" s="832" t="s">
        <v>2119</v>
      </c>
      <c r="D489" s="832" t="s">
        <v>2120</v>
      </c>
      <c r="E489" s="832" t="s">
        <v>1813</v>
      </c>
      <c r="F489" s="832" t="s">
        <v>1153</v>
      </c>
      <c r="G489" s="832">
        <v>0</v>
      </c>
      <c r="H489" s="832">
        <v>1100</v>
      </c>
      <c r="I489" s="832">
        <v>1100</v>
      </c>
      <c r="J489" s="832">
        <v>1100</v>
      </c>
      <c r="K489" s="832">
        <v>1100</v>
      </c>
      <c r="L489" s="832">
        <v>1100</v>
      </c>
      <c r="M489" s="832">
        <v>1100</v>
      </c>
      <c r="N489" s="832">
        <v>1100</v>
      </c>
      <c r="O489" s="832">
        <v>1100</v>
      </c>
      <c r="P489" s="832">
        <v>1100</v>
      </c>
      <c r="Q489" s="832">
        <v>1100</v>
      </c>
      <c r="R489" s="832">
        <v>0</v>
      </c>
      <c r="S489" s="832">
        <v>0</v>
      </c>
      <c r="T489" s="832">
        <v>0</v>
      </c>
      <c r="U489" s="832">
        <v>0</v>
      </c>
      <c r="V489" s="832">
        <v>0</v>
      </c>
      <c r="W489" s="832">
        <v>0</v>
      </c>
      <c r="X489" s="832">
        <v>0</v>
      </c>
      <c r="Y489" s="832">
        <v>0</v>
      </c>
      <c r="Z489" s="832">
        <v>0</v>
      </c>
      <c r="AA489" s="832">
        <v>0</v>
      </c>
      <c r="AB489" s="832">
        <v>0</v>
      </c>
      <c r="AC489" s="832">
        <v>0</v>
      </c>
      <c r="AD489" s="832">
        <v>0</v>
      </c>
      <c r="AE489" s="832">
        <v>0</v>
      </c>
      <c r="AF489" s="832">
        <v>0</v>
      </c>
      <c r="AG489" s="832">
        <v>0</v>
      </c>
      <c r="AH489" s="832">
        <v>0</v>
      </c>
      <c r="AI489" s="832">
        <v>0</v>
      </c>
      <c r="AJ489" s="1030" t="str">
        <f t="shared" si="48"/>
        <v>H22820</v>
      </c>
      <c r="AK489" s="1030" t="str">
        <f t="shared" si="49"/>
        <v>RESERVE HPP USED</v>
      </c>
      <c r="AL489" s="1030">
        <f>IFERROR(INDEX(G489:R489,1,MATCH(Parametres!$B$3,G$1:R$1,0)-1)*IF(OR(F489="L",F489="S",F489="I"),-1,1),"")</f>
        <v>-1100</v>
      </c>
      <c r="AM489" s="1030">
        <f t="shared" si="44"/>
        <v>0</v>
      </c>
      <c r="AN489" s="1030">
        <f>INDEX(G489:R489,1,MATCH(Parametres!$B$3,G$1:R$1,0))*IF(OR(F489="L",F489="S",F489="I"),-1,1)</f>
        <v>-1100</v>
      </c>
      <c r="AO489" s="598" t="str">
        <f>+VLOOKUP($AJ489,Data_Validation!$A:$D,1,0)</f>
        <v>H22820</v>
      </c>
      <c r="AP489" s="598" t="str">
        <f>+VLOOKUP($AJ489,Data_Validation!$A:$D,3,0)</f>
        <v>Bilan</v>
      </c>
      <c r="AQ489" s="598" t="str">
        <f>+VLOOKUP($AJ489,Data_Validation!$A:$D,4,0)</f>
        <v>Autres Courus</v>
      </c>
      <c r="AR489" s="598" t="s">
        <v>299</v>
      </c>
      <c r="AS489" s="598">
        <f>+VLOOKUP($AJ489,Data_Validation!$A:$E,5,0)</f>
        <v>0</v>
      </c>
      <c r="AT489" s="1036" t="str">
        <f t="shared" si="45"/>
        <v>H22820</v>
      </c>
      <c r="AU489" s="599" t="str">
        <f t="shared" si="46"/>
        <v>RESERVE HPP USED</v>
      </c>
      <c r="AV489" s="1030">
        <f>IFERROR(INDEX(V489:AG489,1,MATCH(Parametres!$B$3,V$1:AG$1,0)-1)*IF(OR(C489="L",C489="S",C489="I"),-1,1),"")</f>
        <v>0</v>
      </c>
      <c r="AW489" s="1030">
        <f t="shared" si="47"/>
        <v>0</v>
      </c>
      <c r="AX489" s="1030">
        <f>INDEX(V489:AG489,1,MATCH(Parametres!$B$3,V$1:AG$1,0))*IF(OR(C489="L",C489="S",C489="I"),-1,1)</f>
        <v>0</v>
      </c>
      <c r="AY489" s="598" t="s">
        <v>337</v>
      </c>
      <c r="AZ489" s="598">
        <f>+VLOOKUP($AJ489,Data_Validation!$A:$E,5,0)</f>
        <v>0</v>
      </c>
    </row>
    <row r="490" spans="1:52" ht="15" customHeight="1">
      <c r="A490" s="832" t="s">
        <v>1150</v>
      </c>
      <c r="B490" s="832">
        <v>2025</v>
      </c>
      <c r="C490" s="832" t="s">
        <v>2121</v>
      </c>
      <c r="D490" s="832" t="s">
        <v>2122</v>
      </c>
      <c r="E490" s="832" t="s">
        <v>336</v>
      </c>
      <c r="F490" s="832" t="s">
        <v>1153</v>
      </c>
      <c r="G490" s="832">
        <v>0</v>
      </c>
      <c r="H490" s="832">
        <v>0</v>
      </c>
      <c r="I490" s="832">
        <v>0</v>
      </c>
      <c r="J490" s="832">
        <v>0</v>
      </c>
      <c r="K490" s="832">
        <v>0</v>
      </c>
      <c r="L490" s="832">
        <v>0</v>
      </c>
      <c r="M490" s="832">
        <v>0</v>
      </c>
      <c r="N490" s="832">
        <v>0</v>
      </c>
      <c r="O490" s="832">
        <v>0</v>
      </c>
      <c r="P490" s="832">
        <v>0</v>
      </c>
      <c r="Q490" s="832">
        <v>0</v>
      </c>
      <c r="R490" s="832">
        <v>0</v>
      </c>
      <c r="S490" s="832">
        <v>0</v>
      </c>
      <c r="T490" s="832">
        <v>0</v>
      </c>
      <c r="U490" s="832">
        <v>0</v>
      </c>
      <c r="V490" s="832">
        <v>0</v>
      </c>
      <c r="W490" s="832">
        <v>0</v>
      </c>
      <c r="X490" s="832">
        <v>0</v>
      </c>
      <c r="Y490" s="832">
        <v>0</v>
      </c>
      <c r="Z490" s="832">
        <v>0</v>
      </c>
      <c r="AA490" s="832">
        <v>0</v>
      </c>
      <c r="AB490" s="832">
        <v>0</v>
      </c>
      <c r="AC490" s="832">
        <v>0</v>
      </c>
      <c r="AD490" s="832">
        <v>0</v>
      </c>
      <c r="AE490" s="832">
        <v>0</v>
      </c>
      <c r="AF490" s="832">
        <v>0</v>
      </c>
      <c r="AG490" s="832">
        <v>0</v>
      </c>
      <c r="AH490" s="832">
        <v>0</v>
      </c>
      <c r="AI490" s="832">
        <v>0</v>
      </c>
      <c r="AJ490" s="1030" t="str">
        <f t="shared" si="48"/>
        <v>H22830</v>
      </c>
      <c r="AK490" s="1030" t="str">
        <f t="shared" si="49"/>
        <v>RESERVE PARE-BRISE/HASARD</v>
      </c>
      <c r="AL490" s="1030">
        <f>IFERROR(INDEX(G490:R490,1,MATCH(Parametres!$B$3,G$1:R$1,0)-1)*IF(OR(F490="L",F490="S",F490="I"),-1,1),"")</f>
        <v>0</v>
      </c>
      <c r="AM490" s="1030">
        <f t="shared" si="44"/>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t="str">
        <f t="shared" si="45"/>
        <v>H22830</v>
      </c>
      <c r="AU490" s="599" t="str">
        <f t="shared" si="46"/>
        <v>RESERVE PARE-BRISE/HASARD</v>
      </c>
      <c r="AV490" s="1030">
        <f>IFERROR(INDEX(V490:AG490,1,MATCH(Parametres!$B$3,V$1:AG$1,0)-1)*IF(OR(C490="L",C490="S",C490="I"),-1,1),"")</f>
        <v>0</v>
      </c>
      <c r="AW490" s="1030">
        <f t="shared" si="47"/>
        <v>0</v>
      </c>
      <c r="AX490" s="1030">
        <f>INDEX(V490:AG490,1,MATCH(Parametres!$B$3,V$1:AG$1,0))*IF(OR(C490="L",C490="S",C490="I"),-1,1)</f>
        <v>0</v>
      </c>
      <c r="AY490" s="598" t="s">
        <v>337</v>
      </c>
      <c r="AZ490" s="598" t="e">
        <f>+VLOOKUP($AJ490,Data_Validation!$A:$E,5,0)</f>
        <v>#N/A</v>
      </c>
    </row>
    <row r="491" spans="1:52" ht="15" customHeight="1">
      <c r="A491" s="832" t="s">
        <v>1150</v>
      </c>
      <c r="B491" s="832">
        <v>2025</v>
      </c>
      <c r="C491" s="832" t="s">
        <v>2123</v>
      </c>
      <c r="D491" s="832" t="s">
        <v>2124</v>
      </c>
      <c r="E491" s="832" t="s">
        <v>1813</v>
      </c>
      <c r="F491" s="832" t="s">
        <v>1153</v>
      </c>
      <c r="G491" s="832">
        <v>0</v>
      </c>
      <c r="H491" s="832">
        <v>0</v>
      </c>
      <c r="I491" s="832">
        <v>0</v>
      </c>
      <c r="J491" s="832">
        <v>0</v>
      </c>
      <c r="K491" s="832">
        <v>0</v>
      </c>
      <c r="L491" s="832">
        <v>0</v>
      </c>
      <c r="M491" s="832">
        <v>0</v>
      </c>
      <c r="N491" s="832">
        <v>0</v>
      </c>
      <c r="O491" s="832">
        <v>0</v>
      </c>
      <c r="P491" s="832">
        <v>0</v>
      </c>
      <c r="Q491" s="832">
        <v>0</v>
      </c>
      <c r="R491" s="832">
        <v>0</v>
      </c>
      <c r="S491" s="832">
        <v>0</v>
      </c>
      <c r="T491" s="832">
        <v>0</v>
      </c>
      <c r="U491" s="832">
        <v>0</v>
      </c>
      <c r="V491" s="832">
        <v>0</v>
      </c>
      <c r="W491" s="832">
        <v>0</v>
      </c>
      <c r="X491" s="832">
        <v>0</v>
      </c>
      <c r="Y491" s="832">
        <v>0</v>
      </c>
      <c r="Z491" s="832">
        <v>0</v>
      </c>
      <c r="AA491" s="832">
        <v>0</v>
      </c>
      <c r="AB491" s="832">
        <v>0</v>
      </c>
      <c r="AC491" s="832">
        <v>0</v>
      </c>
      <c r="AD491" s="832">
        <v>0</v>
      </c>
      <c r="AE491" s="832">
        <v>0</v>
      </c>
      <c r="AF491" s="832">
        <v>0</v>
      </c>
      <c r="AG491" s="832">
        <v>0</v>
      </c>
      <c r="AH491" s="832">
        <v>0</v>
      </c>
      <c r="AI491" s="832">
        <v>0</v>
      </c>
      <c r="AJ491" s="1030" t="str">
        <f t="shared" si="48"/>
        <v>H22840</v>
      </c>
      <c r="AK491" s="1030" t="str">
        <f t="shared" si="49"/>
        <v>RESERVE ENT ESTHETIQUE</v>
      </c>
      <c r="AL491" s="1030">
        <f>IFERROR(INDEX(G491:R491,1,MATCH(Parametres!$B$3,G$1:R$1,0)-1)*IF(OR(F491="L",F491="S",F491="I"),-1,1),"")</f>
        <v>0</v>
      </c>
      <c r="AM491" s="1030">
        <f t="shared" si="44"/>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t="str">
        <f t="shared" si="45"/>
        <v>H22840</v>
      </c>
      <c r="AU491" s="599" t="str">
        <f t="shared" si="46"/>
        <v>RESERVE ENT ESTHETIQUE</v>
      </c>
      <c r="AV491" s="1030">
        <f>IFERROR(INDEX(V491:AG491,1,MATCH(Parametres!$B$3,V$1:AG$1,0)-1)*IF(OR(C491="L",C491="S",C491="I"),-1,1),"")</f>
        <v>0</v>
      </c>
      <c r="AW491" s="1030">
        <f t="shared" si="47"/>
        <v>0</v>
      </c>
      <c r="AX491" s="1030">
        <f>INDEX(V491:AG491,1,MATCH(Parametres!$B$3,V$1:AG$1,0))*IF(OR(C491="L",C491="S",C491="I"),-1,1)</f>
        <v>0</v>
      </c>
      <c r="AY491" s="598" t="s">
        <v>337</v>
      </c>
      <c r="AZ491" s="598" t="e">
        <f>+VLOOKUP($AJ491,Data_Validation!$A:$E,5,0)</f>
        <v>#N/A</v>
      </c>
    </row>
    <row r="492" spans="1:52" ht="15" customHeight="1">
      <c r="A492" s="832" t="s">
        <v>1150</v>
      </c>
      <c r="B492" s="832">
        <v>2025</v>
      </c>
      <c r="C492" s="832" t="s">
        <v>2125</v>
      </c>
      <c r="D492" s="832" t="s">
        <v>2126</v>
      </c>
      <c r="E492" s="832" t="s">
        <v>1813</v>
      </c>
      <c r="F492" s="832" t="s">
        <v>1153</v>
      </c>
      <c r="G492" s="832">
        <v>0</v>
      </c>
      <c r="H492" s="832">
        <v>0</v>
      </c>
      <c r="I492" s="832">
        <v>0</v>
      </c>
      <c r="J492" s="832">
        <v>0</v>
      </c>
      <c r="K492" s="832">
        <v>0</v>
      </c>
      <c r="L492" s="832">
        <v>0</v>
      </c>
      <c r="M492" s="832">
        <v>0</v>
      </c>
      <c r="N492" s="832">
        <v>0</v>
      </c>
      <c r="O492" s="832">
        <v>0</v>
      </c>
      <c r="P492" s="832">
        <v>0</v>
      </c>
      <c r="Q492" s="832">
        <v>0</v>
      </c>
      <c r="R492" s="832">
        <v>0</v>
      </c>
      <c r="S492" s="832">
        <v>0</v>
      </c>
      <c r="T492" s="832">
        <v>0</v>
      </c>
      <c r="U492" s="832">
        <v>0</v>
      </c>
      <c r="V492" s="832">
        <v>0</v>
      </c>
      <c r="W492" s="832">
        <v>0</v>
      </c>
      <c r="X492" s="832">
        <v>0</v>
      </c>
      <c r="Y492" s="832">
        <v>0</v>
      </c>
      <c r="Z492" s="832">
        <v>0</v>
      </c>
      <c r="AA492" s="832">
        <v>0</v>
      </c>
      <c r="AB492" s="832">
        <v>0</v>
      </c>
      <c r="AC492" s="832">
        <v>0</v>
      </c>
      <c r="AD492" s="832">
        <v>0</v>
      </c>
      <c r="AE492" s="832">
        <v>0</v>
      </c>
      <c r="AF492" s="832">
        <v>0</v>
      </c>
      <c r="AG492" s="832">
        <v>0</v>
      </c>
      <c r="AH492" s="832">
        <v>0</v>
      </c>
      <c r="AI492" s="832">
        <v>0</v>
      </c>
      <c r="AJ492" s="1030" t="str">
        <f t="shared" si="48"/>
        <v>H22850</v>
      </c>
      <c r="AK492" s="1030" t="str">
        <f t="shared" si="49"/>
        <v>RESERVE PNEUS REMISAGE</v>
      </c>
      <c r="AL492" s="1030">
        <f>IFERROR(INDEX(G492:R492,1,MATCH(Parametres!$B$3,G$1:R$1,0)-1)*IF(OR(F492="L",F492="S",F492="I"),-1,1),"")</f>
        <v>0</v>
      </c>
      <c r="AM492" s="1030">
        <f t="shared" si="44"/>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t="str">
        <f t="shared" si="45"/>
        <v>H22850</v>
      </c>
      <c r="AU492" s="599" t="str">
        <f t="shared" si="46"/>
        <v>RESERVE PNEUS REMISAGE</v>
      </c>
      <c r="AV492" s="1030">
        <f>IFERROR(INDEX(V492:AG492,1,MATCH(Parametres!$B$3,V$1:AG$1,0)-1)*IF(OR(C492="L",C492="S",C492="I"),-1,1),"")</f>
        <v>0</v>
      </c>
      <c r="AW492" s="1030">
        <f t="shared" si="47"/>
        <v>0</v>
      </c>
      <c r="AX492" s="1030">
        <f>INDEX(V492:AG492,1,MATCH(Parametres!$B$3,V$1:AG$1,0))*IF(OR(C492="L",C492="S",C492="I"),-1,1)</f>
        <v>0</v>
      </c>
      <c r="AY492" s="598" t="s">
        <v>337</v>
      </c>
      <c r="AZ492" s="598" t="e">
        <f>+VLOOKUP($AJ492,Data_Validation!$A:$E,5,0)</f>
        <v>#N/A</v>
      </c>
    </row>
    <row r="493" spans="1:52" ht="15" customHeight="1">
      <c r="A493" s="832" t="s">
        <v>1150</v>
      </c>
      <c r="B493" s="832">
        <v>2025</v>
      </c>
      <c r="C493" s="832" t="s">
        <v>2127</v>
      </c>
      <c r="D493" s="832" t="s">
        <v>2128</v>
      </c>
      <c r="E493" s="832" t="s">
        <v>333</v>
      </c>
      <c r="F493" s="832" t="s">
        <v>1153</v>
      </c>
      <c r="G493" s="832">
        <v>-1504</v>
      </c>
      <c r="H493" s="832">
        <v>-1504</v>
      </c>
      <c r="I493" s="832">
        <v>-1504</v>
      </c>
      <c r="J493" s="832">
        <v>-1504</v>
      </c>
      <c r="K493" s="832">
        <v>-1504</v>
      </c>
      <c r="L493" s="832">
        <v>-1504</v>
      </c>
      <c r="M493" s="832">
        <v>-1504</v>
      </c>
      <c r="N493" s="832">
        <v>-1504</v>
      </c>
      <c r="O493" s="832">
        <v>-1504</v>
      </c>
      <c r="P493" s="832">
        <v>-1504</v>
      </c>
      <c r="Q493" s="832">
        <v>-1504</v>
      </c>
      <c r="R493" s="832">
        <v>-1504</v>
      </c>
      <c r="S493" s="832">
        <v>0</v>
      </c>
      <c r="T493" s="832">
        <v>0</v>
      </c>
      <c r="U493" s="832">
        <v>0</v>
      </c>
      <c r="V493" s="832">
        <v>0</v>
      </c>
      <c r="W493" s="832">
        <v>0</v>
      </c>
      <c r="X493" s="832">
        <v>0</v>
      </c>
      <c r="Y493" s="832">
        <v>0</v>
      </c>
      <c r="Z493" s="832">
        <v>0</v>
      </c>
      <c r="AA493" s="832">
        <v>0</v>
      </c>
      <c r="AB493" s="832">
        <v>0</v>
      </c>
      <c r="AC493" s="832">
        <v>0</v>
      </c>
      <c r="AD493" s="832">
        <v>0</v>
      </c>
      <c r="AE493" s="832">
        <v>0</v>
      </c>
      <c r="AF493" s="832">
        <v>0</v>
      </c>
      <c r="AG493" s="832">
        <v>0</v>
      </c>
      <c r="AH493" s="832">
        <v>0</v>
      </c>
      <c r="AI493" s="832">
        <v>0</v>
      </c>
      <c r="AJ493" s="1030" t="str">
        <f t="shared" si="48"/>
        <v>H22860</v>
      </c>
      <c r="AK493" s="1030" t="str">
        <f t="shared" si="49"/>
        <v>RESERVE CORE HYUNDAI INCI</v>
      </c>
      <c r="AL493" s="1030">
        <f>IFERROR(INDEX(G493:R493,1,MATCH(Parametres!$B$3,G$1:R$1,0)-1)*IF(OR(F493="L",F493="S",F493="I"),-1,1),"")</f>
        <v>1504</v>
      </c>
      <c r="AM493" s="1030">
        <f t="shared" si="44"/>
        <v>0</v>
      </c>
      <c r="AN493" s="1030">
        <f>INDEX(G493:R493,1,MATCH(Parametres!$B$3,G$1:R$1,0))*IF(OR(F493="L",F493="S",F493="I"),-1,1)</f>
        <v>1504</v>
      </c>
      <c r="AO493" s="598" t="str">
        <f>+VLOOKUP($AJ493,Data_Validation!$A:$D,1,0)</f>
        <v>H22860</v>
      </c>
      <c r="AP493" s="598" t="str">
        <f>+VLOOKUP($AJ493,Data_Validation!$A:$D,3,0)</f>
        <v>Bilan</v>
      </c>
      <c r="AQ493" s="598" t="str">
        <f>+VLOOKUP($AJ493,Data_Validation!$A:$D,4,0)</f>
        <v>Autres Courus</v>
      </c>
      <c r="AR493" s="598" t="s">
        <v>299</v>
      </c>
      <c r="AS493" s="598">
        <f>+VLOOKUP($AJ493,Data_Validation!$A:$E,5,0)</f>
        <v>0</v>
      </c>
      <c r="AT493" s="1036" t="str">
        <f t="shared" si="45"/>
        <v>H22860</v>
      </c>
      <c r="AU493" s="599" t="str">
        <f t="shared" si="46"/>
        <v>RESERVE CORE HYUNDAI INCI</v>
      </c>
      <c r="AV493" s="1030">
        <f>IFERROR(INDEX(V493:AG493,1,MATCH(Parametres!$B$3,V$1:AG$1,0)-1)*IF(OR(C493="L",C493="S",C493="I"),-1,1),"")</f>
        <v>0</v>
      </c>
      <c r="AW493" s="1030">
        <f t="shared" si="47"/>
        <v>0</v>
      </c>
      <c r="AX493" s="1030">
        <f>INDEX(V493:AG493,1,MATCH(Parametres!$B$3,V$1:AG$1,0))*IF(OR(C493="L",C493="S",C493="I"),-1,1)</f>
        <v>0</v>
      </c>
      <c r="AY493" s="598" t="s">
        <v>337</v>
      </c>
      <c r="AZ493" s="598">
        <f>+VLOOKUP($AJ493,Data_Validation!$A:$E,5,0)</f>
        <v>0</v>
      </c>
    </row>
    <row r="494" spans="1:52" ht="15" customHeight="1">
      <c r="A494" s="832" t="s">
        <v>1150</v>
      </c>
      <c r="B494" s="832">
        <v>2025</v>
      </c>
      <c r="C494" s="832" t="s">
        <v>2129</v>
      </c>
      <c r="D494" s="832" t="s">
        <v>2130</v>
      </c>
      <c r="E494" s="832" t="s">
        <v>1813</v>
      </c>
      <c r="F494" s="832" t="s">
        <v>1153</v>
      </c>
      <c r="G494" s="832">
        <v>0</v>
      </c>
      <c r="H494" s="832">
        <v>0</v>
      </c>
      <c r="I494" s="832">
        <v>0</v>
      </c>
      <c r="J494" s="832">
        <v>0</v>
      </c>
      <c r="K494" s="832">
        <v>0</v>
      </c>
      <c r="L494" s="832">
        <v>0</v>
      </c>
      <c r="M494" s="832">
        <v>0</v>
      </c>
      <c r="N494" s="832">
        <v>0</v>
      </c>
      <c r="O494" s="832">
        <v>0</v>
      </c>
      <c r="P494" s="832">
        <v>0</v>
      </c>
      <c r="Q494" s="832">
        <v>0</v>
      </c>
      <c r="R494" s="832">
        <v>0</v>
      </c>
      <c r="S494" s="832">
        <v>0</v>
      </c>
      <c r="T494" s="832">
        <v>0</v>
      </c>
      <c r="U494" s="832">
        <v>0</v>
      </c>
      <c r="V494" s="832">
        <v>0</v>
      </c>
      <c r="W494" s="832">
        <v>0</v>
      </c>
      <c r="X494" s="832">
        <v>0</v>
      </c>
      <c r="Y494" s="832">
        <v>0</v>
      </c>
      <c r="Z494" s="832">
        <v>0</v>
      </c>
      <c r="AA494" s="832">
        <v>0</v>
      </c>
      <c r="AB494" s="832">
        <v>0</v>
      </c>
      <c r="AC494" s="832">
        <v>0</v>
      </c>
      <c r="AD494" s="832">
        <v>0</v>
      </c>
      <c r="AE494" s="832">
        <v>0</v>
      </c>
      <c r="AF494" s="832">
        <v>0</v>
      </c>
      <c r="AG494" s="832">
        <v>0</v>
      </c>
      <c r="AH494" s="832">
        <v>0</v>
      </c>
      <c r="AI494" s="832">
        <v>0</v>
      </c>
      <c r="AJ494" s="1030" t="str">
        <f t="shared" si="48"/>
        <v>H22870</v>
      </c>
      <c r="AK494" s="1030" t="str">
        <f t="shared" si="49"/>
        <v>RESERVE MOTEURS</v>
      </c>
      <c r="AL494" s="1030">
        <f>IFERROR(INDEX(G494:R494,1,MATCH(Parametres!$B$3,G$1:R$1,0)-1)*IF(OR(F494="L",F494="S",F494="I"),-1,1),"")</f>
        <v>0</v>
      </c>
      <c r="AM494" s="1030">
        <f t="shared" si="44"/>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t="str">
        <f t="shared" si="45"/>
        <v>H22870</v>
      </c>
      <c r="AU494" s="599" t="str">
        <f t="shared" si="46"/>
        <v>RESERVE MOTEURS</v>
      </c>
      <c r="AV494" s="1030">
        <f>IFERROR(INDEX(V494:AG494,1,MATCH(Parametres!$B$3,V$1:AG$1,0)-1)*IF(OR(C494="L",C494="S",C494="I"),-1,1),"")</f>
        <v>0</v>
      </c>
      <c r="AW494" s="1030">
        <f t="shared" si="47"/>
        <v>0</v>
      </c>
      <c r="AX494" s="1030">
        <f>INDEX(V494:AG494,1,MATCH(Parametres!$B$3,V$1:AG$1,0))*IF(OR(C494="L",C494="S",C494="I"),-1,1)</f>
        <v>0</v>
      </c>
      <c r="AY494" s="598" t="s">
        <v>337</v>
      </c>
      <c r="AZ494" s="598" t="e">
        <f>+VLOOKUP($AJ494,Data_Validation!$A:$E,5,0)</f>
        <v>#N/A</v>
      </c>
    </row>
    <row r="495" spans="1:52" ht="15" customHeight="1">
      <c r="A495" s="832" t="s">
        <v>1150</v>
      </c>
      <c r="B495" s="832">
        <v>2025</v>
      </c>
      <c r="C495" s="832" t="s">
        <v>2131</v>
      </c>
      <c r="D495" s="832" t="s">
        <v>2132</v>
      </c>
      <c r="E495" s="832" t="s">
        <v>333</v>
      </c>
      <c r="F495" s="832" t="s">
        <v>1153</v>
      </c>
      <c r="G495" s="832">
        <v>-3176.43</v>
      </c>
      <c r="H495" s="832">
        <v>-4579.4799999999996</v>
      </c>
      <c r="I495" s="832">
        <v>-5354.68</v>
      </c>
      <c r="J495" s="832">
        <v>-6010.9</v>
      </c>
      <c r="K495" s="832">
        <v>-6887.66</v>
      </c>
      <c r="L495" s="832">
        <v>-6926.15</v>
      </c>
      <c r="M495" s="832">
        <v>-8008.56</v>
      </c>
      <c r="N495" s="832">
        <v>-5135.75</v>
      </c>
      <c r="O495" s="832">
        <v>-5174.24</v>
      </c>
      <c r="P495" s="832">
        <v>-644.36</v>
      </c>
      <c r="Q495" s="832">
        <v>-1046.58</v>
      </c>
      <c r="R495" s="832">
        <v>-1718.77</v>
      </c>
      <c r="S495" s="832">
        <v>0</v>
      </c>
      <c r="T495" s="832">
        <v>0</v>
      </c>
      <c r="U495" s="832">
        <v>0</v>
      </c>
      <c r="V495" s="832">
        <v>0</v>
      </c>
      <c r="W495" s="832">
        <v>0</v>
      </c>
      <c r="X495" s="832">
        <v>0</v>
      </c>
      <c r="Y495" s="832">
        <v>0</v>
      </c>
      <c r="Z495" s="832">
        <v>0</v>
      </c>
      <c r="AA495" s="832">
        <v>0</v>
      </c>
      <c r="AB495" s="832">
        <v>0</v>
      </c>
      <c r="AC495" s="832">
        <v>0</v>
      </c>
      <c r="AD495" s="832">
        <v>0</v>
      </c>
      <c r="AE495" s="832">
        <v>0</v>
      </c>
      <c r="AF495" s="832">
        <v>0</v>
      </c>
      <c r="AG495" s="832">
        <v>0</v>
      </c>
      <c r="AH495" s="832">
        <v>0</v>
      </c>
      <c r="AI495" s="832">
        <v>0</v>
      </c>
      <c r="AJ495" s="1030" t="str">
        <f t="shared" si="48"/>
        <v>H22900</v>
      </c>
      <c r="AK495" s="1030" t="str">
        <f t="shared" si="49"/>
        <v>MACHINE A CAFE</v>
      </c>
      <c r="AL495" s="1030">
        <f>IFERROR(INDEX(G495:R495,1,MATCH(Parametres!$B$3,G$1:R$1,0)-1)*IF(OR(F495="L",F495="S",F495="I"),-1,1),"")</f>
        <v>6010.9</v>
      </c>
      <c r="AM495" s="1030">
        <f t="shared" si="44"/>
        <v>876.76000000000022</v>
      </c>
      <c r="AN495" s="1030">
        <f>INDEX(G495:R495,1,MATCH(Parametres!$B$3,G$1:R$1,0))*IF(OR(F495="L",F495="S",F495="I"),-1,1)</f>
        <v>6887.66</v>
      </c>
      <c r="AO495" s="598" t="str">
        <f>+VLOOKUP($AJ495,Data_Validation!$A:$D,1,0)</f>
        <v>H22900</v>
      </c>
      <c r="AP495" s="598" t="str">
        <f>+VLOOKUP($AJ495,Data_Validation!$A:$D,3,0)</f>
        <v>Bilan</v>
      </c>
      <c r="AQ495" s="598" t="str">
        <f>+VLOOKUP($AJ495,Data_Validation!$A:$D,4,0)</f>
        <v>Autres Courus</v>
      </c>
      <c r="AR495" s="598" t="s">
        <v>299</v>
      </c>
      <c r="AS495" s="598">
        <f>+VLOOKUP($AJ495,Data_Validation!$A:$E,5,0)</f>
        <v>0</v>
      </c>
      <c r="AT495" s="1036" t="str">
        <f t="shared" si="45"/>
        <v>H22900</v>
      </c>
      <c r="AU495" s="599" t="str">
        <f t="shared" si="46"/>
        <v>MACHINE A CAFE</v>
      </c>
      <c r="AV495" s="1030">
        <f>IFERROR(INDEX(V495:AG495,1,MATCH(Parametres!$B$3,V$1:AG$1,0)-1)*IF(OR(C495="L",C495="S",C495="I"),-1,1),"")</f>
        <v>0</v>
      </c>
      <c r="AW495" s="1030">
        <f t="shared" si="47"/>
        <v>0</v>
      </c>
      <c r="AX495" s="1030">
        <f>INDEX(V495:AG495,1,MATCH(Parametres!$B$3,V$1:AG$1,0))*IF(OR(C495="L",C495="S",C495="I"),-1,1)</f>
        <v>0</v>
      </c>
      <c r="AY495" s="598" t="s">
        <v>337</v>
      </c>
      <c r="AZ495" s="598">
        <f>+VLOOKUP($AJ495,Data_Validation!$A:$E,5,0)</f>
        <v>0</v>
      </c>
    </row>
    <row r="496" spans="1:52" ht="15" customHeight="1">
      <c r="A496" s="832" t="s">
        <v>1150</v>
      </c>
      <c r="B496" s="832">
        <v>2025</v>
      </c>
      <c r="C496" s="832" t="s">
        <v>2133</v>
      </c>
      <c r="D496" s="832" t="s">
        <v>2134</v>
      </c>
      <c r="E496" s="832" t="s">
        <v>333</v>
      </c>
      <c r="F496" s="832" t="s">
        <v>1153</v>
      </c>
      <c r="G496" s="832">
        <v>0</v>
      </c>
      <c r="H496" s="832">
        <v>0</v>
      </c>
      <c r="I496" s="832">
        <v>71399</v>
      </c>
      <c r="J496" s="832">
        <v>-27180</v>
      </c>
      <c r="K496" s="832">
        <v>-65844</v>
      </c>
      <c r="L496" s="832">
        <v>-68951</v>
      </c>
      <c r="M496" s="832">
        <v>-84061</v>
      </c>
      <c r="N496" s="832">
        <v>118261.98</v>
      </c>
      <c r="O496" s="832">
        <v>156892.98000000001</v>
      </c>
      <c r="P496" s="832">
        <v>149676.98000000001</v>
      </c>
      <c r="Q496" s="832">
        <v>141811.98000000001</v>
      </c>
      <c r="R496" s="832">
        <v>83389.98</v>
      </c>
      <c r="S496" s="832">
        <v>0</v>
      </c>
      <c r="T496" s="832">
        <v>0</v>
      </c>
      <c r="U496" s="832">
        <v>0</v>
      </c>
      <c r="V496" s="832">
        <v>0</v>
      </c>
      <c r="W496" s="832">
        <v>0</v>
      </c>
      <c r="X496" s="832">
        <v>0</v>
      </c>
      <c r="Y496" s="832">
        <v>0</v>
      </c>
      <c r="Z496" s="832">
        <v>0</v>
      </c>
      <c r="AA496" s="832">
        <v>0</v>
      </c>
      <c r="AB496" s="832">
        <v>0</v>
      </c>
      <c r="AC496" s="832">
        <v>0</v>
      </c>
      <c r="AD496" s="832">
        <v>0</v>
      </c>
      <c r="AE496" s="832">
        <v>0</v>
      </c>
      <c r="AF496" s="832">
        <v>0</v>
      </c>
      <c r="AG496" s="832">
        <v>0</v>
      </c>
      <c r="AH496" s="832">
        <v>0</v>
      </c>
      <c r="AI496" s="832">
        <v>0</v>
      </c>
      <c r="AJ496" s="1030" t="str">
        <f t="shared" si="48"/>
        <v>H22901</v>
      </c>
      <c r="AK496" s="1030" t="str">
        <f t="shared" si="49"/>
        <v>HOLDBACK</v>
      </c>
      <c r="AL496" s="1030">
        <f>IFERROR(INDEX(G496:R496,1,MATCH(Parametres!$B$3,G$1:R$1,0)-1)*IF(OR(F496="L",F496="S",F496="I"),-1,1),"")</f>
        <v>27180</v>
      </c>
      <c r="AM496" s="1030">
        <f t="shared" si="44"/>
        <v>38664</v>
      </c>
      <c r="AN496" s="1030">
        <f>INDEX(G496:R496,1,MATCH(Parametres!$B$3,G$1:R$1,0))*IF(OR(F496="L",F496="S",F496="I"),-1,1)</f>
        <v>65844</v>
      </c>
      <c r="AO496" s="598" t="str">
        <f>+VLOOKUP($AJ496,Data_Validation!$A:$D,1,0)</f>
        <v>H22901</v>
      </c>
      <c r="AP496" s="598" t="str">
        <f>+VLOOKUP($AJ496,Data_Validation!$A:$D,3,0)</f>
        <v>Bilan</v>
      </c>
      <c r="AQ496" s="598" t="str">
        <f>+VLOOKUP($AJ496,Data_Validation!$A:$D,4,0)</f>
        <v>Autres Courus</v>
      </c>
      <c r="AR496" s="598" t="s">
        <v>299</v>
      </c>
      <c r="AS496" s="598">
        <f>+VLOOKUP($AJ496,Data_Validation!$A:$E,5,0)</f>
        <v>0</v>
      </c>
      <c r="AT496" s="1036" t="str">
        <f t="shared" si="45"/>
        <v>H22901</v>
      </c>
      <c r="AU496" s="599" t="str">
        <f t="shared" si="46"/>
        <v>HOLDBACK</v>
      </c>
      <c r="AV496" s="1030">
        <f>IFERROR(INDEX(V496:AG496,1,MATCH(Parametres!$B$3,V$1:AG$1,0)-1)*IF(OR(C496="L",C496="S",C496="I"),-1,1),"")</f>
        <v>0</v>
      </c>
      <c r="AW496" s="1030">
        <f t="shared" si="47"/>
        <v>0</v>
      </c>
      <c r="AX496" s="1030">
        <f>INDEX(V496:AG496,1,MATCH(Parametres!$B$3,V$1:AG$1,0))*IF(OR(C496="L",C496="S",C496="I"),-1,1)</f>
        <v>0</v>
      </c>
      <c r="AY496" s="598" t="s">
        <v>337</v>
      </c>
      <c r="AZ496" s="598">
        <f>+VLOOKUP($AJ496,Data_Validation!$A:$E,5,0)</f>
        <v>0</v>
      </c>
    </row>
    <row r="497" spans="1:52" ht="15" customHeight="1">
      <c r="A497" s="832" t="s">
        <v>1150</v>
      </c>
      <c r="B497" s="832">
        <v>2025</v>
      </c>
      <c r="C497" s="832" t="s">
        <v>2135</v>
      </c>
      <c r="D497" s="832" t="s">
        <v>2136</v>
      </c>
      <c r="E497" s="832" t="s">
        <v>333</v>
      </c>
      <c r="F497" s="832" t="s">
        <v>1153</v>
      </c>
      <c r="G497" s="832">
        <v>25003</v>
      </c>
      <c r="H497" s="832">
        <v>25003</v>
      </c>
      <c r="I497" s="832">
        <v>25003</v>
      </c>
      <c r="J497" s="832">
        <v>25003</v>
      </c>
      <c r="K497" s="832">
        <v>25003</v>
      </c>
      <c r="L497" s="832">
        <v>-396714</v>
      </c>
      <c r="M497" s="832">
        <v>-396714</v>
      </c>
      <c r="N497" s="832">
        <v>164796</v>
      </c>
      <c r="O497" s="832">
        <v>164796</v>
      </c>
      <c r="P497" s="832">
        <v>164796</v>
      </c>
      <c r="Q497" s="832">
        <v>164796</v>
      </c>
      <c r="R497" s="832">
        <v>164796</v>
      </c>
      <c r="S497" s="832">
        <v>0</v>
      </c>
      <c r="T497" s="832">
        <v>0</v>
      </c>
      <c r="U497" s="832">
        <v>0</v>
      </c>
      <c r="V497" s="832">
        <v>0</v>
      </c>
      <c r="W497" s="832">
        <v>0</v>
      </c>
      <c r="X497" s="832">
        <v>0</v>
      </c>
      <c r="Y497" s="832">
        <v>0</v>
      </c>
      <c r="Z497" s="832">
        <v>0</v>
      </c>
      <c r="AA497" s="832">
        <v>0</v>
      </c>
      <c r="AB497" s="832">
        <v>0</v>
      </c>
      <c r="AC497" s="832">
        <v>0</v>
      </c>
      <c r="AD497" s="832">
        <v>0</v>
      </c>
      <c r="AE497" s="832">
        <v>0</v>
      </c>
      <c r="AF497" s="832">
        <v>0</v>
      </c>
      <c r="AG497" s="832">
        <v>0</v>
      </c>
      <c r="AH497" s="832">
        <v>0</v>
      </c>
      <c r="AI497" s="832">
        <v>0</v>
      </c>
      <c r="AJ497" s="1030" t="str">
        <f t="shared" si="48"/>
        <v>H23100</v>
      </c>
      <c r="AK497" s="1030" t="str">
        <f t="shared" si="49"/>
        <v>IMPOT-ANNEE COURANT</v>
      </c>
      <c r="AL497" s="1030">
        <f>IFERROR(INDEX(G497:R497,1,MATCH(Parametres!$B$3,G$1:R$1,0)-1)*IF(OR(F497="L",F497="S",F497="I"),-1,1),"")</f>
        <v>-25003</v>
      </c>
      <c r="AM497" s="1030">
        <f t="shared" si="44"/>
        <v>0</v>
      </c>
      <c r="AN497" s="1030">
        <f>INDEX(G497:R497,1,MATCH(Parametres!$B$3,G$1:R$1,0))*IF(OR(F497="L",F497="S",F497="I"),-1,1)</f>
        <v>-25003</v>
      </c>
      <c r="AO497" s="598" t="str">
        <f>+VLOOKUP($AJ497,Data_Validation!$A:$D,1,0)</f>
        <v>H23100</v>
      </c>
      <c r="AP497" s="598" t="str">
        <f>+VLOOKUP($AJ497,Data_Validation!$A:$D,3,0)</f>
        <v>Bilan</v>
      </c>
      <c r="AQ497" s="598" t="str">
        <f>+VLOOKUP($AJ497,Data_Validation!$A:$D,4,0)</f>
        <v>Impôts à payer</v>
      </c>
      <c r="AR497" s="598" t="s">
        <v>299</v>
      </c>
      <c r="AS497" s="598">
        <f>+VLOOKUP($AJ497,Data_Validation!$A:$E,5,0)</f>
        <v>0</v>
      </c>
      <c r="AT497" s="1036" t="str">
        <f t="shared" si="45"/>
        <v>H23100</v>
      </c>
      <c r="AU497" s="599" t="str">
        <f t="shared" si="46"/>
        <v>IMPOT-ANNEE COURANT</v>
      </c>
      <c r="AV497" s="1030">
        <f>IFERROR(INDEX(V497:AG497,1,MATCH(Parametres!$B$3,V$1:AG$1,0)-1)*IF(OR(C497="L",C497="S",C497="I"),-1,1),"")</f>
        <v>0</v>
      </c>
      <c r="AW497" s="1030">
        <f t="shared" si="47"/>
        <v>0</v>
      </c>
      <c r="AX497" s="1030">
        <f>INDEX(V497:AG497,1,MATCH(Parametres!$B$3,V$1:AG$1,0))*IF(OR(C497="L",C497="S",C497="I"),-1,1)</f>
        <v>0</v>
      </c>
      <c r="AY497" s="598" t="s">
        <v>337</v>
      </c>
      <c r="AZ497" s="598">
        <f>+VLOOKUP($AJ497,Data_Validation!$A:$E,5,0)</f>
        <v>0</v>
      </c>
    </row>
    <row r="498" spans="1:52" ht="15" customHeight="1">
      <c r="A498" s="832" t="s">
        <v>1150</v>
      </c>
      <c r="B498" s="832">
        <v>2025</v>
      </c>
      <c r="C498" s="832" t="s">
        <v>2137</v>
      </c>
      <c r="D498" s="832" t="s">
        <v>2138</v>
      </c>
      <c r="E498" s="832" t="s">
        <v>333</v>
      </c>
      <c r="F498" s="832" t="s">
        <v>1153</v>
      </c>
      <c r="G498" s="832">
        <v>0</v>
      </c>
      <c r="H498" s="832">
        <v>0</v>
      </c>
      <c r="I498" s="832">
        <v>0</v>
      </c>
      <c r="J498" s="832">
        <v>0</v>
      </c>
      <c r="K498" s="832">
        <v>-118845</v>
      </c>
      <c r="L498" s="832">
        <v>-142614</v>
      </c>
      <c r="M498" s="832">
        <v>-166383</v>
      </c>
      <c r="N498" s="832">
        <v>-190152</v>
      </c>
      <c r="O498" s="832">
        <v>-213921</v>
      </c>
      <c r="P498" s="832">
        <v>-237690</v>
      </c>
      <c r="Q498" s="832">
        <v>-261459</v>
      </c>
      <c r="R498" s="832">
        <v>-285228</v>
      </c>
      <c r="S498" s="832">
        <v>0</v>
      </c>
      <c r="T498" s="832">
        <v>0</v>
      </c>
      <c r="U498" s="832">
        <v>0</v>
      </c>
      <c r="V498" s="832">
        <v>0</v>
      </c>
      <c r="W498" s="832">
        <v>0</v>
      </c>
      <c r="X498" s="832">
        <v>0</v>
      </c>
      <c r="Y498" s="832">
        <v>0</v>
      </c>
      <c r="Z498" s="832">
        <v>0</v>
      </c>
      <c r="AA498" s="832">
        <v>0</v>
      </c>
      <c r="AB498" s="832">
        <v>0</v>
      </c>
      <c r="AC498" s="832">
        <v>0</v>
      </c>
      <c r="AD498" s="832">
        <v>0</v>
      </c>
      <c r="AE498" s="832">
        <v>0</v>
      </c>
      <c r="AF498" s="832">
        <v>0</v>
      </c>
      <c r="AG498" s="832">
        <v>0</v>
      </c>
      <c r="AH498" s="832">
        <v>0</v>
      </c>
      <c r="AI498" s="832">
        <v>0</v>
      </c>
      <c r="AJ498" s="1030" t="str">
        <f t="shared" si="48"/>
        <v>H23105</v>
      </c>
      <c r="AK498" s="1030" t="str">
        <f t="shared" si="49"/>
        <v>ACC PROVISIONNEL PROVINCI</v>
      </c>
      <c r="AL498" s="1030">
        <f>IFERROR(INDEX(G498:R498,1,MATCH(Parametres!$B$3,G$1:R$1,0)-1)*IF(OR(F498="L",F498="S",F498="I"),-1,1),"")</f>
        <v>0</v>
      </c>
      <c r="AM498" s="1030">
        <f t="shared" si="44"/>
        <v>118845</v>
      </c>
      <c r="AN498" s="1030">
        <f>INDEX(G498:R498,1,MATCH(Parametres!$B$3,G$1:R$1,0))*IF(OR(F498="L",F498="S",F498="I"),-1,1)</f>
        <v>118845</v>
      </c>
      <c r="AO498" s="598" t="str">
        <f>+VLOOKUP($AJ498,Data_Validation!$A:$D,1,0)</f>
        <v>H23105</v>
      </c>
      <c r="AP498" s="598" t="str">
        <f>+VLOOKUP($AJ498,Data_Validation!$A:$D,3,0)</f>
        <v>Bilan</v>
      </c>
      <c r="AQ498" s="598" t="str">
        <f>+VLOOKUP($AJ498,Data_Validation!$A:$D,4,0)</f>
        <v>Impôts à payer</v>
      </c>
      <c r="AR498" s="598" t="s">
        <v>299</v>
      </c>
      <c r="AS498" s="598">
        <f>+VLOOKUP($AJ498,Data_Validation!$A:$E,5,0)</f>
        <v>0</v>
      </c>
      <c r="AT498" s="1036" t="str">
        <f t="shared" si="45"/>
        <v>H23105</v>
      </c>
      <c r="AU498" s="599" t="str">
        <f t="shared" si="46"/>
        <v>ACC PROVISIONNEL PROVINCI</v>
      </c>
      <c r="AV498" s="1030">
        <f>IFERROR(INDEX(V498:AG498,1,MATCH(Parametres!$B$3,V$1:AG$1,0)-1)*IF(OR(C498="L",C498="S",C498="I"),-1,1),"")</f>
        <v>0</v>
      </c>
      <c r="AW498" s="1030">
        <f t="shared" si="47"/>
        <v>0</v>
      </c>
      <c r="AX498" s="1030">
        <f>INDEX(V498:AG498,1,MATCH(Parametres!$B$3,V$1:AG$1,0))*IF(OR(C498="L",C498="S",C498="I"),-1,1)</f>
        <v>0</v>
      </c>
      <c r="AY498" s="598" t="s">
        <v>337</v>
      </c>
      <c r="AZ498" s="598">
        <f>+VLOOKUP($AJ498,Data_Validation!$A:$E,5,0)</f>
        <v>0</v>
      </c>
    </row>
    <row r="499" spans="1:52" ht="15" customHeight="1">
      <c r="A499" s="832" t="s">
        <v>1150</v>
      </c>
      <c r="B499" s="832">
        <v>2025</v>
      </c>
      <c r="C499" s="832" t="s">
        <v>2139</v>
      </c>
      <c r="D499" s="832" t="s">
        <v>2140</v>
      </c>
      <c r="E499" s="832" t="s">
        <v>333</v>
      </c>
      <c r="F499" s="832" t="s">
        <v>1153</v>
      </c>
      <c r="G499" s="832">
        <v>0</v>
      </c>
      <c r="H499" s="832">
        <v>0</v>
      </c>
      <c r="I499" s="832">
        <v>0</v>
      </c>
      <c r="J499" s="832">
        <v>0</v>
      </c>
      <c r="K499" s="832">
        <v>-154985</v>
      </c>
      <c r="L499" s="832">
        <v>-185982</v>
      </c>
      <c r="M499" s="832">
        <v>-216979</v>
      </c>
      <c r="N499" s="832">
        <v>-247976</v>
      </c>
      <c r="O499" s="832">
        <v>-278973</v>
      </c>
      <c r="P499" s="832">
        <v>-309970</v>
      </c>
      <c r="Q499" s="832">
        <v>-340967</v>
      </c>
      <c r="R499" s="832">
        <v>-371964</v>
      </c>
      <c r="S499" s="832">
        <v>0</v>
      </c>
      <c r="T499" s="832">
        <v>0</v>
      </c>
      <c r="U499" s="832">
        <v>0</v>
      </c>
      <c r="V499" s="832">
        <v>0</v>
      </c>
      <c r="W499" s="832">
        <v>0</v>
      </c>
      <c r="X499" s="832">
        <v>0</v>
      </c>
      <c r="Y499" s="832">
        <v>0</v>
      </c>
      <c r="Z499" s="832">
        <v>0</v>
      </c>
      <c r="AA499" s="832">
        <v>0</v>
      </c>
      <c r="AB499" s="832">
        <v>0</v>
      </c>
      <c r="AC499" s="832">
        <v>0</v>
      </c>
      <c r="AD499" s="832">
        <v>0</v>
      </c>
      <c r="AE499" s="832">
        <v>0</v>
      </c>
      <c r="AF499" s="832">
        <v>0</v>
      </c>
      <c r="AG499" s="832">
        <v>0</v>
      </c>
      <c r="AH499" s="832">
        <v>0</v>
      </c>
      <c r="AI499" s="832">
        <v>0</v>
      </c>
      <c r="AJ499" s="1030" t="str">
        <f t="shared" si="48"/>
        <v>H23110</v>
      </c>
      <c r="AK499" s="1030" t="str">
        <f t="shared" si="49"/>
        <v>ACC PROVISIONNEL FÉDÉRAL</v>
      </c>
      <c r="AL499" s="1030">
        <f>IFERROR(INDEX(G499:R499,1,MATCH(Parametres!$B$3,G$1:R$1,0)-1)*IF(OR(F499="L",F499="S",F499="I"),-1,1),"")</f>
        <v>0</v>
      </c>
      <c r="AM499" s="1030">
        <f t="shared" si="44"/>
        <v>154985</v>
      </c>
      <c r="AN499" s="1030">
        <f>INDEX(G499:R499,1,MATCH(Parametres!$B$3,G$1:R$1,0))*IF(OR(F499="L",F499="S",F499="I"),-1,1)</f>
        <v>154985</v>
      </c>
      <c r="AO499" s="598" t="str">
        <f>+VLOOKUP($AJ499,Data_Validation!$A:$D,1,0)</f>
        <v>H23110</v>
      </c>
      <c r="AP499" s="598" t="str">
        <f>+VLOOKUP($AJ499,Data_Validation!$A:$D,3,0)</f>
        <v>Bilan</v>
      </c>
      <c r="AQ499" s="598" t="str">
        <f>+VLOOKUP($AJ499,Data_Validation!$A:$D,4,0)</f>
        <v>Impôts à payer</v>
      </c>
      <c r="AR499" s="598" t="s">
        <v>299</v>
      </c>
      <c r="AS499" s="598">
        <f>+VLOOKUP($AJ499,Data_Validation!$A:$E,5,0)</f>
        <v>0</v>
      </c>
      <c r="AT499" s="1036" t="str">
        <f t="shared" si="45"/>
        <v>H23110</v>
      </c>
      <c r="AU499" s="599" t="str">
        <f t="shared" si="46"/>
        <v>ACC PROVISIONNEL FÉDÉRAL</v>
      </c>
      <c r="AV499" s="1030">
        <f>IFERROR(INDEX(V499:AG499,1,MATCH(Parametres!$B$3,V$1:AG$1,0)-1)*IF(OR(C499="L",C499="S",C499="I"),-1,1),"")</f>
        <v>0</v>
      </c>
      <c r="AW499" s="1030">
        <f t="shared" si="47"/>
        <v>0</v>
      </c>
      <c r="AX499" s="1030">
        <f>INDEX(V499:AG499,1,MATCH(Parametres!$B$3,V$1:AG$1,0))*IF(OR(C499="L",C499="S",C499="I"),-1,1)</f>
        <v>0</v>
      </c>
      <c r="AY499" s="598" t="s">
        <v>337</v>
      </c>
      <c r="AZ499" s="598">
        <f>+VLOOKUP($AJ499,Data_Validation!$A:$E,5,0)</f>
        <v>0</v>
      </c>
    </row>
    <row r="500" spans="1:52" ht="15" customHeight="1">
      <c r="A500" s="832" t="s">
        <v>1150</v>
      </c>
      <c r="B500" s="832">
        <v>2025</v>
      </c>
      <c r="C500" s="832" t="s">
        <v>2141</v>
      </c>
      <c r="D500" s="832" t="s">
        <v>2142</v>
      </c>
      <c r="E500" s="832" t="s">
        <v>333</v>
      </c>
      <c r="F500" s="832" t="s">
        <v>1153</v>
      </c>
      <c r="G500" s="832">
        <v>0</v>
      </c>
      <c r="H500" s="832">
        <v>0</v>
      </c>
      <c r="I500" s="832">
        <v>0</v>
      </c>
      <c r="J500" s="832">
        <v>0</v>
      </c>
      <c r="K500" s="832">
        <v>0</v>
      </c>
      <c r="L500" s="832">
        <v>0</v>
      </c>
      <c r="M500" s="832">
        <v>0</v>
      </c>
      <c r="N500" s="832">
        <v>0</v>
      </c>
      <c r="O500" s="832">
        <v>0</v>
      </c>
      <c r="P500" s="832">
        <v>0</v>
      </c>
      <c r="Q500" s="832">
        <v>0</v>
      </c>
      <c r="R500" s="832">
        <v>0</v>
      </c>
      <c r="S500" s="832">
        <v>0</v>
      </c>
      <c r="T500" s="832">
        <v>0</v>
      </c>
      <c r="U500" s="832">
        <v>0</v>
      </c>
      <c r="V500" s="832">
        <v>0</v>
      </c>
      <c r="W500" s="832">
        <v>0</v>
      </c>
      <c r="X500" s="832">
        <v>0</v>
      </c>
      <c r="Y500" s="832">
        <v>0</v>
      </c>
      <c r="Z500" s="832">
        <v>0</v>
      </c>
      <c r="AA500" s="832">
        <v>0</v>
      </c>
      <c r="AB500" s="832">
        <v>0</v>
      </c>
      <c r="AC500" s="832">
        <v>0</v>
      </c>
      <c r="AD500" s="832">
        <v>0</v>
      </c>
      <c r="AE500" s="832">
        <v>0</v>
      </c>
      <c r="AF500" s="832">
        <v>0</v>
      </c>
      <c r="AG500" s="832">
        <v>0</v>
      </c>
      <c r="AH500" s="832">
        <v>0</v>
      </c>
      <c r="AI500" s="832">
        <v>0</v>
      </c>
      <c r="AJ500" s="1030" t="str">
        <f t="shared" si="48"/>
        <v>H23200</v>
      </c>
      <c r="AK500" s="1030" t="str">
        <f t="shared" si="49"/>
        <v>TAXES FED &amp; PROV(PERIODES</v>
      </c>
      <c r="AL500" s="1030">
        <f>IFERROR(INDEX(G500:R500,1,MATCH(Parametres!$B$3,G$1:R$1,0)-1)*IF(OR(F500="L",F500="S",F500="I"),-1,1),"")</f>
        <v>0</v>
      </c>
      <c r="AM500" s="1030">
        <f t="shared" si="44"/>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t="str">
        <f t="shared" si="45"/>
        <v>H23200</v>
      </c>
      <c r="AU500" s="599" t="str">
        <f t="shared" si="46"/>
        <v>TAXES FED &amp; PROV(PERIODES</v>
      </c>
      <c r="AV500" s="1030">
        <f>IFERROR(INDEX(V500:AG500,1,MATCH(Parametres!$B$3,V$1:AG$1,0)-1)*IF(OR(C500="L",C500="S",C500="I"),-1,1),"")</f>
        <v>0</v>
      </c>
      <c r="AW500" s="1030">
        <f t="shared" si="47"/>
        <v>0</v>
      </c>
      <c r="AX500" s="1030">
        <f>INDEX(V500:AG500,1,MATCH(Parametres!$B$3,V$1:AG$1,0))*IF(OR(C500="L",C500="S",C500="I"),-1,1)</f>
        <v>0</v>
      </c>
      <c r="AY500" s="598" t="s">
        <v>337</v>
      </c>
      <c r="AZ500" s="598" t="e">
        <f>+VLOOKUP($AJ500,Data_Validation!$A:$E,5,0)</f>
        <v>#N/A</v>
      </c>
    </row>
    <row r="501" spans="1:52" ht="15" customHeight="1">
      <c r="A501" s="832" t="s">
        <v>1150</v>
      </c>
      <c r="B501" s="832">
        <v>2025</v>
      </c>
      <c r="C501" s="832" t="s">
        <v>2143</v>
      </c>
      <c r="D501" s="832" t="s">
        <v>2144</v>
      </c>
      <c r="E501" s="832" t="s">
        <v>333</v>
      </c>
      <c r="F501" s="832" t="s">
        <v>1153</v>
      </c>
      <c r="G501" s="832">
        <v>-26280</v>
      </c>
      <c r="H501" s="832">
        <v>-26280</v>
      </c>
      <c r="I501" s="832">
        <v>-26280</v>
      </c>
      <c r="J501" s="832">
        <v>-26280</v>
      </c>
      <c r="K501" s="832">
        <v>-26280</v>
      </c>
      <c r="L501" s="832">
        <v>-26280</v>
      </c>
      <c r="M501" s="832">
        <v>-26280</v>
      </c>
      <c r="N501" s="832">
        <v>0</v>
      </c>
      <c r="O501" s="832">
        <v>0</v>
      </c>
      <c r="P501" s="832">
        <v>0</v>
      </c>
      <c r="Q501" s="832">
        <v>0</v>
      </c>
      <c r="R501" s="832">
        <v>0</v>
      </c>
      <c r="S501" s="832">
        <v>0</v>
      </c>
      <c r="T501" s="832">
        <v>0</v>
      </c>
      <c r="U501" s="832">
        <v>0</v>
      </c>
      <c r="V501" s="832">
        <v>0</v>
      </c>
      <c r="W501" s="832">
        <v>0</v>
      </c>
      <c r="X501" s="832">
        <v>0</v>
      </c>
      <c r="Y501" s="832">
        <v>0</v>
      </c>
      <c r="Z501" s="832">
        <v>0</v>
      </c>
      <c r="AA501" s="832">
        <v>0</v>
      </c>
      <c r="AB501" s="832">
        <v>0</v>
      </c>
      <c r="AC501" s="832">
        <v>0</v>
      </c>
      <c r="AD501" s="832">
        <v>0</v>
      </c>
      <c r="AE501" s="832">
        <v>0</v>
      </c>
      <c r="AF501" s="832">
        <v>0</v>
      </c>
      <c r="AG501" s="832">
        <v>0</v>
      </c>
      <c r="AH501" s="832">
        <v>0</v>
      </c>
      <c r="AI501" s="832">
        <v>0</v>
      </c>
      <c r="AJ501" s="1030" t="str">
        <f t="shared" si="48"/>
        <v>H23300</v>
      </c>
      <c r="AK501" s="1030" t="str">
        <f t="shared" si="49"/>
        <v>IMPOTS CEDUL. PAYES AV.</v>
      </c>
      <c r="AL501" s="1030">
        <f>IFERROR(INDEX(G501:R501,1,MATCH(Parametres!$B$3,G$1:R$1,0)-1)*IF(OR(F501="L",F501="S",F501="I"),-1,1),"")</f>
        <v>26280</v>
      </c>
      <c r="AM501" s="1030">
        <f t="shared" si="44"/>
        <v>0</v>
      </c>
      <c r="AN501" s="1030">
        <f>INDEX(G501:R501,1,MATCH(Parametres!$B$3,G$1:R$1,0))*IF(OR(F501="L",F501="S",F501="I"),-1,1)</f>
        <v>26280</v>
      </c>
      <c r="AO501" s="598" t="str">
        <f>+VLOOKUP($AJ501,Data_Validation!$A:$D,1,0)</f>
        <v>H23300</v>
      </c>
      <c r="AP501" s="598" t="str">
        <f>+VLOOKUP($AJ501,Data_Validation!$A:$D,3,0)</f>
        <v>Bilan</v>
      </c>
      <c r="AQ501" s="598" t="str">
        <f>+VLOOKUP($AJ501,Data_Validation!$A:$D,4,0)</f>
        <v>Impôts à payer</v>
      </c>
      <c r="AR501" s="598" t="s">
        <v>299</v>
      </c>
      <c r="AS501" s="598">
        <f>+VLOOKUP($AJ501,Data_Validation!$A:$E,5,0)</f>
        <v>0</v>
      </c>
      <c r="AT501" s="1036" t="str">
        <f t="shared" si="45"/>
        <v>H23300</v>
      </c>
      <c r="AU501" s="599" t="str">
        <f t="shared" si="46"/>
        <v>IMPOTS CEDUL. PAYES AV.</v>
      </c>
      <c r="AV501" s="1030">
        <f>IFERROR(INDEX(V501:AG501,1,MATCH(Parametres!$B$3,V$1:AG$1,0)-1)*IF(OR(C501="L",C501="S",C501="I"),-1,1),"")</f>
        <v>0</v>
      </c>
      <c r="AW501" s="1030">
        <f t="shared" si="47"/>
        <v>0</v>
      </c>
      <c r="AX501" s="1030">
        <f>INDEX(V501:AG501,1,MATCH(Parametres!$B$3,V$1:AG$1,0))*IF(OR(C501="L",C501="S",C501="I"),-1,1)</f>
        <v>0</v>
      </c>
      <c r="AY501" s="598" t="s">
        <v>337</v>
      </c>
      <c r="AZ501" s="598">
        <f>+VLOOKUP($AJ501,Data_Validation!$A:$E,5,0)</f>
        <v>0</v>
      </c>
    </row>
    <row r="502" spans="1:52" ht="15" customHeight="1">
      <c r="A502" s="832" t="s">
        <v>1150</v>
      </c>
      <c r="B502" s="832">
        <v>2025</v>
      </c>
      <c r="C502" s="832" t="s">
        <v>2145</v>
      </c>
      <c r="D502" s="832" t="s">
        <v>2146</v>
      </c>
      <c r="E502" s="832" t="s">
        <v>333</v>
      </c>
      <c r="F502" s="832" t="s">
        <v>1153</v>
      </c>
      <c r="G502" s="832">
        <v>-76321</v>
      </c>
      <c r="H502" s="832">
        <v>-76321</v>
      </c>
      <c r="I502" s="832">
        <v>-76321</v>
      </c>
      <c r="J502" s="832">
        <v>-76321</v>
      </c>
      <c r="K502" s="832">
        <v>-76321</v>
      </c>
      <c r="L502" s="832">
        <v>-76321</v>
      </c>
      <c r="M502" s="832">
        <v>-76321</v>
      </c>
      <c r="N502" s="832">
        <v>364994.57</v>
      </c>
      <c r="O502" s="832">
        <v>364994.57</v>
      </c>
      <c r="P502" s="832">
        <v>364994.57</v>
      </c>
      <c r="Q502" s="832">
        <v>364994.57</v>
      </c>
      <c r="R502" s="832">
        <v>364994.57</v>
      </c>
      <c r="S502" s="832">
        <v>0</v>
      </c>
      <c r="T502" s="832">
        <v>0</v>
      </c>
      <c r="U502" s="832">
        <v>0</v>
      </c>
      <c r="V502" s="832">
        <v>0</v>
      </c>
      <c r="W502" s="832">
        <v>0</v>
      </c>
      <c r="X502" s="832">
        <v>0</v>
      </c>
      <c r="Y502" s="832">
        <v>0</v>
      </c>
      <c r="Z502" s="832">
        <v>0</v>
      </c>
      <c r="AA502" s="832">
        <v>0</v>
      </c>
      <c r="AB502" s="832">
        <v>0</v>
      </c>
      <c r="AC502" s="832">
        <v>0</v>
      </c>
      <c r="AD502" s="832">
        <v>0</v>
      </c>
      <c r="AE502" s="832">
        <v>0</v>
      </c>
      <c r="AF502" s="832">
        <v>0</v>
      </c>
      <c r="AG502" s="832">
        <v>0</v>
      </c>
      <c r="AH502" s="832">
        <v>0</v>
      </c>
      <c r="AI502" s="832">
        <v>0</v>
      </c>
      <c r="AJ502" s="1030" t="str">
        <f t="shared" si="48"/>
        <v>H23310</v>
      </c>
      <c r="AK502" s="1030" t="str">
        <f t="shared" si="49"/>
        <v>IMPOT CEDUL P. AV FED</v>
      </c>
      <c r="AL502" s="1030">
        <f>IFERROR(INDEX(G502:R502,1,MATCH(Parametres!$B$3,G$1:R$1,0)-1)*IF(OR(F502="L",F502="S",F502="I"),-1,1),"")</f>
        <v>76321</v>
      </c>
      <c r="AM502" s="1030">
        <f t="shared" si="44"/>
        <v>0</v>
      </c>
      <c r="AN502" s="1030">
        <f>INDEX(G502:R502,1,MATCH(Parametres!$B$3,G$1:R$1,0))*IF(OR(F502="L",F502="S",F502="I"),-1,1)</f>
        <v>76321</v>
      </c>
      <c r="AO502" s="598" t="str">
        <f>+VLOOKUP($AJ502,Data_Validation!$A:$D,1,0)</f>
        <v>H23310</v>
      </c>
      <c r="AP502" s="598" t="str">
        <f>+VLOOKUP($AJ502,Data_Validation!$A:$D,3,0)</f>
        <v>Bilan</v>
      </c>
      <c r="AQ502" s="598" t="str">
        <f>+VLOOKUP($AJ502,Data_Validation!$A:$D,4,0)</f>
        <v>Impôts à payer</v>
      </c>
      <c r="AR502" s="598" t="s">
        <v>299</v>
      </c>
      <c r="AS502" s="598">
        <f>+VLOOKUP($AJ502,Data_Validation!$A:$E,5,0)</f>
        <v>0</v>
      </c>
      <c r="AT502" s="1036" t="str">
        <f t="shared" si="45"/>
        <v>H23310</v>
      </c>
      <c r="AU502" s="599" t="str">
        <f t="shared" si="46"/>
        <v>IMPOT CEDUL P. AV FED</v>
      </c>
      <c r="AV502" s="1030">
        <f>IFERROR(INDEX(V502:AG502,1,MATCH(Parametres!$B$3,V$1:AG$1,0)-1)*IF(OR(C502="L",C502="S",C502="I"),-1,1),"")</f>
        <v>0</v>
      </c>
      <c r="AW502" s="1030">
        <f t="shared" si="47"/>
        <v>0</v>
      </c>
      <c r="AX502" s="1030">
        <f>INDEX(V502:AG502,1,MATCH(Parametres!$B$3,V$1:AG$1,0))*IF(OR(C502="L",C502="S",C502="I"),-1,1)</f>
        <v>0</v>
      </c>
      <c r="AY502" s="598" t="s">
        <v>337</v>
      </c>
      <c r="AZ502" s="598">
        <f>+VLOOKUP($AJ502,Data_Validation!$A:$E,5,0)</f>
        <v>0</v>
      </c>
    </row>
    <row r="503" spans="1:52" ht="15" customHeight="1">
      <c r="A503" s="832" t="s">
        <v>1150</v>
      </c>
      <c r="B503" s="832">
        <v>2025</v>
      </c>
      <c r="C503" s="832" t="s">
        <v>2147</v>
      </c>
      <c r="D503" s="832" t="s">
        <v>2148</v>
      </c>
      <c r="E503" s="832" t="s">
        <v>333</v>
      </c>
      <c r="F503" s="832" t="s">
        <v>1153</v>
      </c>
      <c r="G503" s="832">
        <v>0</v>
      </c>
      <c r="H503" s="832">
        <v>0</v>
      </c>
      <c r="I503" s="832">
        <v>0</v>
      </c>
      <c r="J503" s="832">
        <v>0</v>
      </c>
      <c r="K503" s="832">
        <v>0</v>
      </c>
      <c r="L503" s="832">
        <v>0</v>
      </c>
      <c r="M503" s="832">
        <v>0</v>
      </c>
      <c r="N503" s="832">
        <v>0</v>
      </c>
      <c r="O503" s="832">
        <v>0</v>
      </c>
      <c r="P503" s="832">
        <v>0</v>
      </c>
      <c r="Q503" s="832">
        <v>0</v>
      </c>
      <c r="R503" s="832">
        <v>0</v>
      </c>
      <c r="S503" s="832">
        <v>0</v>
      </c>
      <c r="T503" s="832">
        <v>0</v>
      </c>
      <c r="U503" s="832">
        <v>0</v>
      </c>
      <c r="V503" s="832">
        <v>0</v>
      </c>
      <c r="W503" s="832">
        <v>0</v>
      </c>
      <c r="X503" s="832">
        <v>0</v>
      </c>
      <c r="Y503" s="832">
        <v>0</v>
      </c>
      <c r="Z503" s="832">
        <v>0</v>
      </c>
      <c r="AA503" s="832">
        <v>0</v>
      </c>
      <c r="AB503" s="832">
        <v>0</v>
      </c>
      <c r="AC503" s="832">
        <v>0</v>
      </c>
      <c r="AD503" s="832">
        <v>0</v>
      </c>
      <c r="AE503" s="832">
        <v>0</v>
      </c>
      <c r="AF503" s="832">
        <v>0</v>
      </c>
      <c r="AG503" s="832">
        <v>0</v>
      </c>
      <c r="AH503" s="832">
        <v>0</v>
      </c>
      <c r="AI503" s="832">
        <v>0</v>
      </c>
      <c r="AJ503" s="1030" t="str">
        <f t="shared" si="48"/>
        <v>H23330</v>
      </c>
      <c r="AK503" s="1030" t="str">
        <f t="shared" si="49"/>
        <v>TACE DE LUXE</v>
      </c>
      <c r="AL503" s="1030">
        <f>IFERROR(INDEX(G503:R503,1,MATCH(Parametres!$B$3,G$1:R$1,0)-1)*IF(OR(F503="L",F503="S",F503="I"),-1,1),"")</f>
        <v>0</v>
      </c>
      <c r="AM503" s="1030">
        <f t="shared" si="44"/>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t="str">
        <f t="shared" si="45"/>
        <v>H23330</v>
      </c>
      <c r="AU503" s="599" t="str">
        <f t="shared" si="46"/>
        <v>TACE DE LUXE</v>
      </c>
      <c r="AV503" s="1030">
        <f>IFERROR(INDEX(V503:AG503,1,MATCH(Parametres!$B$3,V$1:AG$1,0)-1)*IF(OR(C503="L",C503="S",C503="I"),-1,1),"")</f>
        <v>0</v>
      </c>
      <c r="AW503" s="1030">
        <f t="shared" si="47"/>
        <v>0</v>
      </c>
      <c r="AX503" s="1030">
        <f>INDEX(V503:AG503,1,MATCH(Parametres!$B$3,V$1:AG$1,0))*IF(OR(C503="L",C503="S",C503="I"),-1,1)</f>
        <v>0</v>
      </c>
      <c r="AY503" s="598" t="s">
        <v>337</v>
      </c>
      <c r="AZ503" s="598" t="e">
        <f>+VLOOKUP($AJ503,Data_Validation!$A:$E,5,0)</f>
        <v>#N/A</v>
      </c>
    </row>
    <row r="504" spans="1:52" ht="15" customHeight="1">
      <c r="A504" s="832" t="s">
        <v>1150</v>
      </c>
      <c r="B504" s="832">
        <v>2025</v>
      </c>
      <c r="C504" s="832" t="s">
        <v>2149</v>
      </c>
      <c r="D504" s="832" t="s">
        <v>2150</v>
      </c>
      <c r="E504" s="832" t="s">
        <v>333</v>
      </c>
      <c r="F504" s="832" t="s">
        <v>1153</v>
      </c>
      <c r="G504" s="832">
        <v>0</v>
      </c>
      <c r="H504" s="832">
        <v>0</v>
      </c>
      <c r="I504" s="832">
        <v>0</v>
      </c>
      <c r="J504" s="832">
        <v>0</v>
      </c>
      <c r="K504" s="832">
        <v>0</v>
      </c>
      <c r="L504" s="832">
        <v>0</v>
      </c>
      <c r="M504" s="832">
        <v>0</v>
      </c>
      <c r="N504" s="832">
        <v>0</v>
      </c>
      <c r="O504" s="832">
        <v>0</v>
      </c>
      <c r="P504" s="832">
        <v>0</v>
      </c>
      <c r="Q504" s="832">
        <v>0</v>
      </c>
      <c r="R504" s="832">
        <v>0</v>
      </c>
      <c r="S504" s="832">
        <v>0</v>
      </c>
      <c r="T504" s="832">
        <v>0</v>
      </c>
      <c r="U504" s="832">
        <v>0</v>
      </c>
      <c r="V504" s="832">
        <v>0</v>
      </c>
      <c r="W504" s="832">
        <v>0</v>
      </c>
      <c r="X504" s="832">
        <v>0</v>
      </c>
      <c r="Y504" s="832">
        <v>0</v>
      </c>
      <c r="Z504" s="832">
        <v>0</v>
      </c>
      <c r="AA504" s="832">
        <v>0</v>
      </c>
      <c r="AB504" s="832">
        <v>0</v>
      </c>
      <c r="AC504" s="832">
        <v>0</v>
      </c>
      <c r="AD504" s="832">
        <v>0</v>
      </c>
      <c r="AE504" s="832">
        <v>0</v>
      </c>
      <c r="AF504" s="832">
        <v>0</v>
      </c>
      <c r="AG504" s="832">
        <v>0</v>
      </c>
      <c r="AH504" s="832">
        <v>0</v>
      </c>
      <c r="AI504" s="832">
        <v>0</v>
      </c>
      <c r="AJ504" s="1030" t="str">
        <f t="shared" si="48"/>
        <v>H23400</v>
      </c>
      <c r="AK504" s="1030" t="str">
        <f t="shared" si="49"/>
        <v>PARTI COURANTES DETTE L/T</v>
      </c>
      <c r="AL504" s="1030">
        <f>IFERROR(INDEX(G504:R504,1,MATCH(Parametres!$B$3,G$1:R$1,0)-1)*IF(OR(F504="L",F504="S",F504="I"),-1,1),"")</f>
        <v>0</v>
      </c>
      <c r="AM504" s="1030">
        <f t="shared" si="44"/>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t="str">
        <f t="shared" si="45"/>
        <v>H23400</v>
      </c>
      <c r="AU504" s="599" t="str">
        <f t="shared" si="46"/>
        <v>PARTI COURANTES DETTE L/T</v>
      </c>
      <c r="AV504" s="1030">
        <f>IFERROR(INDEX(V504:AG504,1,MATCH(Parametres!$B$3,V$1:AG$1,0)-1)*IF(OR(C504="L",C504="S",C504="I"),-1,1),"")</f>
        <v>0</v>
      </c>
      <c r="AW504" s="1030">
        <f t="shared" si="47"/>
        <v>0</v>
      </c>
      <c r="AX504" s="1030">
        <f>INDEX(V504:AG504,1,MATCH(Parametres!$B$3,V$1:AG$1,0))*IF(OR(C504="L",C504="S",C504="I"),-1,1)</f>
        <v>0</v>
      </c>
      <c r="AY504" s="598" t="s">
        <v>337</v>
      </c>
      <c r="AZ504" s="598" t="e">
        <f>+VLOOKUP($AJ504,Data_Validation!$A:$E,5,0)</f>
        <v>#N/A</v>
      </c>
    </row>
    <row r="505" spans="1:52" ht="15" customHeight="1">
      <c r="A505" s="832" t="s">
        <v>1150</v>
      </c>
      <c r="B505" s="832">
        <v>2025</v>
      </c>
      <c r="C505" s="832" t="s">
        <v>2151</v>
      </c>
      <c r="D505" s="832" t="s">
        <v>2152</v>
      </c>
      <c r="E505" s="832" t="s">
        <v>333</v>
      </c>
      <c r="F505" s="832" t="s">
        <v>1153</v>
      </c>
      <c r="G505" s="832">
        <v>0</v>
      </c>
      <c r="H505" s="832">
        <v>0</v>
      </c>
      <c r="I505" s="832">
        <v>0</v>
      </c>
      <c r="J505" s="832">
        <v>0</v>
      </c>
      <c r="K505" s="832">
        <v>0</v>
      </c>
      <c r="L505" s="832">
        <v>0</v>
      </c>
      <c r="M505" s="832">
        <v>0</v>
      </c>
      <c r="N505" s="832">
        <v>0</v>
      </c>
      <c r="O505" s="832">
        <v>0</v>
      </c>
      <c r="P505" s="832">
        <v>0</v>
      </c>
      <c r="Q505" s="832">
        <v>0</v>
      </c>
      <c r="R505" s="832">
        <v>0</v>
      </c>
      <c r="S505" s="832">
        <v>0</v>
      </c>
      <c r="T505" s="832">
        <v>0</v>
      </c>
      <c r="U505" s="832">
        <v>0</v>
      </c>
      <c r="V505" s="832">
        <v>0</v>
      </c>
      <c r="W505" s="832">
        <v>0</v>
      </c>
      <c r="X505" s="832">
        <v>0</v>
      </c>
      <c r="Y505" s="832">
        <v>0</v>
      </c>
      <c r="Z505" s="832">
        <v>0</v>
      </c>
      <c r="AA505" s="832">
        <v>0</v>
      </c>
      <c r="AB505" s="832">
        <v>0</v>
      </c>
      <c r="AC505" s="832">
        <v>0</v>
      </c>
      <c r="AD505" s="832">
        <v>0</v>
      </c>
      <c r="AE505" s="832">
        <v>0</v>
      </c>
      <c r="AF505" s="832">
        <v>0</v>
      </c>
      <c r="AG505" s="832">
        <v>0</v>
      </c>
      <c r="AH505" s="832">
        <v>0</v>
      </c>
      <c r="AI505" s="832">
        <v>0</v>
      </c>
      <c r="AJ505" s="1030" t="str">
        <f t="shared" si="48"/>
        <v>H23410</v>
      </c>
      <c r="AK505" s="1030" t="str">
        <f t="shared" si="49"/>
        <v>MOINS PARTI COUR DETTE LT</v>
      </c>
      <c r="AL505" s="1030">
        <f>IFERROR(INDEX(G505:R505,1,MATCH(Parametres!$B$3,G$1:R$1,0)-1)*IF(OR(F505="L",F505="S",F505="I"),-1,1),"")</f>
        <v>0</v>
      </c>
      <c r="AM505" s="1030">
        <f t="shared" si="44"/>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t="str">
        <f t="shared" si="45"/>
        <v>H23410</v>
      </c>
      <c r="AU505" s="599" t="str">
        <f t="shared" si="46"/>
        <v>MOINS PARTI COUR DETTE LT</v>
      </c>
      <c r="AV505" s="1030">
        <f>IFERROR(INDEX(V505:AG505,1,MATCH(Parametres!$B$3,V$1:AG$1,0)-1)*IF(OR(C505="L",C505="S",C505="I"),-1,1),"")</f>
        <v>0</v>
      </c>
      <c r="AW505" s="1030">
        <f t="shared" si="47"/>
        <v>0</v>
      </c>
      <c r="AX505" s="1030">
        <f>INDEX(V505:AG505,1,MATCH(Parametres!$B$3,V$1:AG$1,0))*IF(OR(C505="L",C505="S",C505="I"),-1,1)</f>
        <v>0</v>
      </c>
      <c r="AY505" s="598" t="s">
        <v>337</v>
      </c>
      <c r="AZ505" s="598" t="e">
        <f>+VLOOKUP($AJ505,Data_Validation!$A:$E,5,0)</f>
        <v>#N/A</v>
      </c>
    </row>
    <row r="506" spans="1:52" ht="15" customHeight="1">
      <c r="A506" s="832" t="s">
        <v>1150</v>
      </c>
      <c r="B506" s="832">
        <v>2025</v>
      </c>
      <c r="C506" s="832" t="s">
        <v>2153</v>
      </c>
      <c r="D506" s="832" t="s">
        <v>2154</v>
      </c>
      <c r="E506" s="832" t="s">
        <v>333</v>
      </c>
      <c r="F506" s="832" t="s">
        <v>1153</v>
      </c>
      <c r="G506" s="832">
        <v>0</v>
      </c>
      <c r="H506" s="832">
        <v>0</v>
      </c>
      <c r="I506" s="832">
        <v>0</v>
      </c>
      <c r="J506" s="832">
        <v>0</v>
      </c>
      <c r="K506" s="832">
        <v>0</v>
      </c>
      <c r="L506" s="832">
        <v>0</v>
      </c>
      <c r="M506" s="832">
        <v>0</v>
      </c>
      <c r="N506" s="832">
        <v>0</v>
      </c>
      <c r="O506" s="832">
        <v>0</v>
      </c>
      <c r="P506" s="832">
        <v>0</v>
      </c>
      <c r="Q506" s="832">
        <v>0</v>
      </c>
      <c r="R506" s="832">
        <v>0</v>
      </c>
      <c r="S506" s="832">
        <v>0</v>
      </c>
      <c r="T506" s="832">
        <v>0</v>
      </c>
      <c r="U506" s="832">
        <v>0</v>
      </c>
      <c r="V506" s="832">
        <v>0</v>
      </c>
      <c r="W506" s="832">
        <v>0</v>
      </c>
      <c r="X506" s="832">
        <v>0</v>
      </c>
      <c r="Y506" s="832">
        <v>0</v>
      </c>
      <c r="Z506" s="832">
        <v>0</v>
      </c>
      <c r="AA506" s="832">
        <v>0</v>
      </c>
      <c r="AB506" s="832">
        <v>0</v>
      </c>
      <c r="AC506" s="832">
        <v>0</v>
      </c>
      <c r="AD506" s="832">
        <v>0</v>
      </c>
      <c r="AE506" s="832">
        <v>0</v>
      </c>
      <c r="AF506" s="832">
        <v>0</v>
      </c>
      <c r="AG506" s="832">
        <v>0</v>
      </c>
      <c r="AH506" s="832">
        <v>0</v>
      </c>
      <c r="AI506" s="832">
        <v>0</v>
      </c>
      <c r="AJ506" s="1030" t="str">
        <f t="shared" si="48"/>
        <v>H23500</v>
      </c>
      <c r="AK506" s="1030" t="str">
        <f t="shared" si="49"/>
        <v>AUTRES DETTES COURANTES</v>
      </c>
      <c r="AL506" s="1030">
        <f>IFERROR(INDEX(G506:R506,1,MATCH(Parametres!$B$3,G$1:R$1,0)-1)*IF(OR(F506="L",F506="S",F506="I"),-1,1),"")</f>
        <v>0</v>
      </c>
      <c r="AM506" s="1030">
        <f t="shared" si="44"/>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t="str">
        <f t="shared" si="45"/>
        <v>H23500</v>
      </c>
      <c r="AU506" s="599" t="str">
        <f t="shared" si="46"/>
        <v>AUTRES DETTES COURANTES</v>
      </c>
      <c r="AV506" s="1030">
        <f>IFERROR(INDEX(V506:AG506,1,MATCH(Parametres!$B$3,V$1:AG$1,0)-1)*IF(OR(C506="L",C506="S",C506="I"),-1,1),"")</f>
        <v>0</v>
      </c>
      <c r="AW506" s="1030">
        <f t="shared" si="47"/>
        <v>0</v>
      </c>
      <c r="AX506" s="1030">
        <f>INDEX(V506:AG506,1,MATCH(Parametres!$B$3,V$1:AG$1,0))*IF(OR(C506="L",C506="S",C506="I"),-1,1)</f>
        <v>0</v>
      </c>
      <c r="AY506" s="598" t="s">
        <v>337</v>
      </c>
      <c r="AZ506" s="598" t="e">
        <f>+VLOOKUP($AJ506,Data_Validation!$A:$E,5,0)</f>
        <v>#N/A</v>
      </c>
    </row>
    <row r="507" spans="1:52" ht="15" customHeight="1">
      <c r="A507" s="832" t="s">
        <v>1150</v>
      </c>
      <c r="B507" s="832">
        <v>2025</v>
      </c>
      <c r="C507" s="832" t="s">
        <v>2155</v>
      </c>
      <c r="D507" s="832" t="s">
        <v>2156</v>
      </c>
      <c r="E507" s="832" t="s">
        <v>333</v>
      </c>
      <c r="F507" s="832" t="s">
        <v>1153</v>
      </c>
      <c r="G507" s="832">
        <v>0</v>
      </c>
      <c r="H507" s="832">
        <v>0</v>
      </c>
      <c r="I507" s="832">
        <v>0</v>
      </c>
      <c r="J507" s="832">
        <v>0</v>
      </c>
      <c r="K507" s="832">
        <v>0</v>
      </c>
      <c r="L507" s="832">
        <v>0</v>
      </c>
      <c r="M507" s="832">
        <v>0</v>
      </c>
      <c r="N507" s="832">
        <v>0</v>
      </c>
      <c r="O507" s="832">
        <v>0</v>
      </c>
      <c r="P507" s="832">
        <v>0</v>
      </c>
      <c r="Q507" s="832">
        <v>0</v>
      </c>
      <c r="R507" s="832">
        <v>0</v>
      </c>
      <c r="S507" s="832">
        <v>0</v>
      </c>
      <c r="T507" s="832">
        <v>0</v>
      </c>
      <c r="U507" s="832">
        <v>0</v>
      </c>
      <c r="V507" s="832">
        <v>0</v>
      </c>
      <c r="W507" s="832">
        <v>0</v>
      </c>
      <c r="X507" s="832">
        <v>0</v>
      </c>
      <c r="Y507" s="832">
        <v>0</v>
      </c>
      <c r="Z507" s="832">
        <v>0</v>
      </c>
      <c r="AA507" s="832">
        <v>0</v>
      </c>
      <c r="AB507" s="832">
        <v>0</v>
      </c>
      <c r="AC507" s="832">
        <v>0</v>
      </c>
      <c r="AD507" s="832">
        <v>0</v>
      </c>
      <c r="AE507" s="832">
        <v>0</v>
      </c>
      <c r="AF507" s="832">
        <v>0</v>
      </c>
      <c r="AG507" s="832">
        <v>0</v>
      </c>
      <c r="AH507" s="832">
        <v>0</v>
      </c>
      <c r="AI507" s="832">
        <v>0</v>
      </c>
      <c r="AJ507" s="1030" t="str">
        <f t="shared" si="48"/>
        <v>H24000</v>
      </c>
      <c r="AK507" s="1030" t="str">
        <f t="shared" si="49"/>
        <v>EFFETS A PAYER</v>
      </c>
      <c r="AL507" s="1030">
        <f>IFERROR(INDEX(G507:R507,1,MATCH(Parametres!$B$3,G$1:R$1,0)-1)*IF(OR(F507="L",F507="S",F507="I"),-1,1),"")</f>
        <v>0</v>
      </c>
      <c r="AM507" s="1030">
        <f t="shared" si="44"/>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t="str">
        <f t="shared" si="45"/>
        <v>H24000</v>
      </c>
      <c r="AU507" s="599" t="str">
        <f t="shared" si="46"/>
        <v>EFFETS A PAYER</v>
      </c>
      <c r="AV507" s="1030">
        <f>IFERROR(INDEX(V507:AG507,1,MATCH(Parametres!$B$3,V$1:AG$1,0)-1)*IF(OR(C507="L",C507="S",C507="I"),-1,1),"")</f>
        <v>0</v>
      </c>
      <c r="AW507" s="1030">
        <f t="shared" si="47"/>
        <v>0</v>
      </c>
      <c r="AX507" s="1030">
        <f>INDEX(V507:AG507,1,MATCH(Parametres!$B$3,V$1:AG$1,0))*IF(OR(C507="L",C507="S",C507="I"),-1,1)</f>
        <v>0</v>
      </c>
      <c r="AY507" s="598" t="s">
        <v>337</v>
      </c>
      <c r="AZ507" s="598" t="e">
        <f>+VLOOKUP($AJ507,Data_Validation!$A:$E,5,0)</f>
        <v>#N/A</v>
      </c>
    </row>
    <row r="508" spans="1:52" ht="15" customHeight="1">
      <c r="A508" s="832" t="s">
        <v>1150</v>
      </c>
      <c r="B508" s="832">
        <v>2025</v>
      </c>
      <c r="C508" s="832" t="s">
        <v>2157</v>
      </c>
      <c r="D508" s="832" t="s">
        <v>2158</v>
      </c>
      <c r="E508" s="832" t="s">
        <v>333</v>
      </c>
      <c r="F508" s="832" t="s">
        <v>1153</v>
      </c>
      <c r="G508" s="832">
        <v>0</v>
      </c>
      <c r="H508" s="832">
        <v>0</v>
      </c>
      <c r="I508" s="832">
        <v>0</v>
      </c>
      <c r="J508" s="832">
        <v>0</v>
      </c>
      <c r="K508" s="832">
        <v>0</v>
      </c>
      <c r="L508" s="832">
        <v>0</v>
      </c>
      <c r="M508" s="832">
        <v>0</v>
      </c>
      <c r="N508" s="832">
        <v>0</v>
      </c>
      <c r="O508" s="832">
        <v>0</v>
      </c>
      <c r="P508" s="832">
        <v>0</v>
      </c>
      <c r="Q508" s="832">
        <v>0</v>
      </c>
      <c r="R508" s="832">
        <v>0</v>
      </c>
      <c r="S508" s="832">
        <v>0</v>
      </c>
      <c r="T508" s="832">
        <v>0</v>
      </c>
      <c r="U508" s="832">
        <v>0</v>
      </c>
      <c r="V508" s="832">
        <v>0</v>
      </c>
      <c r="W508" s="832">
        <v>0</v>
      </c>
      <c r="X508" s="832">
        <v>0</v>
      </c>
      <c r="Y508" s="832">
        <v>0</v>
      </c>
      <c r="Z508" s="832">
        <v>0</v>
      </c>
      <c r="AA508" s="832">
        <v>0</v>
      </c>
      <c r="AB508" s="832">
        <v>0</v>
      </c>
      <c r="AC508" s="832">
        <v>0</v>
      </c>
      <c r="AD508" s="832">
        <v>0</v>
      </c>
      <c r="AE508" s="832">
        <v>0</v>
      </c>
      <c r="AF508" s="832">
        <v>0</v>
      </c>
      <c r="AG508" s="832">
        <v>0</v>
      </c>
      <c r="AH508" s="832">
        <v>0</v>
      </c>
      <c r="AI508" s="832">
        <v>0</v>
      </c>
      <c r="AJ508" s="1030" t="str">
        <f t="shared" si="48"/>
        <v>H24600</v>
      </c>
      <c r="AK508" s="1030" t="str">
        <f t="shared" si="49"/>
        <v>HYPOTHEQUE(S) IMMOBILIERE</v>
      </c>
      <c r="AL508" s="1030">
        <f>IFERROR(INDEX(G508:R508,1,MATCH(Parametres!$B$3,G$1:R$1,0)-1)*IF(OR(F508="L",F508="S",F508="I"),-1,1),"")</f>
        <v>0</v>
      </c>
      <c r="AM508" s="1030">
        <f t="shared" si="44"/>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t="str">
        <f t="shared" si="45"/>
        <v>H24600</v>
      </c>
      <c r="AU508" s="599" t="str">
        <f t="shared" si="46"/>
        <v>HYPOTHEQUE(S) IMMOBILIERE</v>
      </c>
      <c r="AV508" s="1030">
        <f>IFERROR(INDEX(V508:AG508,1,MATCH(Parametres!$B$3,V$1:AG$1,0)-1)*IF(OR(C508="L",C508="S",C508="I"),-1,1),"")</f>
        <v>0</v>
      </c>
      <c r="AW508" s="1030">
        <f t="shared" si="47"/>
        <v>0</v>
      </c>
      <c r="AX508" s="1030">
        <f>INDEX(V508:AG508,1,MATCH(Parametres!$B$3,V$1:AG$1,0))*IF(OR(C508="L",C508="S",C508="I"),-1,1)</f>
        <v>0</v>
      </c>
      <c r="AY508" s="598" t="s">
        <v>337</v>
      </c>
      <c r="AZ508" s="598" t="e">
        <f>+VLOOKUP($AJ508,Data_Validation!$A:$E,5,0)</f>
        <v>#N/A</v>
      </c>
    </row>
    <row r="509" spans="1:52" ht="15" customHeight="1">
      <c r="A509" s="832" t="s">
        <v>1150</v>
      </c>
      <c r="B509" s="832">
        <v>2025</v>
      </c>
      <c r="C509" s="832" t="s">
        <v>2159</v>
      </c>
      <c r="D509" s="832" t="s">
        <v>2160</v>
      </c>
      <c r="E509" s="832" t="s">
        <v>333</v>
      </c>
      <c r="F509" s="832" t="s">
        <v>1153</v>
      </c>
      <c r="G509" s="832">
        <v>0</v>
      </c>
      <c r="H509" s="832">
        <v>0</v>
      </c>
      <c r="I509" s="832">
        <v>0</v>
      </c>
      <c r="J509" s="832">
        <v>0</v>
      </c>
      <c r="K509" s="832">
        <v>0</v>
      </c>
      <c r="L509" s="832">
        <v>0</v>
      </c>
      <c r="M509" s="832">
        <v>0</v>
      </c>
      <c r="N509" s="832">
        <v>0</v>
      </c>
      <c r="O509" s="832">
        <v>0</v>
      </c>
      <c r="P509" s="832">
        <v>0</v>
      </c>
      <c r="Q509" s="832">
        <v>0</v>
      </c>
      <c r="R509" s="832">
        <v>0</v>
      </c>
      <c r="S509" s="832">
        <v>0</v>
      </c>
      <c r="T509" s="832">
        <v>0</v>
      </c>
      <c r="U509" s="832">
        <v>0</v>
      </c>
      <c r="V509" s="832">
        <v>0</v>
      </c>
      <c r="W509" s="832">
        <v>0</v>
      </c>
      <c r="X509" s="832">
        <v>0</v>
      </c>
      <c r="Y509" s="832">
        <v>0</v>
      </c>
      <c r="Z509" s="832">
        <v>0</v>
      </c>
      <c r="AA509" s="832">
        <v>0</v>
      </c>
      <c r="AB509" s="832">
        <v>0</v>
      </c>
      <c r="AC509" s="832">
        <v>0</v>
      </c>
      <c r="AD509" s="832">
        <v>0</v>
      </c>
      <c r="AE509" s="832">
        <v>0</v>
      </c>
      <c r="AF509" s="832">
        <v>0</v>
      </c>
      <c r="AG509" s="832">
        <v>0</v>
      </c>
      <c r="AH509" s="832">
        <v>0</v>
      </c>
      <c r="AI509" s="832">
        <v>0</v>
      </c>
      <c r="AJ509" s="1030" t="str">
        <f t="shared" si="48"/>
        <v>H24900</v>
      </c>
      <c r="AK509" s="1030" t="str">
        <f t="shared" si="49"/>
        <v>HYPOTHEQUE(S) MOBILIERE(S</v>
      </c>
      <c r="AL509" s="1030">
        <f>IFERROR(INDEX(G509:R509,1,MATCH(Parametres!$B$3,G$1:R$1,0)-1)*IF(OR(F509="L",F509="S",F509="I"),-1,1),"")</f>
        <v>0</v>
      </c>
      <c r="AM509" s="1030">
        <f t="shared" si="44"/>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t="str">
        <f t="shared" si="45"/>
        <v>H24900</v>
      </c>
      <c r="AU509" s="599" t="str">
        <f t="shared" si="46"/>
        <v>HYPOTHEQUE(S) MOBILIERE(S</v>
      </c>
      <c r="AV509" s="1030">
        <f>IFERROR(INDEX(V509:AG509,1,MATCH(Parametres!$B$3,V$1:AG$1,0)-1)*IF(OR(C509="L",C509="S",C509="I"),-1,1),"")</f>
        <v>0</v>
      </c>
      <c r="AW509" s="1030">
        <f t="shared" si="47"/>
        <v>0</v>
      </c>
      <c r="AX509" s="1030">
        <f>INDEX(V509:AG509,1,MATCH(Parametres!$B$3,V$1:AG$1,0))*IF(OR(C509="L",C509="S",C509="I"),-1,1)</f>
        <v>0</v>
      </c>
      <c r="AY509" s="598" t="s">
        <v>337</v>
      </c>
      <c r="AZ509" s="598" t="e">
        <f>+VLOOKUP($AJ509,Data_Validation!$A:$E,5,0)</f>
        <v>#N/A</v>
      </c>
    </row>
    <row r="510" spans="1:52" ht="15" customHeight="1">
      <c r="A510" s="832" t="s">
        <v>1150</v>
      </c>
      <c r="B510" s="832">
        <v>2025</v>
      </c>
      <c r="C510" s="832" t="s">
        <v>2161</v>
      </c>
      <c r="D510" s="832" t="s">
        <v>2162</v>
      </c>
      <c r="E510" s="832" t="s">
        <v>333</v>
      </c>
      <c r="F510" s="832" t="s">
        <v>1153</v>
      </c>
      <c r="G510" s="832">
        <v>0</v>
      </c>
      <c r="H510" s="832">
        <v>0</v>
      </c>
      <c r="I510" s="832">
        <v>0</v>
      </c>
      <c r="J510" s="832">
        <v>0</v>
      </c>
      <c r="K510" s="832">
        <v>0</v>
      </c>
      <c r="L510" s="832">
        <v>0</v>
      </c>
      <c r="M510" s="832">
        <v>0</v>
      </c>
      <c r="N510" s="832">
        <v>0</v>
      </c>
      <c r="O510" s="832">
        <v>0</v>
      </c>
      <c r="P510" s="832">
        <v>0</v>
      </c>
      <c r="Q510" s="832">
        <v>0</v>
      </c>
      <c r="R510" s="832">
        <v>0</v>
      </c>
      <c r="S510" s="832">
        <v>0</v>
      </c>
      <c r="T510" s="832">
        <v>0</v>
      </c>
      <c r="U510" s="832">
        <v>0</v>
      </c>
      <c r="V510" s="832">
        <v>0</v>
      </c>
      <c r="W510" s="832">
        <v>0</v>
      </c>
      <c r="X510" s="832">
        <v>0</v>
      </c>
      <c r="Y510" s="832">
        <v>0</v>
      </c>
      <c r="Z510" s="832">
        <v>0</v>
      </c>
      <c r="AA510" s="832">
        <v>0</v>
      </c>
      <c r="AB510" s="832">
        <v>0</v>
      </c>
      <c r="AC510" s="832">
        <v>0</v>
      </c>
      <c r="AD510" s="832">
        <v>0</v>
      </c>
      <c r="AE510" s="832">
        <v>0</v>
      </c>
      <c r="AF510" s="832">
        <v>0</v>
      </c>
      <c r="AG510" s="832">
        <v>0</v>
      </c>
      <c r="AH510" s="832">
        <v>0</v>
      </c>
      <c r="AI510" s="832">
        <v>0</v>
      </c>
      <c r="AJ510" s="1030" t="str">
        <f t="shared" si="48"/>
        <v>H25600</v>
      </c>
      <c r="AK510" s="1030" t="str">
        <f t="shared" si="49"/>
        <v>REPRISE DE POSSESSION</v>
      </c>
      <c r="AL510" s="1030">
        <f>IFERROR(INDEX(G510:R510,1,MATCH(Parametres!$B$3,G$1:R$1,0)-1)*IF(OR(F510="L",F510="S",F510="I"),-1,1),"")</f>
        <v>0</v>
      </c>
      <c r="AM510" s="1030">
        <f t="shared" si="44"/>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t="str">
        <f t="shared" si="45"/>
        <v>H25600</v>
      </c>
      <c r="AU510" s="599" t="str">
        <f t="shared" si="46"/>
        <v>REPRISE DE POSSESSION</v>
      </c>
      <c r="AV510" s="1030">
        <f>IFERROR(INDEX(V510:AG510,1,MATCH(Parametres!$B$3,V$1:AG$1,0)-1)*IF(OR(C510="L",C510="S",C510="I"),-1,1),"")</f>
        <v>0</v>
      </c>
      <c r="AW510" s="1030">
        <f t="shared" si="47"/>
        <v>0</v>
      </c>
      <c r="AX510" s="1030">
        <f>INDEX(V510:AG510,1,MATCH(Parametres!$B$3,V$1:AG$1,0))*IF(OR(C510="L",C510="S",C510="I"),-1,1)</f>
        <v>0</v>
      </c>
      <c r="AY510" s="598" t="s">
        <v>337</v>
      </c>
      <c r="AZ510" s="598" t="e">
        <f>+VLOOKUP($AJ510,Data_Validation!$A:$E,5,0)</f>
        <v>#N/A</v>
      </c>
    </row>
    <row r="511" spans="1:52" ht="15" customHeight="1">
      <c r="A511" s="832" t="s">
        <v>1150</v>
      </c>
      <c r="B511" s="832">
        <v>2025</v>
      </c>
      <c r="C511" s="832" t="s">
        <v>2163</v>
      </c>
      <c r="D511" s="832" t="s">
        <v>2164</v>
      </c>
      <c r="E511" s="832" t="s">
        <v>333</v>
      </c>
      <c r="F511" s="832" t="s">
        <v>1153</v>
      </c>
      <c r="G511" s="832">
        <v>0</v>
      </c>
      <c r="H511" s="832">
        <v>0</v>
      </c>
      <c r="I511" s="832">
        <v>0</v>
      </c>
      <c r="J511" s="832">
        <v>0</v>
      </c>
      <c r="K511" s="832">
        <v>0</v>
      </c>
      <c r="L511" s="832">
        <v>0</v>
      </c>
      <c r="M511" s="832">
        <v>0</v>
      </c>
      <c r="N511" s="832">
        <v>0</v>
      </c>
      <c r="O511" s="832">
        <v>0</v>
      </c>
      <c r="P511" s="832">
        <v>0</v>
      </c>
      <c r="Q511" s="832">
        <v>0</v>
      </c>
      <c r="R511" s="832">
        <v>0</v>
      </c>
      <c r="S511" s="832">
        <v>0</v>
      </c>
      <c r="T511" s="832">
        <v>0</v>
      </c>
      <c r="U511" s="832">
        <v>0</v>
      </c>
      <c r="V511" s="832">
        <v>0</v>
      </c>
      <c r="W511" s="832">
        <v>0</v>
      </c>
      <c r="X511" s="832">
        <v>0</v>
      </c>
      <c r="Y511" s="832">
        <v>0</v>
      </c>
      <c r="Z511" s="832">
        <v>0</v>
      </c>
      <c r="AA511" s="832">
        <v>0</v>
      </c>
      <c r="AB511" s="832">
        <v>0</v>
      </c>
      <c r="AC511" s="832">
        <v>0</v>
      </c>
      <c r="AD511" s="832">
        <v>0</v>
      </c>
      <c r="AE511" s="832">
        <v>0</v>
      </c>
      <c r="AF511" s="832">
        <v>0</v>
      </c>
      <c r="AG511" s="832">
        <v>0</v>
      </c>
      <c r="AH511" s="832">
        <v>0</v>
      </c>
      <c r="AI511" s="832">
        <v>0</v>
      </c>
      <c r="AJ511" s="1030" t="str">
        <f t="shared" si="48"/>
        <v>H26000</v>
      </c>
      <c r="AK511" s="1030" t="str">
        <f t="shared" si="49"/>
        <v>PRETS AUX ADM&amp;ACTIONNAIRE</v>
      </c>
      <c r="AL511" s="1030">
        <f>IFERROR(INDEX(G511:R511,1,MATCH(Parametres!$B$3,G$1:R$1,0)-1)*IF(OR(F511="L",F511="S",F511="I"),-1,1),"")</f>
        <v>0</v>
      </c>
      <c r="AM511" s="1030">
        <f t="shared" si="44"/>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t="str">
        <f t="shared" si="45"/>
        <v>H26000</v>
      </c>
      <c r="AU511" s="599" t="str">
        <f t="shared" si="46"/>
        <v>PRETS AUX ADM&amp;ACTIONNAIRE</v>
      </c>
      <c r="AV511" s="1030">
        <f>IFERROR(INDEX(V511:AG511,1,MATCH(Parametres!$B$3,V$1:AG$1,0)-1)*IF(OR(C511="L",C511="S",C511="I"),-1,1),"")</f>
        <v>0</v>
      </c>
      <c r="AW511" s="1030">
        <f t="shared" si="47"/>
        <v>0</v>
      </c>
      <c r="AX511" s="1030">
        <f>INDEX(V511:AG511,1,MATCH(Parametres!$B$3,V$1:AG$1,0))*IF(OR(C511="L",C511="S",C511="I"),-1,1)</f>
        <v>0</v>
      </c>
      <c r="AY511" s="598" t="s">
        <v>337</v>
      </c>
      <c r="AZ511" s="598" t="e">
        <f>+VLOOKUP($AJ511,Data_Validation!$A:$E,5,0)</f>
        <v>#N/A</v>
      </c>
    </row>
    <row r="512" spans="1:52" ht="15" customHeight="1">
      <c r="A512" s="832" t="s">
        <v>1150</v>
      </c>
      <c r="B512" s="832">
        <v>2025</v>
      </c>
      <c r="C512" s="832" t="s">
        <v>2165</v>
      </c>
      <c r="D512" s="832" t="s">
        <v>2166</v>
      </c>
      <c r="E512" s="832" t="s">
        <v>333</v>
      </c>
      <c r="F512" s="832" t="s">
        <v>1153</v>
      </c>
      <c r="G512" s="832">
        <v>0.48</v>
      </c>
      <c r="H512" s="832">
        <v>0.48</v>
      </c>
      <c r="I512" s="832">
        <v>0.48</v>
      </c>
      <c r="J512" s="832">
        <v>0.48</v>
      </c>
      <c r="K512" s="832">
        <v>0.48</v>
      </c>
      <c r="L512" s="832">
        <v>0.48</v>
      </c>
      <c r="M512" s="832">
        <v>0.48</v>
      </c>
      <c r="N512" s="832">
        <v>0</v>
      </c>
      <c r="O512" s="832">
        <v>0</v>
      </c>
      <c r="P512" s="832">
        <v>0</v>
      </c>
      <c r="Q512" s="832">
        <v>0</v>
      </c>
      <c r="R512" s="832">
        <v>0</v>
      </c>
      <c r="S512" s="832">
        <v>0</v>
      </c>
      <c r="T512" s="832">
        <v>0</v>
      </c>
      <c r="U512" s="832">
        <v>0</v>
      </c>
      <c r="V512" s="832">
        <v>0</v>
      </c>
      <c r="W512" s="832">
        <v>0</v>
      </c>
      <c r="X512" s="832">
        <v>0</v>
      </c>
      <c r="Y512" s="832">
        <v>0</v>
      </c>
      <c r="Z512" s="832">
        <v>0</v>
      </c>
      <c r="AA512" s="832">
        <v>0</v>
      </c>
      <c r="AB512" s="832">
        <v>0</v>
      </c>
      <c r="AC512" s="832">
        <v>0</v>
      </c>
      <c r="AD512" s="832">
        <v>0</v>
      </c>
      <c r="AE512" s="832">
        <v>0</v>
      </c>
      <c r="AF512" s="832">
        <v>0</v>
      </c>
      <c r="AG512" s="832">
        <v>0</v>
      </c>
      <c r="AH512" s="832">
        <v>0</v>
      </c>
      <c r="AI512" s="832">
        <v>0</v>
      </c>
      <c r="AJ512" s="1030" t="str">
        <f t="shared" si="48"/>
        <v>H26010</v>
      </c>
      <c r="AK512" s="1030" t="str">
        <f t="shared" si="49"/>
        <v>PRET ACT. 170924 CDA IN</v>
      </c>
      <c r="AL512" s="1030">
        <f>IFERROR(INDEX(G512:R512,1,MATCH(Parametres!$B$3,G$1:R$1,0)-1)*IF(OR(F512="L",F512="S",F512="I"),-1,1),"")</f>
        <v>-0.48</v>
      </c>
      <c r="AM512" s="1030">
        <f t="shared" si="44"/>
        <v>0</v>
      </c>
      <c r="AN512" s="1030">
        <f>INDEX(G512:R512,1,MATCH(Parametres!$B$3,G$1:R$1,0))*IF(OR(F512="L",F512="S",F512="I"),-1,1)</f>
        <v>-0.48</v>
      </c>
      <c r="AO512" s="598" t="str">
        <f>+VLOOKUP($AJ512,Data_Validation!$A:$D,1,0)</f>
        <v>H26010</v>
      </c>
      <c r="AP512" s="598" t="str">
        <f>+VLOOKUP($AJ512,Data_Validation!$A:$D,3,0)</f>
        <v>Bilan</v>
      </c>
      <c r="AQ512" s="598" t="str">
        <f>+VLOOKUP($AJ512,Data_Validation!$A:$D,4,0)</f>
        <v>Recevables Intercos</v>
      </c>
      <c r="AR512" s="598" t="s">
        <v>299</v>
      </c>
      <c r="AS512" s="598">
        <f>+VLOOKUP($AJ512,Data_Validation!$A:$E,5,0)</f>
        <v>0</v>
      </c>
      <c r="AT512" s="1036" t="str">
        <f t="shared" si="45"/>
        <v>H26010</v>
      </c>
      <c r="AU512" s="599" t="str">
        <f t="shared" si="46"/>
        <v>PRET ACT. 170924 CDA IN</v>
      </c>
      <c r="AV512" s="1030">
        <f>IFERROR(INDEX(V512:AG512,1,MATCH(Parametres!$B$3,V$1:AG$1,0)-1)*IF(OR(C512="L",C512="S",C512="I"),-1,1),"")</f>
        <v>0</v>
      </c>
      <c r="AW512" s="1030">
        <f t="shared" si="47"/>
        <v>0</v>
      </c>
      <c r="AX512" s="1030">
        <f>INDEX(V512:AG512,1,MATCH(Parametres!$B$3,V$1:AG$1,0))*IF(OR(C512="L",C512="S",C512="I"),-1,1)</f>
        <v>0</v>
      </c>
      <c r="AY512" s="598" t="s">
        <v>337</v>
      </c>
      <c r="AZ512" s="598">
        <f>+VLOOKUP($AJ512,Data_Validation!$A:$E,5,0)</f>
        <v>0</v>
      </c>
    </row>
    <row r="513" spans="1:52" ht="15" customHeight="1">
      <c r="A513" s="832" t="s">
        <v>1150</v>
      </c>
      <c r="B513" s="832">
        <v>2025</v>
      </c>
      <c r="C513" s="832" t="s">
        <v>2167</v>
      </c>
      <c r="D513" s="832" t="s">
        <v>2168</v>
      </c>
      <c r="E513" s="832" t="s">
        <v>333</v>
      </c>
      <c r="F513" s="832" t="s">
        <v>1153</v>
      </c>
      <c r="G513" s="832">
        <v>0</v>
      </c>
      <c r="H513" s="832">
        <v>0</v>
      </c>
      <c r="I513" s="832">
        <v>0</v>
      </c>
      <c r="J513" s="832">
        <v>0</v>
      </c>
      <c r="K513" s="832">
        <v>0</v>
      </c>
      <c r="L513" s="832">
        <v>0</v>
      </c>
      <c r="M513" s="832">
        <v>0</v>
      </c>
      <c r="N513" s="832">
        <v>697697</v>
      </c>
      <c r="O513" s="832">
        <v>468400</v>
      </c>
      <c r="P513" s="832">
        <v>468400</v>
      </c>
      <c r="Q513" s="832">
        <v>234200</v>
      </c>
      <c r="R513" s="832">
        <v>234200</v>
      </c>
      <c r="S513" s="832">
        <v>0</v>
      </c>
      <c r="T513" s="832">
        <v>0</v>
      </c>
      <c r="U513" s="832">
        <v>0</v>
      </c>
      <c r="V513" s="832">
        <v>0</v>
      </c>
      <c r="W513" s="832">
        <v>0</v>
      </c>
      <c r="X513" s="832">
        <v>0</v>
      </c>
      <c r="Y513" s="832">
        <v>0</v>
      </c>
      <c r="Z513" s="832">
        <v>0</v>
      </c>
      <c r="AA513" s="832">
        <v>0</v>
      </c>
      <c r="AB513" s="832">
        <v>0</v>
      </c>
      <c r="AC513" s="832">
        <v>0</v>
      </c>
      <c r="AD513" s="832">
        <v>0</v>
      </c>
      <c r="AE513" s="832">
        <v>0</v>
      </c>
      <c r="AF513" s="832">
        <v>0</v>
      </c>
      <c r="AG513" s="832">
        <v>0</v>
      </c>
      <c r="AH513" s="832">
        <v>0</v>
      </c>
      <c r="AI513" s="832">
        <v>0</v>
      </c>
      <c r="AJ513" s="1030" t="str">
        <f t="shared" si="48"/>
        <v>H26011</v>
      </c>
      <c r="AK513" s="1030" t="str">
        <f t="shared" si="49"/>
        <v>BALANCE DE PRIX DE VENTE</v>
      </c>
      <c r="AL513" s="1030">
        <f>IFERROR(INDEX(G513:R513,1,MATCH(Parametres!$B$3,G$1:R$1,0)-1)*IF(OR(F513="L",F513="S",F513="I"),-1,1),"")</f>
        <v>0</v>
      </c>
      <c r="AM513" s="1030">
        <f t="shared" si="44"/>
        <v>0</v>
      </c>
      <c r="AN513" s="1030">
        <f>INDEX(G513:R513,1,MATCH(Parametres!$B$3,G$1:R$1,0))*IF(OR(F513="L",F513="S",F513="I"),-1,1)</f>
        <v>0</v>
      </c>
      <c r="AO513" s="598" t="str">
        <f>+VLOOKUP($AJ513,Data_Validation!$A:$D,1,0)</f>
        <v>H26011</v>
      </c>
      <c r="AP513" s="598" t="str">
        <f>+VLOOKUP($AJ513,Data_Validation!$A:$D,3,0)</f>
        <v>Bilan</v>
      </c>
      <c r="AQ513" s="598" t="str">
        <f>+VLOOKUP($AJ513,Data_Validation!$A:$D,4,0)</f>
        <v>Recevables Intercos</v>
      </c>
      <c r="AR513" s="598" t="s">
        <v>299</v>
      </c>
      <c r="AS513" s="598">
        <f>+VLOOKUP($AJ513,Data_Validation!$A:$E,5,0)</f>
        <v>0</v>
      </c>
      <c r="AT513" s="1036" t="str">
        <f t="shared" si="45"/>
        <v>H26011</v>
      </c>
      <c r="AU513" s="599" t="str">
        <f t="shared" si="46"/>
        <v>BALANCE DE PRIX DE VENTE</v>
      </c>
      <c r="AV513" s="1030">
        <f>IFERROR(INDEX(V513:AG513,1,MATCH(Parametres!$B$3,V$1:AG$1,0)-1)*IF(OR(C513="L",C513="S",C513="I"),-1,1),"")</f>
        <v>0</v>
      </c>
      <c r="AW513" s="1030">
        <f t="shared" si="47"/>
        <v>0</v>
      </c>
      <c r="AX513" s="1030">
        <f>INDEX(V513:AG513,1,MATCH(Parametres!$B$3,V$1:AG$1,0))*IF(OR(C513="L",C513="S",C513="I"),-1,1)</f>
        <v>0</v>
      </c>
      <c r="AY513" s="598" t="s">
        <v>337</v>
      </c>
      <c r="AZ513" s="598">
        <f>+VLOOKUP($AJ513,Data_Validation!$A:$E,5,0)</f>
        <v>0</v>
      </c>
    </row>
    <row r="514" spans="1:52" ht="15" customHeight="1">
      <c r="A514" s="832" t="s">
        <v>1150</v>
      </c>
      <c r="B514" s="832">
        <v>2025</v>
      </c>
      <c r="C514" s="832" t="s">
        <v>2169</v>
      </c>
      <c r="D514" s="832" t="s">
        <v>2170</v>
      </c>
      <c r="E514" s="832" t="s">
        <v>333</v>
      </c>
      <c r="F514" s="832" t="s">
        <v>1153</v>
      </c>
      <c r="G514" s="832">
        <v>0</v>
      </c>
      <c r="H514" s="832">
        <v>0</v>
      </c>
      <c r="I514" s="832">
        <v>0</v>
      </c>
      <c r="J514" s="832">
        <v>0</v>
      </c>
      <c r="K514" s="832">
        <v>0</v>
      </c>
      <c r="L514" s="832">
        <v>0</v>
      </c>
      <c r="M514" s="832">
        <v>0</v>
      </c>
      <c r="N514" s="832">
        <v>0</v>
      </c>
      <c r="O514" s="832">
        <v>0</v>
      </c>
      <c r="P514" s="832">
        <v>0</v>
      </c>
      <c r="Q514" s="832">
        <v>0</v>
      </c>
      <c r="R514" s="832">
        <v>0</v>
      </c>
      <c r="S514" s="832">
        <v>0</v>
      </c>
      <c r="T514" s="832">
        <v>0</v>
      </c>
      <c r="U514" s="832">
        <v>0</v>
      </c>
      <c r="V514" s="832">
        <v>0</v>
      </c>
      <c r="W514" s="832">
        <v>0</v>
      </c>
      <c r="X514" s="832">
        <v>0</v>
      </c>
      <c r="Y514" s="832">
        <v>0</v>
      </c>
      <c r="Z514" s="832">
        <v>0</v>
      </c>
      <c r="AA514" s="832">
        <v>0</v>
      </c>
      <c r="AB514" s="832">
        <v>0</v>
      </c>
      <c r="AC514" s="832">
        <v>0</v>
      </c>
      <c r="AD514" s="832">
        <v>0</v>
      </c>
      <c r="AE514" s="832">
        <v>0</v>
      </c>
      <c r="AF514" s="832">
        <v>0</v>
      </c>
      <c r="AG514" s="832">
        <v>0</v>
      </c>
      <c r="AH514" s="832">
        <v>0</v>
      </c>
      <c r="AI514" s="832">
        <v>0</v>
      </c>
      <c r="AJ514" s="1030" t="str">
        <f t="shared" si="48"/>
        <v>H26020</v>
      </c>
      <c r="AK514" s="1030" t="str">
        <f t="shared" si="49"/>
        <v>AVANCE FIDUCIE JEAN ROZON</v>
      </c>
      <c r="AL514" s="1030">
        <f>IFERROR(INDEX(G514:R514,1,MATCH(Parametres!$B$3,G$1:R$1,0)-1)*IF(OR(F514="L",F514="S",F514="I"),-1,1),"")</f>
        <v>0</v>
      </c>
      <c r="AM514" s="1030">
        <f t="shared" si="44"/>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t="str">
        <f t="shared" si="45"/>
        <v>H26020</v>
      </c>
      <c r="AU514" s="599" t="str">
        <f t="shared" si="46"/>
        <v>AVANCE FIDUCIE JEAN ROZON</v>
      </c>
      <c r="AV514" s="1030">
        <f>IFERROR(INDEX(V514:AG514,1,MATCH(Parametres!$B$3,V$1:AG$1,0)-1)*IF(OR(C514="L",C514="S",C514="I"),-1,1),"")</f>
        <v>0</v>
      </c>
      <c r="AW514" s="1030">
        <f t="shared" si="47"/>
        <v>0</v>
      </c>
      <c r="AX514" s="1030">
        <f>INDEX(V514:AG514,1,MATCH(Parametres!$B$3,V$1:AG$1,0))*IF(OR(C514="L",C514="S",C514="I"),-1,1)</f>
        <v>0</v>
      </c>
      <c r="AY514" s="598" t="s">
        <v>337</v>
      </c>
      <c r="AZ514" s="598" t="e">
        <f>+VLOOKUP($AJ514,Data_Validation!$A:$E,5,0)</f>
        <v>#N/A</v>
      </c>
    </row>
    <row r="515" spans="1:52" ht="15" customHeight="1">
      <c r="A515" s="832" t="s">
        <v>1150</v>
      </c>
      <c r="B515" s="832">
        <v>2025</v>
      </c>
      <c r="C515" s="832" t="s">
        <v>2171</v>
      </c>
      <c r="D515" s="832" t="s">
        <v>2172</v>
      </c>
      <c r="E515" s="832" t="s">
        <v>333</v>
      </c>
      <c r="F515" s="832" t="s">
        <v>1153</v>
      </c>
      <c r="G515" s="832">
        <v>0</v>
      </c>
      <c r="H515" s="832">
        <v>0</v>
      </c>
      <c r="I515" s="832">
        <v>0</v>
      </c>
      <c r="J515" s="832">
        <v>0</v>
      </c>
      <c r="K515" s="832">
        <v>0</v>
      </c>
      <c r="L515" s="832">
        <v>0</v>
      </c>
      <c r="M515" s="832">
        <v>0</v>
      </c>
      <c r="N515" s="832">
        <v>0</v>
      </c>
      <c r="O515" s="832">
        <v>0</v>
      </c>
      <c r="P515" s="832">
        <v>0</v>
      </c>
      <c r="Q515" s="832">
        <v>0</v>
      </c>
      <c r="R515" s="832">
        <v>0</v>
      </c>
      <c r="S515" s="832">
        <v>0</v>
      </c>
      <c r="T515" s="832">
        <v>0</v>
      </c>
      <c r="U515" s="832">
        <v>0</v>
      </c>
      <c r="V515" s="832">
        <v>0</v>
      </c>
      <c r="W515" s="832">
        <v>0</v>
      </c>
      <c r="X515" s="832">
        <v>0</v>
      </c>
      <c r="Y515" s="832">
        <v>0</v>
      </c>
      <c r="Z515" s="832">
        <v>0</v>
      </c>
      <c r="AA515" s="832">
        <v>0</v>
      </c>
      <c r="AB515" s="832">
        <v>0</v>
      </c>
      <c r="AC515" s="832">
        <v>0</v>
      </c>
      <c r="AD515" s="832">
        <v>0</v>
      </c>
      <c r="AE515" s="832">
        <v>0</v>
      </c>
      <c r="AF515" s="832">
        <v>0</v>
      </c>
      <c r="AG515" s="832">
        <v>0</v>
      </c>
      <c r="AH515" s="832">
        <v>0</v>
      </c>
      <c r="AI515" s="832">
        <v>0</v>
      </c>
      <c r="AJ515" s="1030" t="str">
        <f t="shared" si="48"/>
        <v>H26021</v>
      </c>
      <c r="AK515" s="1030" t="str">
        <f t="shared" si="49"/>
        <v>AVANCES AVEC STE-MARIE</v>
      </c>
      <c r="AL515" s="1030">
        <f>IFERROR(INDEX(G515:R515,1,MATCH(Parametres!$B$3,G$1:R$1,0)-1)*IF(OR(F515="L",F515="S",F515="I"),-1,1),"")</f>
        <v>0</v>
      </c>
      <c r="AM515" s="1030">
        <f t="shared" si="44"/>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t="str">
        <f t="shared" si="45"/>
        <v>H26021</v>
      </c>
      <c r="AU515" s="599" t="str">
        <f t="shared" si="46"/>
        <v>AVANCES AVEC STE-MARIE</v>
      </c>
      <c r="AV515" s="1030">
        <f>IFERROR(INDEX(V515:AG515,1,MATCH(Parametres!$B$3,V$1:AG$1,0)-1)*IF(OR(C515="L",C515="S",C515="I"),-1,1),"")</f>
        <v>0</v>
      </c>
      <c r="AW515" s="1030">
        <f t="shared" si="47"/>
        <v>0</v>
      </c>
      <c r="AX515" s="1030">
        <f>INDEX(V515:AG515,1,MATCH(Parametres!$B$3,V$1:AG$1,0))*IF(OR(C515="L",C515="S",C515="I"),-1,1)</f>
        <v>0</v>
      </c>
      <c r="AY515" s="598" t="s">
        <v>337</v>
      </c>
      <c r="AZ515" s="598" t="e">
        <f>+VLOOKUP($AJ515,Data_Validation!$A:$E,5,0)</f>
        <v>#N/A</v>
      </c>
    </row>
    <row r="516" spans="1:52" ht="15" customHeight="1">
      <c r="A516" s="832" t="s">
        <v>1150</v>
      </c>
      <c r="B516" s="832">
        <v>2025</v>
      </c>
      <c r="C516" s="832" t="s">
        <v>2173</v>
      </c>
      <c r="D516" s="832" t="s">
        <v>2174</v>
      </c>
      <c r="E516" s="832" t="s">
        <v>333</v>
      </c>
      <c r="F516" s="832" t="s">
        <v>1153</v>
      </c>
      <c r="G516" s="832">
        <v>0</v>
      </c>
      <c r="H516" s="832">
        <v>0</v>
      </c>
      <c r="I516" s="832">
        <v>0</v>
      </c>
      <c r="J516" s="832">
        <v>0</v>
      </c>
      <c r="K516" s="832">
        <v>0</v>
      </c>
      <c r="L516" s="832">
        <v>0</v>
      </c>
      <c r="M516" s="832">
        <v>0</v>
      </c>
      <c r="N516" s="832">
        <v>0</v>
      </c>
      <c r="O516" s="832">
        <v>0</v>
      </c>
      <c r="P516" s="832">
        <v>0</v>
      </c>
      <c r="Q516" s="832">
        <v>0</v>
      </c>
      <c r="R516" s="832">
        <v>0</v>
      </c>
      <c r="S516" s="832">
        <v>0</v>
      </c>
      <c r="T516" s="832">
        <v>0</v>
      </c>
      <c r="U516" s="832">
        <v>0</v>
      </c>
      <c r="V516" s="832">
        <v>0</v>
      </c>
      <c r="W516" s="832">
        <v>0</v>
      </c>
      <c r="X516" s="832">
        <v>0</v>
      </c>
      <c r="Y516" s="832">
        <v>0</v>
      </c>
      <c r="Z516" s="832">
        <v>0</v>
      </c>
      <c r="AA516" s="832">
        <v>0</v>
      </c>
      <c r="AB516" s="832">
        <v>0</v>
      </c>
      <c r="AC516" s="832">
        <v>0</v>
      </c>
      <c r="AD516" s="832">
        <v>0</v>
      </c>
      <c r="AE516" s="832">
        <v>0</v>
      </c>
      <c r="AF516" s="832">
        <v>0</v>
      </c>
      <c r="AG516" s="832">
        <v>0</v>
      </c>
      <c r="AH516" s="832">
        <v>0</v>
      </c>
      <c r="AI516" s="832">
        <v>0</v>
      </c>
      <c r="AJ516" s="1030" t="str">
        <f t="shared" si="48"/>
        <v>H26900</v>
      </c>
      <c r="AK516" s="1030" t="str">
        <f t="shared" si="49"/>
        <v>AVANCE CIBC</v>
      </c>
      <c r="AL516" s="1030">
        <f>IFERROR(INDEX(G516:R516,1,MATCH(Parametres!$B$3,G$1:R$1,0)-1)*IF(OR(F516="L",F516="S",F516="I"),-1,1),"")</f>
        <v>0</v>
      </c>
      <c r="AM516" s="1030">
        <f t="shared" ref="AM516:AM579" si="50">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t="str">
        <f t="shared" ref="AT516:AT579" si="51">C516</f>
        <v>H26900</v>
      </c>
      <c r="AU516" s="599" t="str">
        <f t="shared" ref="AU516:AU579" si="52">D516</f>
        <v>AVANCE CIBC</v>
      </c>
      <c r="AV516" s="1030">
        <f>IFERROR(INDEX(V516:AG516,1,MATCH(Parametres!$B$3,V$1:AG$1,0)-1)*IF(OR(C516="L",C516="S",C516="I"),-1,1),"")</f>
        <v>0</v>
      </c>
      <c r="AW516" s="1030">
        <f t="shared" ref="AW516:AW579" si="53">AX516-N(AV516)</f>
        <v>0</v>
      </c>
      <c r="AX516" s="1030">
        <f>INDEX(V516:AG516,1,MATCH(Parametres!$B$3,V$1:AG$1,0))*IF(OR(C516="L",C516="S",C516="I"),-1,1)</f>
        <v>0</v>
      </c>
      <c r="AY516" s="598" t="s">
        <v>337</v>
      </c>
      <c r="AZ516" s="598" t="e">
        <f>+VLOOKUP($AJ516,Data_Validation!$A:$E,5,0)</f>
        <v>#N/A</v>
      </c>
    </row>
    <row r="517" spans="1:52" ht="15" customHeight="1">
      <c r="A517" s="832" t="s">
        <v>1150</v>
      </c>
      <c r="B517" s="832">
        <v>2025</v>
      </c>
      <c r="C517" s="832" t="s">
        <v>2175</v>
      </c>
      <c r="D517" s="832" t="s">
        <v>2176</v>
      </c>
      <c r="E517" s="832" t="s">
        <v>333</v>
      </c>
      <c r="F517" s="832" t="s">
        <v>1153</v>
      </c>
      <c r="G517" s="832">
        <v>0</v>
      </c>
      <c r="H517" s="832">
        <v>0</v>
      </c>
      <c r="I517" s="832">
        <v>0</v>
      </c>
      <c r="J517" s="832">
        <v>0</v>
      </c>
      <c r="K517" s="832">
        <v>0</v>
      </c>
      <c r="L517" s="832">
        <v>0</v>
      </c>
      <c r="M517" s="832">
        <v>0</v>
      </c>
      <c r="N517" s="832">
        <v>0</v>
      </c>
      <c r="O517" s="832">
        <v>0</v>
      </c>
      <c r="P517" s="832">
        <v>0</v>
      </c>
      <c r="Q517" s="832">
        <v>0</v>
      </c>
      <c r="R517" s="832">
        <v>0</v>
      </c>
      <c r="S517" s="832">
        <v>0</v>
      </c>
      <c r="T517" s="832">
        <v>0</v>
      </c>
      <c r="U517" s="832">
        <v>0</v>
      </c>
      <c r="V517" s="832">
        <v>0</v>
      </c>
      <c r="W517" s="832">
        <v>0</v>
      </c>
      <c r="X517" s="832">
        <v>0</v>
      </c>
      <c r="Y517" s="832">
        <v>0</v>
      </c>
      <c r="Z517" s="832">
        <v>0</v>
      </c>
      <c r="AA517" s="832">
        <v>0</v>
      </c>
      <c r="AB517" s="832">
        <v>0</v>
      </c>
      <c r="AC517" s="832">
        <v>0</v>
      </c>
      <c r="AD517" s="832">
        <v>0</v>
      </c>
      <c r="AE517" s="832">
        <v>0</v>
      </c>
      <c r="AF517" s="832">
        <v>0</v>
      </c>
      <c r="AG517" s="832">
        <v>0</v>
      </c>
      <c r="AH517" s="832">
        <v>0</v>
      </c>
      <c r="AI517" s="832">
        <v>0</v>
      </c>
      <c r="AJ517" s="1030" t="str">
        <f t="shared" si="48"/>
        <v>H28000</v>
      </c>
      <c r="AK517" s="1030" t="str">
        <f t="shared" si="49"/>
        <v>CAPITAL-ACTIONS ORDINAIRE</v>
      </c>
      <c r="AL517" s="1030">
        <f>IFERROR(INDEX(G517:R517,1,MATCH(Parametres!$B$3,G$1:R$1,0)-1)*IF(OR(F517="L",F517="S",F517="I"),-1,1),"")</f>
        <v>0</v>
      </c>
      <c r="AM517" s="1030">
        <f t="shared" si="50"/>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t="str">
        <f t="shared" si="51"/>
        <v>H28000</v>
      </c>
      <c r="AU517" s="599" t="str">
        <f t="shared" si="52"/>
        <v>CAPITAL-ACTIONS ORDINAIRE</v>
      </c>
      <c r="AV517" s="1030">
        <f>IFERROR(INDEX(V517:AG517,1,MATCH(Parametres!$B$3,V$1:AG$1,0)-1)*IF(OR(C517="L",C517="S",C517="I"),-1,1),"")</f>
        <v>0</v>
      </c>
      <c r="AW517" s="1030">
        <f t="shared" si="53"/>
        <v>0</v>
      </c>
      <c r="AX517" s="1030">
        <f>INDEX(V517:AG517,1,MATCH(Parametres!$B$3,V$1:AG$1,0))*IF(OR(C517="L",C517="S",C517="I"),-1,1)</f>
        <v>0</v>
      </c>
      <c r="AY517" s="598" t="s">
        <v>337</v>
      </c>
      <c r="AZ517" s="598" t="e">
        <f>+VLOOKUP($AJ517,Data_Validation!$A:$E,5,0)</f>
        <v>#N/A</v>
      </c>
    </row>
    <row r="518" spans="1:52" ht="15" customHeight="1">
      <c r="A518" s="832" t="s">
        <v>1150</v>
      </c>
      <c r="B518" s="832">
        <v>2025</v>
      </c>
      <c r="C518" s="832" t="s">
        <v>2177</v>
      </c>
      <c r="D518" s="832" t="s">
        <v>2178</v>
      </c>
      <c r="E518" s="832" t="s">
        <v>333</v>
      </c>
      <c r="F518" s="832" t="s">
        <v>1153</v>
      </c>
      <c r="G518" s="832">
        <v>367349</v>
      </c>
      <c r="H518" s="832">
        <v>367349</v>
      </c>
      <c r="I518" s="832">
        <v>367349</v>
      </c>
      <c r="J518" s="832">
        <v>367349</v>
      </c>
      <c r="K518" s="832">
        <v>367349</v>
      </c>
      <c r="L518" s="832">
        <v>367349</v>
      </c>
      <c r="M518" s="832">
        <v>367349</v>
      </c>
      <c r="N518" s="832">
        <v>0</v>
      </c>
      <c r="O518" s="832">
        <v>0</v>
      </c>
      <c r="P518" s="832">
        <v>0</v>
      </c>
      <c r="Q518" s="832">
        <v>0</v>
      </c>
      <c r="R518" s="832">
        <v>0</v>
      </c>
      <c r="S518" s="832">
        <v>0</v>
      </c>
      <c r="T518" s="832">
        <v>0</v>
      </c>
      <c r="U518" s="832">
        <v>0</v>
      </c>
      <c r="V518" s="832">
        <v>0</v>
      </c>
      <c r="W518" s="832">
        <v>0</v>
      </c>
      <c r="X518" s="832">
        <v>0</v>
      </c>
      <c r="Y518" s="832">
        <v>0</v>
      </c>
      <c r="Z518" s="832">
        <v>0</v>
      </c>
      <c r="AA518" s="832">
        <v>0</v>
      </c>
      <c r="AB518" s="832">
        <v>0</v>
      </c>
      <c r="AC518" s="832">
        <v>0</v>
      </c>
      <c r="AD518" s="832">
        <v>0</v>
      </c>
      <c r="AE518" s="832">
        <v>0</v>
      </c>
      <c r="AF518" s="832">
        <v>0</v>
      </c>
      <c r="AG518" s="832">
        <v>0</v>
      </c>
      <c r="AH518" s="832">
        <v>0</v>
      </c>
      <c r="AI518" s="832">
        <v>0</v>
      </c>
      <c r="AJ518" s="1030" t="str">
        <f t="shared" si="48"/>
        <v>H28010</v>
      </c>
      <c r="AK518" s="1030" t="str">
        <f t="shared" si="49"/>
        <v>CAPITAL ACTION CAT A</v>
      </c>
      <c r="AL518" s="1030">
        <f>IFERROR(INDEX(G518:R518,1,MATCH(Parametres!$B$3,G$1:R$1,0)-1)*IF(OR(F518="L",F518="S",F518="I"),-1,1),"")</f>
        <v>-367349</v>
      </c>
      <c r="AM518" s="1030">
        <f t="shared" si="50"/>
        <v>0</v>
      </c>
      <c r="AN518" s="1030">
        <f>INDEX(G518:R518,1,MATCH(Parametres!$B$3,G$1:R$1,0))*IF(OR(F518="L",F518="S",F518="I"),-1,1)</f>
        <v>-367349</v>
      </c>
      <c r="AO518" s="598" t="str">
        <f>+VLOOKUP($AJ518,Data_Validation!$A:$D,1,0)</f>
        <v>H28010</v>
      </c>
      <c r="AP518" s="598" t="str">
        <f>+VLOOKUP($AJ518,Data_Validation!$A:$D,3,0)</f>
        <v>Bilan</v>
      </c>
      <c r="AQ518" s="598" t="str">
        <f>+VLOOKUP($AJ518,Data_Validation!$A:$D,4,0)</f>
        <v>Capital Actions</v>
      </c>
      <c r="AR518" s="598" t="s">
        <v>299</v>
      </c>
      <c r="AS518" s="598">
        <f>+VLOOKUP($AJ518,Data_Validation!$A:$E,5,0)</f>
        <v>0</v>
      </c>
      <c r="AT518" s="1036" t="str">
        <f t="shared" si="51"/>
        <v>H28010</v>
      </c>
      <c r="AU518" s="599" t="str">
        <f t="shared" si="52"/>
        <v>CAPITAL ACTION CAT A</v>
      </c>
      <c r="AV518" s="1030">
        <f>IFERROR(INDEX(V518:AG518,1,MATCH(Parametres!$B$3,V$1:AG$1,0)-1)*IF(OR(C518="L",C518="S",C518="I"),-1,1),"")</f>
        <v>0</v>
      </c>
      <c r="AW518" s="1030">
        <f t="shared" si="53"/>
        <v>0</v>
      </c>
      <c r="AX518" s="1030">
        <f>INDEX(V518:AG518,1,MATCH(Parametres!$B$3,V$1:AG$1,0))*IF(OR(C518="L",C518="S",C518="I"),-1,1)</f>
        <v>0</v>
      </c>
      <c r="AY518" s="598" t="s">
        <v>337</v>
      </c>
      <c r="AZ518" s="598">
        <f>+VLOOKUP($AJ518,Data_Validation!$A:$E,5,0)</f>
        <v>0</v>
      </c>
    </row>
    <row r="519" spans="1:52" ht="15" customHeight="1">
      <c r="A519" s="832" t="s">
        <v>1150</v>
      </c>
      <c r="B519" s="832">
        <v>2025</v>
      </c>
      <c r="C519" s="832" t="s">
        <v>2179</v>
      </c>
      <c r="D519" s="832" t="s">
        <v>2180</v>
      </c>
      <c r="E519" s="832" t="s">
        <v>333</v>
      </c>
      <c r="F519" s="832" t="s">
        <v>1153</v>
      </c>
      <c r="G519" s="832">
        <v>0</v>
      </c>
      <c r="H519" s="832">
        <v>0</v>
      </c>
      <c r="I519" s="832">
        <v>0</v>
      </c>
      <c r="J519" s="832">
        <v>0</v>
      </c>
      <c r="K519" s="832">
        <v>0</v>
      </c>
      <c r="L519" s="832">
        <v>0</v>
      </c>
      <c r="M519" s="832">
        <v>0</v>
      </c>
      <c r="N519" s="832">
        <v>20</v>
      </c>
      <c r="O519" s="832">
        <v>20</v>
      </c>
      <c r="P519" s="832">
        <v>20</v>
      </c>
      <c r="Q519" s="832">
        <v>20</v>
      </c>
      <c r="R519" s="832">
        <v>20</v>
      </c>
      <c r="S519" s="832">
        <v>0</v>
      </c>
      <c r="T519" s="832">
        <v>0</v>
      </c>
      <c r="U519" s="832">
        <v>0</v>
      </c>
      <c r="V519" s="832">
        <v>0</v>
      </c>
      <c r="W519" s="832">
        <v>0</v>
      </c>
      <c r="X519" s="832">
        <v>0</v>
      </c>
      <c r="Y519" s="832">
        <v>0</v>
      </c>
      <c r="Z519" s="832">
        <v>0</v>
      </c>
      <c r="AA519" s="832">
        <v>0</v>
      </c>
      <c r="AB519" s="832">
        <v>0</v>
      </c>
      <c r="AC519" s="832">
        <v>0</v>
      </c>
      <c r="AD519" s="832">
        <v>0</v>
      </c>
      <c r="AE519" s="832">
        <v>0</v>
      </c>
      <c r="AF519" s="832">
        <v>0</v>
      </c>
      <c r="AG519" s="832">
        <v>0</v>
      </c>
      <c r="AH519" s="832">
        <v>0</v>
      </c>
      <c r="AI519" s="832">
        <v>0</v>
      </c>
      <c r="AJ519" s="1030" t="str">
        <f t="shared" si="48"/>
        <v>H28011</v>
      </c>
      <c r="AK519" s="1030" t="str">
        <f t="shared" si="49"/>
        <v>CAPITAL ACTION BA</v>
      </c>
      <c r="AL519" s="1030">
        <f>IFERROR(INDEX(G519:R519,1,MATCH(Parametres!$B$3,G$1:R$1,0)-1)*IF(OR(F519="L",F519="S",F519="I"),-1,1),"")</f>
        <v>0</v>
      </c>
      <c r="AM519" s="1030">
        <f t="shared" si="50"/>
        <v>0</v>
      </c>
      <c r="AN519" s="1030">
        <f>INDEX(G519:R519,1,MATCH(Parametres!$B$3,G$1:R$1,0))*IF(OR(F519="L",F519="S",F519="I"),-1,1)</f>
        <v>0</v>
      </c>
      <c r="AO519" s="598" t="str">
        <f>+VLOOKUP($AJ519,Data_Validation!$A:$D,1,0)</f>
        <v>H28011</v>
      </c>
      <c r="AP519" s="598" t="str">
        <f>+VLOOKUP($AJ519,Data_Validation!$A:$D,3,0)</f>
        <v>Bilan</v>
      </c>
      <c r="AQ519" s="598" t="str">
        <f>+VLOOKUP($AJ519,Data_Validation!$A:$D,4,0)</f>
        <v>Capital Actions</v>
      </c>
      <c r="AR519" s="598" t="s">
        <v>299</v>
      </c>
      <c r="AS519" s="598">
        <f>+VLOOKUP($AJ519,Data_Validation!$A:$E,5,0)</f>
        <v>0</v>
      </c>
      <c r="AT519" s="1036" t="str">
        <f t="shared" si="51"/>
        <v>H28011</v>
      </c>
      <c r="AU519" s="599" t="str">
        <f t="shared" si="52"/>
        <v>CAPITAL ACTION BA</v>
      </c>
      <c r="AV519" s="1030">
        <f>IFERROR(INDEX(V519:AG519,1,MATCH(Parametres!$B$3,V$1:AG$1,0)-1)*IF(OR(C519="L",C519="S",C519="I"),-1,1),"")</f>
        <v>0</v>
      </c>
      <c r="AW519" s="1030">
        <f t="shared" si="53"/>
        <v>0</v>
      </c>
      <c r="AX519" s="1030">
        <f>INDEX(V519:AG519,1,MATCH(Parametres!$B$3,V$1:AG$1,0))*IF(OR(C519="L",C519="S",C519="I"),-1,1)</f>
        <v>0</v>
      </c>
      <c r="AY519" s="598" t="s">
        <v>337</v>
      </c>
      <c r="AZ519" s="598">
        <f>+VLOOKUP($AJ519,Data_Validation!$A:$E,5,0)</f>
        <v>0</v>
      </c>
    </row>
    <row r="520" spans="1:52" ht="15" customHeight="1">
      <c r="A520" s="832" t="s">
        <v>1150</v>
      </c>
      <c r="B520" s="832">
        <v>2025</v>
      </c>
      <c r="C520" s="832" t="s">
        <v>2181</v>
      </c>
      <c r="D520" s="832" t="s">
        <v>2182</v>
      </c>
      <c r="E520" s="832" t="s">
        <v>333</v>
      </c>
      <c r="F520" s="832" t="s">
        <v>1153</v>
      </c>
      <c r="G520" s="832">
        <v>0</v>
      </c>
      <c r="H520" s="832">
        <v>0</v>
      </c>
      <c r="I520" s="832">
        <v>0</v>
      </c>
      <c r="J520" s="832">
        <v>0</v>
      </c>
      <c r="K520" s="832">
        <v>0</v>
      </c>
      <c r="L520" s="832">
        <v>0</v>
      </c>
      <c r="M520" s="832">
        <v>0</v>
      </c>
      <c r="N520" s="832">
        <v>100</v>
      </c>
      <c r="O520" s="832">
        <v>100</v>
      </c>
      <c r="P520" s="832">
        <v>100</v>
      </c>
      <c r="Q520" s="832">
        <v>100</v>
      </c>
      <c r="R520" s="832">
        <v>100</v>
      </c>
      <c r="S520" s="832">
        <v>0</v>
      </c>
      <c r="T520" s="832">
        <v>0</v>
      </c>
      <c r="U520" s="832">
        <v>0</v>
      </c>
      <c r="V520" s="832">
        <v>0</v>
      </c>
      <c r="W520" s="832">
        <v>0</v>
      </c>
      <c r="X520" s="832">
        <v>0</v>
      </c>
      <c r="Y520" s="832">
        <v>0</v>
      </c>
      <c r="Z520" s="832">
        <v>0</v>
      </c>
      <c r="AA520" s="832">
        <v>0</v>
      </c>
      <c r="AB520" s="832">
        <v>0</v>
      </c>
      <c r="AC520" s="832">
        <v>0</v>
      </c>
      <c r="AD520" s="832">
        <v>0</v>
      </c>
      <c r="AE520" s="832">
        <v>0</v>
      </c>
      <c r="AF520" s="832">
        <v>0</v>
      </c>
      <c r="AG520" s="832">
        <v>0</v>
      </c>
      <c r="AH520" s="832">
        <v>0</v>
      </c>
      <c r="AI520" s="832">
        <v>0</v>
      </c>
      <c r="AJ520" s="1030" t="str">
        <f t="shared" si="48"/>
        <v>H28012</v>
      </c>
      <c r="AK520" s="1030" t="str">
        <f t="shared" si="49"/>
        <v>CAPITAL ACTION C</v>
      </c>
      <c r="AL520" s="1030">
        <f>IFERROR(INDEX(G520:R520,1,MATCH(Parametres!$B$3,G$1:R$1,0)-1)*IF(OR(F520="L",F520="S",F520="I"),-1,1),"")</f>
        <v>0</v>
      </c>
      <c r="AM520" s="1030">
        <f t="shared" si="50"/>
        <v>0</v>
      </c>
      <c r="AN520" s="1030">
        <f>INDEX(G520:R520,1,MATCH(Parametres!$B$3,G$1:R$1,0))*IF(OR(F520="L",F520="S",F520="I"),-1,1)</f>
        <v>0</v>
      </c>
      <c r="AO520" s="598" t="str">
        <f>+VLOOKUP($AJ520,Data_Validation!$A:$D,1,0)</f>
        <v>H28012</v>
      </c>
      <c r="AP520" s="598" t="str">
        <f>+VLOOKUP($AJ520,Data_Validation!$A:$D,3,0)</f>
        <v>Bilan</v>
      </c>
      <c r="AQ520" s="598" t="str">
        <f>+VLOOKUP($AJ520,Data_Validation!$A:$D,4,0)</f>
        <v>Capital Actions</v>
      </c>
      <c r="AR520" s="598" t="s">
        <v>299</v>
      </c>
      <c r="AS520" s="598">
        <f>+VLOOKUP($AJ520,Data_Validation!$A:$E,5,0)</f>
        <v>0</v>
      </c>
      <c r="AT520" s="1036" t="str">
        <f t="shared" si="51"/>
        <v>H28012</v>
      </c>
      <c r="AU520" s="599" t="str">
        <f t="shared" si="52"/>
        <v>CAPITAL ACTION C</v>
      </c>
      <c r="AV520" s="1030">
        <f>IFERROR(INDEX(V520:AG520,1,MATCH(Parametres!$B$3,V$1:AG$1,0)-1)*IF(OR(C520="L",C520="S",C520="I"),-1,1),"")</f>
        <v>0</v>
      </c>
      <c r="AW520" s="1030">
        <f t="shared" si="53"/>
        <v>0</v>
      </c>
      <c r="AX520" s="1030">
        <f>INDEX(V520:AG520,1,MATCH(Parametres!$B$3,V$1:AG$1,0))*IF(OR(C520="L",C520="S",C520="I"),-1,1)</f>
        <v>0</v>
      </c>
      <c r="AY520" s="598" t="s">
        <v>337</v>
      </c>
      <c r="AZ520" s="598">
        <f>+VLOOKUP($AJ520,Data_Validation!$A:$E,5,0)</f>
        <v>0</v>
      </c>
    </row>
    <row r="521" spans="1:52" ht="15" customHeight="1">
      <c r="A521" s="832" t="s">
        <v>1150</v>
      </c>
      <c r="B521" s="832">
        <v>2025</v>
      </c>
      <c r="C521" s="832" t="s">
        <v>2183</v>
      </c>
      <c r="D521" s="832" t="s">
        <v>2184</v>
      </c>
      <c r="E521" s="832" t="s">
        <v>333</v>
      </c>
      <c r="F521" s="832" t="s">
        <v>1153</v>
      </c>
      <c r="G521" s="832">
        <v>0</v>
      </c>
      <c r="H521" s="832">
        <v>0</v>
      </c>
      <c r="I521" s="832">
        <v>0</v>
      </c>
      <c r="J521" s="832">
        <v>0</v>
      </c>
      <c r="K521" s="832">
        <v>0</v>
      </c>
      <c r="L521" s="832">
        <v>0</v>
      </c>
      <c r="M521" s="832">
        <v>0</v>
      </c>
      <c r="N521" s="832">
        <v>0</v>
      </c>
      <c r="O521" s="832">
        <v>0</v>
      </c>
      <c r="P521" s="832">
        <v>0</v>
      </c>
      <c r="Q521" s="832">
        <v>0</v>
      </c>
      <c r="R521" s="832">
        <v>0</v>
      </c>
      <c r="S521" s="832">
        <v>0</v>
      </c>
      <c r="T521" s="832">
        <v>0</v>
      </c>
      <c r="U521" s="832">
        <v>0</v>
      </c>
      <c r="V521" s="832">
        <v>0</v>
      </c>
      <c r="W521" s="832">
        <v>0</v>
      </c>
      <c r="X521" s="832">
        <v>0</v>
      </c>
      <c r="Y521" s="832">
        <v>0</v>
      </c>
      <c r="Z521" s="832">
        <v>0</v>
      </c>
      <c r="AA521" s="832">
        <v>0</v>
      </c>
      <c r="AB521" s="832">
        <v>0</v>
      </c>
      <c r="AC521" s="832">
        <v>0</v>
      </c>
      <c r="AD521" s="832">
        <v>0</v>
      </c>
      <c r="AE521" s="832">
        <v>0</v>
      </c>
      <c r="AF521" s="832">
        <v>0</v>
      </c>
      <c r="AG521" s="832">
        <v>0</v>
      </c>
      <c r="AH521" s="832">
        <v>0</v>
      </c>
      <c r="AI521" s="832">
        <v>0</v>
      </c>
      <c r="AJ521" s="1030" t="str">
        <f t="shared" si="48"/>
        <v>H28020</v>
      </c>
      <c r="AK521" s="1030" t="str">
        <f t="shared" si="49"/>
        <v>CAPITAL ACTION CAT B</v>
      </c>
      <c r="AL521" s="1030">
        <f>IFERROR(INDEX(G521:R521,1,MATCH(Parametres!$B$3,G$1:R$1,0)-1)*IF(OR(F521="L",F521="S",F521="I"),-1,1),"")</f>
        <v>0</v>
      </c>
      <c r="AM521" s="1030">
        <f t="shared" si="50"/>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t="str">
        <f t="shared" si="51"/>
        <v>H28020</v>
      </c>
      <c r="AU521" s="599" t="str">
        <f t="shared" si="52"/>
        <v>CAPITAL ACTION CAT B</v>
      </c>
      <c r="AV521" s="1030">
        <f>IFERROR(INDEX(V521:AG521,1,MATCH(Parametres!$B$3,V$1:AG$1,0)-1)*IF(OR(C521="L",C521="S",C521="I"),-1,1),"")</f>
        <v>0</v>
      </c>
      <c r="AW521" s="1030">
        <f t="shared" si="53"/>
        <v>0</v>
      </c>
      <c r="AX521" s="1030">
        <f>INDEX(V521:AG521,1,MATCH(Parametres!$B$3,V$1:AG$1,0))*IF(OR(C521="L",C521="S",C521="I"),-1,1)</f>
        <v>0</v>
      </c>
      <c r="AY521" s="598" t="s">
        <v>337</v>
      </c>
      <c r="AZ521" s="598" t="e">
        <f>+VLOOKUP($AJ521,Data_Validation!$A:$E,5,0)</f>
        <v>#N/A</v>
      </c>
    </row>
    <row r="522" spans="1:52" ht="15" customHeight="1">
      <c r="A522" s="832" t="s">
        <v>1150</v>
      </c>
      <c r="B522" s="832">
        <v>2025</v>
      </c>
      <c r="C522" s="832" t="s">
        <v>2185</v>
      </c>
      <c r="D522" s="832" t="s">
        <v>2186</v>
      </c>
      <c r="E522" s="832" t="s">
        <v>333</v>
      </c>
      <c r="F522" s="832" t="s">
        <v>1153</v>
      </c>
      <c r="G522" s="832">
        <v>7</v>
      </c>
      <c r="H522" s="832">
        <v>7</v>
      </c>
      <c r="I522" s="832">
        <v>7</v>
      </c>
      <c r="J522" s="832">
        <v>7</v>
      </c>
      <c r="K522" s="832">
        <v>7</v>
      </c>
      <c r="L522" s="832">
        <v>7</v>
      </c>
      <c r="M522" s="832">
        <v>7</v>
      </c>
      <c r="N522" s="832">
        <v>0</v>
      </c>
      <c r="O522" s="832">
        <v>0</v>
      </c>
      <c r="P522" s="832">
        <v>0</v>
      </c>
      <c r="Q522" s="832">
        <v>0</v>
      </c>
      <c r="R522" s="832">
        <v>0</v>
      </c>
      <c r="S522" s="832">
        <v>0</v>
      </c>
      <c r="T522" s="832">
        <v>0</v>
      </c>
      <c r="U522" s="832">
        <v>0</v>
      </c>
      <c r="V522" s="832">
        <v>0</v>
      </c>
      <c r="W522" s="832">
        <v>0</v>
      </c>
      <c r="X522" s="832">
        <v>0</v>
      </c>
      <c r="Y522" s="832">
        <v>0</v>
      </c>
      <c r="Z522" s="832">
        <v>0</v>
      </c>
      <c r="AA522" s="832">
        <v>0</v>
      </c>
      <c r="AB522" s="832">
        <v>0</v>
      </c>
      <c r="AC522" s="832">
        <v>0</v>
      </c>
      <c r="AD522" s="832">
        <v>0</v>
      </c>
      <c r="AE522" s="832">
        <v>0</v>
      </c>
      <c r="AF522" s="832">
        <v>0</v>
      </c>
      <c r="AG522" s="832">
        <v>0</v>
      </c>
      <c r="AH522" s="832">
        <v>0</v>
      </c>
      <c r="AI522" s="832">
        <v>0</v>
      </c>
      <c r="AJ522" s="1030" t="str">
        <f t="shared" si="48"/>
        <v>H28030</v>
      </c>
      <c r="AK522" s="1030" t="str">
        <f t="shared" si="49"/>
        <v>CAPITAL ACTION CAT C</v>
      </c>
      <c r="AL522" s="1030">
        <f>IFERROR(INDEX(G522:R522,1,MATCH(Parametres!$B$3,G$1:R$1,0)-1)*IF(OR(F522="L",F522="S",F522="I"),-1,1),"")</f>
        <v>-7</v>
      </c>
      <c r="AM522" s="1030">
        <f t="shared" si="50"/>
        <v>0</v>
      </c>
      <c r="AN522" s="1030">
        <f>INDEX(G522:R522,1,MATCH(Parametres!$B$3,G$1:R$1,0))*IF(OR(F522="L",F522="S",F522="I"),-1,1)</f>
        <v>-7</v>
      </c>
      <c r="AO522" s="598" t="str">
        <f>+VLOOKUP($AJ522,Data_Validation!$A:$D,1,0)</f>
        <v>H28030</v>
      </c>
      <c r="AP522" s="598" t="str">
        <f>+VLOOKUP($AJ522,Data_Validation!$A:$D,3,0)</f>
        <v>Bilan</v>
      </c>
      <c r="AQ522" s="598" t="str">
        <f>+VLOOKUP($AJ522,Data_Validation!$A:$D,4,0)</f>
        <v>Capital Actions</v>
      </c>
      <c r="AR522" s="598" t="s">
        <v>299</v>
      </c>
      <c r="AS522" s="598">
        <f>+VLOOKUP($AJ522,Data_Validation!$A:$E,5,0)</f>
        <v>0</v>
      </c>
      <c r="AT522" s="1036" t="str">
        <f t="shared" si="51"/>
        <v>H28030</v>
      </c>
      <c r="AU522" s="599" t="str">
        <f t="shared" si="52"/>
        <v>CAPITAL ACTION CAT C</v>
      </c>
      <c r="AV522" s="1030">
        <f>IFERROR(INDEX(V522:AG522,1,MATCH(Parametres!$B$3,V$1:AG$1,0)-1)*IF(OR(C522="L",C522="S",C522="I"),-1,1),"")</f>
        <v>0</v>
      </c>
      <c r="AW522" s="1030">
        <f t="shared" si="53"/>
        <v>0</v>
      </c>
      <c r="AX522" s="1030">
        <f>INDEX(V522:AG522,1,MATCH(Parametres!$B$3,V$1:AG$1,0))*IF(OR(C522="L",C522="S",C522="I"),-1,1)</f>
        <v>0</v>
      </c>
      <c r="AY522" s="598" t="s">
        <v>337</v>
      </c>
      <c r="AZ522" s="598">
        <f>+VLOOKUP($AJ522,Data_Validation!$A:$E,5,0)</f>
        <v>0</v>
      </c>
    </row>
    <row r="523" spans="1:52" ht="15" customHeight="1">
      <c r="A523" s="832" t="s">
        <v>1150</v>
      </c>
      <c r="B523" s="832">
        <v>2025</v>
      </c>
      <c r="C523" s="832" t="s">
        <v>2187</v>
      </c>
      <c r="D523" s="832" t="s">
        <v>2188</v>
      </c>
      <c r="E523" s="832" t="s">
        <v>333</v>
      </c>
      <c r="F523" s="832" t="s">
        <v>1153</v>
      </c>
      <c r="G523" s="832">
        <v>0</v>
      </c>
      <c r="H523" s="832">
        <v>0</v>
      </c>
      <c r="I523" s="832">
        <v>0</v>
      </c>
      <c r="J523" s="832">
        <v>0</v>
      </c>
      <c r="K523" s="832">
        <v>0</v>
      </c>
      <c r="L523" s="832">
        <v>0</v>
      </c>
      <c r="M523" s="832">
        <v>0</v>
      </c>
      <c r="N523" s="832">
        <v>0</v>
      </c>
      <c r="O523" s="832">
        <v>0</v>
      </c>
      <c r="P523" s="832">
        <v>0</v>
      </c>
      <c r="Q523" s="832">
        <v>0</v>
      </c>
      <c r="R523" s="832">
        <v>0</v>
      </c>
      <c r="S523" s="832">
        <v>0</v>
      </c>
      <c r="T523" s="832">
        <v>0</v>
      </c>
      <c r="U523" s="832">
        <v>0</v>
      </c>
      <c r="V523" s="832">
        <v>0</v>
      </c>
      <c r="W523" s="832">
        <v>0</v>
      </c>
      <c r="X523" s="832">
        <v>0</v>
      </c>
      <c r="Y523" s="832">
        <v>0</v>
      </c>
      <c r="Z523" s="832">
        <v>0</v>
      </c>
      <c r="AA523" s="832">
        <v>0</v>
      </c>
      <c r="AB523" s="832">
        <v>0</v>
      </c>
      <c r="AC523" s="832">
        <v>0</v>
      </c>
      <c r="AD523" s="832">
        <v>0</v>
      </c>
      <c r="AE523" s="832">
        <v>0</v>
      </c>
      <c r="AF523" s="832">
        <v>0</v>
      </c>
      <c r="AG523" s="832">
        <v>0</v>
      </c>
      <c r="AH523" s="832">
        <v>0</v>
      </c>
      <c r="AI523" s="832">
        <v>0</v>
      </c>
      <c r="AJ523" s="1030" t="str">
        <f t="shared" si="48"/>
        <v>H28040</v>
      </c>
      <c r="AK523" s="1030" t="str">
        <f t="shared" si="49"/>
        <v>CAPITAL ACTION CAT D</v>
      </c>
      <c r="AL523" s="1030">
        <f>IFERROR(INDEX(G523:R523,1,MATCH(Parametres!$B$3,G$1:R$1,0)-1)*IF(OR(F523="L",F523="S",F523="I"),-1,1),"")</f>
        <v>0</v>
      </c>
      <c r="AM523" s="1030">
        <f t="shared" si="50"/>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t="str">
        <f t="shared" si="51"/>
        <v>H28040</v>
      </c>
      <c r="AU523" s="599" t="str">
        <f t="shared" si="52"/>
        <v>CAPITAL ACTION CAT D</v>
      </c>
      <c r="AV523" s="1030">
        <f>IFERROR(INDEX(V523:AG523,1,MATCH(Parametres!$B$3,V$1:AG$1,0)-1)*IF(OR(C523="L",C523="S",C523="I"),-1,1),"")</f>
        <v>0</v>
      </c>
      <c r="AW523" s="1030">
        <f t="shared" si="53"/>
        <v>0</v>
      </c>
      <c r="AX523" s="1030">
        <f>INDEX(V523:AG523,1,MATCH(Parametres!$B$3,V$1:AG$1,0))*IF(OR(C523="L",C523="S",C523="I"),-1,1)</f>
        <v>0</v>
      </c>
      <c r="AY523" s="598" t="s">
        <v>337</v>
      </c>
      <c r="AZ523" s="598" t="e">
        <f>+VLOOKUP($AJ523,Data_Validation!$A:$E,5,0)</f>
        <v>#N/A</v>
      </c>
    </row>
    <row r="524" spans="1:52" ht="15" customHeight="1">
      <c r="A524" s="832" t="s">
        <v>1150</v>
      </c>
      <c r="B524" s="832">
        <v>2025</v>
      </c>
      <c r="C524" s="832" t="s">
        <v>2189</v>
      </c>
      <c r="D524" s="832" t="s">
        <v>2190</v>
      </c>
      <c r="E524" s="832" t="s">
        <v>333</v>
      </c>
      <c r="F524" s="832" t="s">
        <v>1153</v>
      </c>
      <c r="G524" s="832">
        <v>0</v>
      </c>
      <c r="H524" s="832">
        <v>0</v>
      </c>
      <c r="I524" s="832">
        <v>0</v>
      </c>
      <c r="J524" s="832">
        <v>0</v>
      </c>
      <c r="K524" s="832">
        <v>0</v>
      </c>
      <c r="L524" s="832">
        <v>0</v>
      </c>
      <c r="M524" s="832">
        <v>0</v>
      </c>
      <c r="N524" s="832">
        <v>0</v>
      </c>
      <c r="O524" s="832">
        <v>0</v>
      </c>
      <c r="P524" s="832">
        <v>0</v>
      </c>
      <c r="Q524" s="832">
        <v>0</v>
      </c>
      <c r="R524" s="832">
        <v>0</v>
      </c>
      <c r="S524" s="832">
        <v>0</v>
      </c>
      <c r="T524" s="832">
        <v>0</v>
      </c>
      <c r="U524" s="832">
        <v>0</v>
      </c>
      <c r="V524" s="832">
        <v>0</v>
      </c>
      <c r="W524" s="832">
        <v>0</v>
      </c>
      <c r="X524" s="832">
        <v>0</v>
      </c>
      <c r="Y524" s="832">
        <v>0</v>
      </c>
      <c r="Z524" s="832">
        <v>0</v>
      </c>
      <c r="AA524" s="832">
        <v>0</v>
      </c>
      <c r="AB524" s="832">
        <v>0</v>
      </c>
      <c r="AC524" s="832">
        <v>0</v>
      </c>
      <c r="AD524" s="832">
        <v>0</v>
      </c>
      <c r="AE524" s="832">
        <v>0</v>
      </c>
      <c r="AF524" s="832">
        <v>0</v>
      </c>
      <c r="AG524" s="832">
        <v>0</v>
      </c>
      <c r="AH524" s="832">
        <v>0</v>
      </c>
      <c r="AI524" s="832">
        <v>0</v>
      </c>
      <c r="AJ524" s="1030" t="str">
        <f t="shared" si="48"/>
        <v>H28050</v>
      </c>
      <c r="AK524" s="1030" t="str">
        <f t="shared" si="49"/>
        <v>CAPITAL ACTION CAT E</v>
      </c>
      <c r="AL524" s="1030">
        <f>IFERROR(INDEX(G524:R524,1,MATCH(Parametres!$B$3,G$1:R$1,0)-1)*IF(OR(F524="L",F524="S",F524="I"),-1,1),"")</f>
        <v>0</v>
      </c>
      <c r="AM524" s="1030">
        <f t="shared" si="50"/>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t="str">
        <f t="shared" si="51"/>
        <v>H28050</v>
      </c>
      <c r="AU524" s="599" t="str">
        <f t="shared" si="52"/>
        <v>CAPITAL ACTION CAT E</v>
      </c>
      <c r="AV524" s="1030">
        <f>IFERROR(INDEX(V524:AG524,1,MATCH(Parametres!$B$3,V$1:AG$1,0)-1)*IF(OR(C524="L",C524="S",C524="I"),-1,1),"")</f>
        <v>0</v>
      </c>
      <c r="AW524" s="1030">
        <f t="shared" si="53"/>
        <v>0</v>
      </c>
      <c r="AX524" s="1030">
        <f>INDEX(V524:AG524,1,MATCH(Parametres!$B$3,V$1:AG$1,0))*IF(OR(C524="L",C524="S",C524="I"),-1,1)</f>
        <v>0</v>
      </c>
      <c r="AY524" s="598" t="s">
        <v>337</v>
      </c>
      <c r="AZ524" s="598" t="e">
        <f>+VLOOKUP($AJ524,Data_Validation!$A:$E,5,0)</f>
        <v>#N/A</v>
      </c>
    </row>
    <row r="525" spans="1:52" ht="15" customHeight="1">
      <c r="A525" s="832" t="s">
        <v>1150</v>
      </c>
      <c r="B525" s="832">
        <v>2025</v>
      </c>
      <c r="C525" s="832" t="s">
        <v>2191</v>
      </c>
      <c r="D525" s="832" t="s">
        <v>2192</v>
      </c>
      <c r="E525" s="832" t="s">
        <v>333</v>
      </c>
      <c r="F525" s="832" t="s">
        <v>1153</v>
      </c>
      <c r="G525" s="832">
        <v>0</v>
      </c>
      <c r="H525" s="832">
        <v>0</v>
      </c>
      <c r="I525" s="832">
        <v>0</v>
      </c>
      <c r="J525" s="832">
        <v>0</v>
      </c>
      <c r="K525" s="832">
        <v>0</v>
      </c>
      <c r="L525" s="832">
        <v>0</v>
      </c>
      <c r="M525" s="832">
        <v>0</v>
      </c>
      <c r="N525" s="832">
        <v>0</v>
      </c>
      <c r="O525" s="832">
        <v>0</v>
      </c>
      <c r="P525" s="832">
        <v>0</v>
      </c>
      <c r="Q525" s="832">
        <v>0</v>
      </c>
      <c r="R525" s="832">
        <v>0</v>
      </c>
      <c r="S525" s="832">
        <v>0</v>
      </c>
      <c r="T525" s="832">
        <v>0</v>
      </c>
      <c r="U525" s="832">
        <v>0</v>
      </c>
      <c r="V525" s="832">
        <v>0</v>
      </c>
      <c r="W525" s="832">
        <v>0</v>
      </c>
      <c r="X525" s="832">
        <v>0</v>
      </c>
      <c r="Y525" s="832">
        <v>0</v>
      </c>
      <c r="Z525" s="832">
        <v>0</v>
      </c>
      <c r="AA525" s="832">
        <v>0</v>
      </c>
      <c r="AB525" s="832">
        <v>0</v>
      </c>
      <c r="AC525" s="832">
        <v>0</v>
      </c>
      <c r="AD525" s="832">
        <v>0</v>
      </c>
      <c r="AE525" s="832">
        <v>0</v>
      </c>
      <c r="AF525" s="832">
        <v>0</v>
      </c>
      <c r="AG525" s="832">
        <v>0</v>
      </c>
      <c r="AH525" s="832">
        <v>0</v>
      </c>
      <c r="AI525" s="832">
        <v>0</v>
      </c>
      <c r="AJ525" s="1030" t="str">
        <f t="shared" si="48"/>
        <v>H28060</v>
      </c>
      <c r="AK525" s="1030" t="str">
        <f t="shared" si="49"/>
        <v>CAPITAL ACTION CAT F</v>
      </c>
      <c r="AL525" s="1030">
        <f>IFERROR(INDEX(G525:R525,1,MATCH(Parametres!$B$3,G$1:R$1,0)-1)*IF(OR(F525="L",F525="S",F525="I"),-1,1),"")</f>
        <v>0</v>
      </c>
      <c r="AM525" s="1030">
        <f t="shared" si="50"/>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t="str">
        <f t="shared" si="51"/>
        <v>H28060</v>
      </c>
      <c r="AU525" s="599" t="str">
        <f t="shared" si="52"/>
        <v>CAPITAL ACTION CAT F</v>
      </c>
      <c r="AV525" s="1030">
        <f>IFERROR(INDEX(V525:AG525,1,MATCH(Parametres!$B$3,V$1:AG$1,0)-1)*IF(OR(C525="L",C525="S",C525="I"),-1,1),"")</f>
        <v>0</v>
      </c>
      <c r="AW525" s="1030">
        <f t="shared" si="53"/>
        <v>0</v>
      </c>
      <c r="AX525" s="1030">
        <f>INDEX(V525:AG525,1,MATCH(Parametres!$B$3,V$1:AG$1,0))*IF(OR(C525="L",C525="S",C525="I"),-1,1)</f>
        <v>0</v>
      </c>
      <c r="AY525" s="598" t="s">
        <v>337</v>
      </c>
      <c r="AZ525" s="598" t="e">
        <f>+VLOOKUP($AJ525,Data_Validation!$A:$E,5,0)</f>
        <v>#N/A</v>
      </c>
    </row>
    <row r="526" spans="1:52" ht="15" customHeight="1">
      <c r="A526" s="832" t="s">
        <v>1150</v>
      </c>
      <c r="B526" s="832">
        <v>2025</v>
      </c>
      <c r="C526" s="832" t="s">
        <v>2193</v>
      </c>
      <c r="D526" s="832" t="s">
        <v>2194</v>
      </c>
      <c r="E526" s="832" t="s">
        <v>333</v>
      </c>
      <c r="F526" s="832" t="s">
        <v>1153</v>
      </c>
      <c r="G526" s="832">
        <v>2</v>
      </c>
      <c r="H526" s="832">
        <v>2</v>
      </c>
      <c r="I526" s="832">
        <v>2</v>
      </c>
      <c r="J526" s="832">
        <v>2</v>
      </c>
      <c r="K526" s="832">
        <v>2</v>
      </c>
      <c r="L526" s="832">
        <v>2</v>
      </c>
      <c r="M526" s="832">
        <v>2</v>
      </c>
      <c r="N526" s="832">
        <v>0</v>
      </c>
      <c r="O526" s="832">
        <v>0</v>
      </c>
      <c r="P526" s="832">
        <v>0</v>
      </c>
      <c r="Q526" s="832">
        <v>0</v>
      </c>
      <c r="R526" s="832">
        <v>0</v>
      </c>
      <c r="S526" s="832">
        <v>0</v>
      </c>
      <c r="T526" s="832">
        <v>0</v>
      </c>
      <c r="U526" s="832">
        <v>0</v>
      </c>
      <c r="V526" s="832">
        <v>0</v>
      </c>
      <c r="W526" s="832">
        <v>0</v>
      </c>
      <c r="X526" s="832">
        <v>0</v>
      </c>
      <c r="Y526" s="832">
        <v>0</v>
      </c>
      <c r="Z526" s="832">
        <v>0</v>
      </c>
      <c r="AA526" s="832">
        <v>0</v>
      </c>
      <c r="AB526" s="832">
        <v>0</v>
      </c>
      <c r="AC526" s="832">
        <v>0</v>
      </c>
      <c r="AD526" s="832">
        <v>0</v>
      </c>
      <c r="AE526" s="832">
        <v>0</v>
      </c>
      <c r="AF526" s="832">
        <v>0</v>
      </c>
      <c r="AG526" s="832">
        <v>0</v>
      </c>
      <c r="AH526" s="832">
        <v>0</v>
      </c>
      <c r="AI526" s="832">
        <v>0</v>
      </c>
      <c r="AJ526" s="1030" t="str">
        <f t="shared" si="48"/>
        <v>H28070</v>
      </c>
      <c r="AK526" s="1030" t="str">
        <f t="shared" si="49"/>
        <v>CAPITAL ACTION CAT G</v>
      </c>
      <c r="AL526" s="1030">
        <f>IFERROR(INDEX(G526:R526,1,MATCH(Parametres!$B$3,G$1:R$1,0)-1)*IF(OR(F526="L",F526="S",F526="I"),-1,1),"")</f>
        <v>-2</v>
      </c>
      <c r="AM526" s="1030">
        <f t="shared" si="50"/>
        <v>0</v>
      </c>
      <c r="AN526" s="1030">
        <f>INDEX(G526:R526,1,MATCH(Parametres!$B$3,G$1:R$1,0))*IF(OR(F526="L",F526="S",F526="I"),-1,1)</f>
        <v>-2</v>
      </c>
      <c r="AO526" s="598" t="str">
        <f>+VLOOKUP($AJ526,Data_Validation!$A:$D,1,0)</f>
        <v>H28070</v>
      </c>
      <c r="AP526" s="598" t="str">
        <f>+VLOOKUP($AJ526,Data_Validation!$A:$D,3,0)</f>
        <v>Bilan</v>
      </c>
      <c r="AQ526" s="598" t="str">
        <f>+VLOOKUP($AJ526,Data_Validation!$A:$D,4,0)</f>
        <v>Capital Actions</v>
      </c>
      <c r="AR526" s="598" t="s">
        <v>299</v>
      </c>
      <c r="AS526" s="598">
        <f>+VLOOKUP($AJ526,Data_Validation!$A:$E,5,0)</f>
        <v>0</v>
      </c>
      <c r="AT526" s="1036" t="str">
        <f t="shared" si="51"/>
        <v>H28070</v>
      </c>
      <c r="AU526" s="599" t="str">
        <f t="shared" si="52"/>
        <v>CAPITAL ACTION CAT G</v>
      </c>
      <c r="AV526" s="1030">
        <f>IFERROR(INDEX(V526:AG526,1,MATCH(Parametres!$B$3,V$1:AG$1,0)-1)*IF(OR(C526="L",C526="S",C526="I"),-1,1),"")</f>
        <v>0</v>
      </c>
      <c r="AW526" s="1030">
        <f t="shared" si="53"/>
        <v>0</v>
      </c>
      <c r="AX526" s="1030">
        <f>INDEX(V526:AG526,1,MATCH(Parametres!$B$3,V$1:AG$1,0))*IF(OR(C526="L",C526="S",C526="I"),-1,1)</f>
        <v>0</v>
      </c>
      <c r="AY526" s="598" t="s">
        <v>337</v>
      </c>
      <c r="AZ526" s="598">
        <f>+VLOOKUP($AJ526,Data_Validation!$A:$E,5,0)</f>
        <v>0</v>
      </c>
    </row>
    <row r="527" spans="1:52" ht="15" customHeight="1">
      <c r="A527" s="832" t="s">
        <v>1150</v>
      </c>
      <c r="B527" s="832">
        <v>2025</v>
      </c>
      <c r="C527" s="832" t="s">
        <v>2195</v>
      </c>
      <c r="D527" s="832" t="s">
        <v>2196</v>
      </c>
      <c r="E527" s="832" t="s">
        <v>333</v>
      </c>
      <c r="F527" s="832" t="s">
        <v>1153</v>
      </c>
      <c r="G527" s="832">
        <v>0</v>
      </c>
      <c r="H527" s="832">
        <v>0</v>
      </c>
      <c r="I527" s="832">
        <v>0</v>
      </c>
      <c r="J527" s="832">
        <v>0</v>
      </c>
      <c r="K527" s="832">
        <v>0</v>
      </c>
      <c r="L527" s="832">
        <v>0</v>
      </c>
      <c r="M527" s="832">
        <v>0</v>
      </c>
      <c r="N527" s="832">
        <v>0</v>
      </c>
      <c r="O527" s="832">
        <v>0</v>
      </c>
      <c r="P527" s="832">
        <v>0</v>
      </c>
      <c r="Q527" s="832">
        <v>0</v>
      </c>
      <c r="R527" s="832">
        <v>0</v>
      </c>
      <c r="S527" s="832">
        <v>0</v>
      </c>
      <c r="T527" s="832">
        <v>0</v>
      </c>
      <c r="U527" s="832">
        <v>0</v>
      </c>
      <c r="V527" s="832">
        <v>0</v>
      </c>
      <c r="W527" s="832">
        <v>0</v>
      </c>
      <c r="X527" s="832">
        <v>0</v>
      </c>
      <c r="Y527" s="832">
        <v>0</v>
      </c>
      <c r="Z527" s="832">
        <v>0</v>
      </c>
      <c r="AA527" s="832">
        <v>0</v>
      </c>
      <c r="AB527" s="832">
        <v>0</v>
      </c>
      <c r="AC527" s="832">
        <v>0</v>
      </c>
      <c r="AD527" s="832">
        <v>0</v>
      </c>
      <c r="AE527" s="832">
        <v>0</v>
      </c>
      <c r="AF527" s="832">
        <v>0</v>
      </c>
      <c r="AG527" s="832">
        <v>0</v>
      </c>
      <c r="AH527" s="832">
        <v>0</v>
      </c>
      <c r="AI527" s="832">
        <v>0</v>
      </c>
      <c r="AJ527" s="1030" t="str">
        <f t="shared" si="48"/>
        <v>H28080</v>
      </c>
      <c r="AK527" s="1030" t="str">
        <f t="shared" si="49"/>
        <v>SURPLUS APPORT CAT '' F '</v>
      </c>
      <c r="AL527" s="1030">
        <f>IFERROR(INDEX(G527:R527,1,MATCH(Parametres!$B$3,G$1:R$1,0)-1)*IF(OR(F527="L",F527="S",F527="I"),-1,1),"")</f>
        <v>0</v>
      </c>
      <c r="AM527" s="1030">
        <f t="shared" si="50"/>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t="str">
        <f t="shared" si="51"/>
        <v>H28080</v>
      </c>
      <c r="AU527" s="599" t="str">
        <f t="shared" si="52"/>
        <v>SURPLUS APPORT CAT '' F '</v>
      </c>
      <c r="AV527" s="1030">
        <f>IFERROR(INDEX(V527:AG527,1,MATCH(Parametres!$B$3,V$1:AG$1,0)-1)*IF(OR(C527="L",C527="S",C527="I"),-1,1),"")</f>
        <v>0</v>
      </c>
      <c r="AW527" s="1030">
        <f t="shared" si="53"/>
        <v>0</v>
      </c>
      <c r="AX527" s="1030">
        <f>INDEX(V527:AG527,1,MATCH(Parametres!$B$3,V$1:AG$1,0))*IF(OR(C527="L",C527="S",C527="I"),-1,1)</f>
        <v>0</v>
      </c>
      <c r="AY527" s="598" t="s">
        <v>337</v>
      </c>
      <c r="AZ527" s="598" t="e">
        <f>+VLOOKUP($AJ527,Data_Validation!$A:$E,5,0)</f>
        <v>#N/A</v>
      </c>
    </row>
    <row r="528" spans="1:52" ht="15" customHeight="1">
      <c r="A528" s="832" t="s">
        <v>1150</v>
      </c>
      <c r="B528" s="832">
        <v>2025</v>
      </c>
      <c r="C528" s="832" t="s">
        <v>2197</v>
      </c>
      <c r="D528" s="832" t="s">
        <v>2198</v>
      </c>
      <c r="E528" s="832" t="s">
        <v>333</v>
      </c>
      <c r="F528" s="832" t="s">
        <v>1153</v>
      </c>
      <c r="G528" s="832">
        <v>998</v>
      </c>
      <c r="H528" s="832">
        <v>998</v>
      </c>
      <c r="I528" s="832">
        <v>998</v>
      </c>
      <c r="J528" s="832">
        <v>998</v>
      </c>
      <c r="K528" s="832">
        <v>998</v>
      </c>
      <c r="L528" s="832">
        <v>998</v>
      </c>
      <c r="M528" s="832">
        <v>998</v>
      </c>
      <c r="N528" s="832">
        <v>0</v>
      </c>
      <c r="O528" s="832">
        <v>0</v>
      </c>
      <c r="P528" s="832">
        <v>0</v>
      </c>
      <c r="Q528" s="832">
        <v>0</v>
      </c>
      <c r="R528" s="832">
        <v>0</v>
      </c>
      <c r="S528" s="832">
        <v>0</v>
      </c>
      <c r="T528" s="832">
        <v>0</v>
      </c>
      <c r="U528" s="832">
        <v>0</v>
      </c>
      <c r="V528" s="832">
        <v>0</v>
      </c>
      <c r="W528" s="832">
        <v>0</v>
      </c>
      <c r="X528" s="832">
        <v>0</v>
      </c>
      <c r="Y528" s="832">
        <v>0</v>
      </c>
      <c r="Z528" s="832">
        <v>0</v>
      </c>
      <c r="AA528" s="832">
        <v>0</v>
      </c>
      <c r="AB528" s="832">
        <v>0</v>
      </c>
      <c r="AC528" s="832">
        <v>0</v>
      </c>
      <c r="AD528" s="832">
        <v>0</v>
      </c>
      <c r="AE528" s="832">
        <v>0</v>
      </c>
      <c r="AF528" s="832">
        <v>0</v>
      </c>
      <c r="AG528" s="832">
        <v>0</v>
      </c>
      <c r="AH528" s="832">
        <v>0</v>
      </c>
      <c r="AI528" s="832">
        <v>0</v>
      </c>
      <c r="AJ528" s="1030" t="str">
        <f t="shared" si="48"/>
        <v>H28090</v>
      </c>
      <c r="AK528" s="1030" t="str">
        <f t="shared" si="49"/>
        <v>SURPLUS APPORT CAT G</v>
      </c>
      <c r="AL528" s="1030">
        <f>IFERROR(INDEX(G528:R528,1,MATCH(Parametres!$B$3,G$1:R$1,0)-1)*IF(OR(F528="L",F528="S",F528="I"),-1,1),"")</f>
        <v>-998</v>
      </c>
      <c r="AM528" s="1030">
        <f t="shared" si="50"/>
        <v>0</v>
      </c>
      <c r="AN528" s="1030">
        <f>INDEX(G528:R528,1,MATCH(Parametres!$B$3,G$1:R$1,0))*IF(OR(F528="L",F528="S",F528="I"),-1,1)</f>
        <v>-998</v>
      </c>
      <c r="AO528" s="598" t="str">
        <f>+VLOOKUP($AJ528,Data_Validation!$A:$D,1,0)</f>
        <v>H28090</v>
      </c>
      <c r="AP528" s="598" t="str">
        <f>+VLOOKUP($AJ528,Data_Validation!$A:$D,3,0)</f>
        <v>Bilan</v>
      </c>
      <c r="AQ528" s="598" t="str">
        <f>+VLOOKUP($AJ528,Data_Validation!$A:$D,4,0)</f>
        <v>Bénéfices non répartis</v>
      </c>
      <c r="AR528" s="598" t="s">
        <v>299</v>
      </c>
      <c r="AS528" s="598">
        <f>+VLOOKUP($AJ528,Data_Validation!$A:$E,5,0)</f>
        <v>0</v>
      </c>
      <c r="AT528" s="1036" t="str">
        <f t="shared" si="51"/>
        <v>H28090</v>
      </c>
      <c r="AU528" s="599" t="str">
        <f t="shared" si="52"/>
        <v>SURPLUS APPORT CAT G</v>
      </c>
      <c r="AV528" s="1030">
        <f>IFERROR(INDEX(V528:AG528,1,MATCH(Parametres!$B$3,V$1:AG$1,0)-1)*IF(OR(C528="L",C528="S",C528="I"),-1,1),"")</f>
        <v>0</v>
      </c>
      <c r="AW528" s="1030">
        <f t="shared" si="53"/>
        <v>0</v>
      </c>
      <c r="AX528" s="1030">
        <f>INDEX(V528:AG528,1,MATCH(Parametres!$B$3,V$1:AG$1,0))*IF(OR(C528="L",C528="S",C528="I"),-1,1)</f>
        <v>0</v>
      </c>
      <c r="AY528" s="598" t="s">
        <v>337</v>
      </c>
      <c r="AZ528" s="598">
        <f>+VLOOKUP($AJ528,Data_Validation!$A:$E,5,0)</f>
        <v>0</v>
      </c>
    </row>
    <row r="529" spans="1:52" ht="15" customHeight="1">
      <c r="A529" s="832" t="s">
        <v>1150</v>
      </c>
      <c r="B529" s="832">
        <v>2025</v>
      </c>
      <c r="C529" s="832" t="s">
        <v>2199</v>
      </c>
      <c r="D529" s="832" t="s">
        <v>2200</v>
      </c>
      <c r="E529" s="832" t="s">
        <v>333</v>
      </c>
      <c r="F529" s="832" t="s">
        <v>1153</v>
      </c>
      <c r="G529" s="832">
        <v>0</v>
      </c>
      <c r="H529" s="832">
        <v>0</v>
      </c>
      <c r="I529" s="832">
        <v>0</v>
      </c>
      <c r="J529" s="832">
        <v>0</v>
      </c>
      <c r="K529" s="832">
        <v>0</v>
      </c>
      <c r="L529" s="832">
        <v>0</v>
      </c>
      <c r="M529" s="832">
        <v>0</v>
      </c>
      <c r="N529" s="832">
        <v>0</v>
      </c>
      <c r="O529" s="832">
        <v>0</v>
      </c>
      <c r="P529" s="832">
        <v>0</v>
      </c>
      <c r="Q529" s="832">
        <v>0</v>
      </c>
      <c r="R529" s="832">
        <v>0</v>
      </c>
      <c r="S529" s="832">
        <v>0</v>
      </c>
      <c r="T529" s="832">
        <v>0</v>
      </c>
      <c r="U529" s="832">
        <v>0</v>
      </c>
      <c r="V529" s="832">
        <v>0</v>
      </c>
      <c r="W529" s="832">
        <v>0</v>
      </c>
      <c r="X529" s="832">
        <v>0</v>
      </c>
      <c r="Y529" s="832">
        <v>0</v>
      </c>
      <c r="Z529" s="832">
        <v>0</v>
      </c>
      <c r="AA529" s="832">
        <v>0</v>
      </c>
      <c r="AB529" s="832">
        <v>0</v>
      </c>
      <c r="AC529" s="832">
        <v>0</v>
      </c>
      <c r="AD529" s="832">
        <v>0</v>
      </c>
      <c r="AE529" s="832">
        <v>0</v>
      </c>
      <c r="AF529" s="832">
        <v>0</v>
      </c>
      <c r="AG529" s="832">
        <v>0</v>
      </c>
      <c r="AH529" s="832">
        <v>0</v>
      </c>
      <c r="AI529" s="832">
        <v>0</v>
      </c>
      <c r="AJ529" s="1030" t="str">
        <f t="shared" si="48"/>
        <v>H28200</v>
      </c>
      <c r="AK529" s="1030" t="str">
        <f t="shared" si="49"/>
        <v>SURPLUS D APPORT CAPITAL</v>
      </c>
      <c r="AL529" s="1030">
        <f>IFERROR(INDEX(G529:R529,1,MATCH(Parametres!$B$3,G$1:R$1,0)-1)*IF(OR(F529="L",F529="S",F529="I"),-1,1),"")</f>
        <v>0</v>
      </c>
      <c r="AM529" s="1030">
        <f t="shared" si="50"/>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t="str">
        <f t="shared" si="51"/>
        <v>H28200</v>
      </c>
      <c r="AU529" s="599" t="str">
        <f t="shared" si="52"/>
        <v>SURPLUS D APPORT CAPITAL</v>
      </c>
      <c r="AV529" s="1030">
        <f>IFERROR(INDEX(V529:AG529,1,MATCH(Parametres!$B$3,V$1:AG$1,0)-1)*IF(OR(C529="L",C529="S",C529="I"),-1,1),"")</f>
        <v>0</v>
      </c>
      <c r="AW529" s="1030">
        <f t="shared" si="53"/>
        <v>0</v>
      </c>
      <c r="AX529" s="1030">
        <f>INDEX(V529:AG529,1,MATCH(Parametres!$B$3,V$1:AG$1,0))*IF(OR(C529="L",C529="S",C529="I"),-1,1)</f>
        <v>0</v>
      </c>
      <c r="AY529" s="598" t="s">
        <v>337</v>
      </c>
      <c r="AZ529" s="598" t="e">
        <f>+VLOOKUP($AJ529,Data_Validation!$A:$E,5,0)</f>
        <v>#N/A</v>
      </c>
    </row>
    <row r="530" spans="1:52" ht="15" customHeight="1">
      <c r="A530" s="832" t="s">
        <v>1150</v>
      </c>
      <c r="B530" s="832">
        <v>2025</v>
      </c>
      <c r="C530" s="832" t="s">
        <v>2201</v>
      </c>
      <c r="D530" s="832" t="s">
        <v>2202</v>
      </c>
      <c r="E530" s="832" t="s">
        <v>333</v>
      </c>
      <c r="F530" s="832" t="s">
        <v>1153</v>
      </c>
      <c r="G530" s="832">
        <v>0</v>
      </c>
      <c r="H530" s="832">
        <v>0</v>
      </c>
      <c r="I530" s="832">
        <v>0</v>
      </c>
      <c r="J530" s="832">
        <v>0</v>
      </c>
      <c r="K530" s="832">
        <v>0</v>
      </c>
      <c r="L530" s="832">
        <v>0</v>
      </c>
      <c r="M530" s="832">
        <v>0</v>
      </c>
      <c r="N530" s="832">
        <v>0</v>
      </c>
      <c r="O530" s="832">
        <v>0</v>
      </c>
      <c r="P530" s="832">
        <v>0</v>
      </c>
      <c r="Q530" s="832">
        <v>0</v>
      </c>
      <c r="R530" s="832">
        <v>0</v>
      </c>
      <c r="S530" s="832">
        <v>0</v>
      </c>
      <c r="T530" s="832">
        <v>0</v>
      </c>
      <c r="U530" s="832">
        <v>0</v>
      </c>
      <c r="V530" s="832">
        <v>0</v>
      </c>
      <c r="W530" s="832">
        <v>0</v>
      </c>
      <c r="X530" s="832">
        <v>0</v>
      </c>
      <c r="Y530" s="832">
        <v>0</v>
      </c>
      <c r="Z530" s="832">
        <v>0</v>
      </c>
      <c r="AA530" s="832">
        <v>0</v>
      </c>
      <c r="AB530" s="832">
        <v>0</v>
      </c>
      <c r="AC530" s="832">
        <v>0</v>
      </c>
      <c r="AD530" s="832">
        <v>0</v>
      </c>
      <c r="AE530" s="832">
        <v>0</v>
      </c>
      <c r="AF530" s="832">
        <v>0</v>
      </c>
      <c r="AG530" s="832">
        <v>0</v>
      </c>
      <c r="AH530" s="832">
        <v>0</v>
      </c>
      <c r="AI530" s="832">
        <v>0</v>
      </c>
      <c r="AJ530" s="1030" t="str">
        <f t="shared" si="48"/>
        <v>H28210</v>
      </c>
      <c r="AK530" s="1030" t="str">
        <f t="shared" si="49"/>
        <v>SURPLUS APPORT CAT F</v>
      </c>
      <c r="AL530" s="1030">
        <f>IFERROR(INDEX(G530:R530,1,MATCH(Parametres!$B$3,G$1:R$1,0)-1)*IF(OR(F530="L",F530="S",F530="I"),-1,1),"")</f>
        <v>0</v>
      </c>
      <c r="AM530" s="1030">
        <f t="shared" si="50"/>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t="str">
        <f t="shared" si="51"/>
        <v>H28210</v>
      </c>
      <c r="AU530" s="599" t="str">
        <f t="shared" si="52"/>
        <v>SURPLUS APPORT CAT F</v>
      </c>
      <c r="AV530" s="1030">
        <f>IFERROR(INDEX(V530:AG530,1,MATCH(Parametres!$B$3,V$1:AG$1,0)-1)*IF(OR(C530="L",C530="S",C530="I"),-1,1),"")</f>
        <v>0</v>
      </c>
      <c r="AW530" s="1030">
        <f t="shared" si="53"/>
        <v>0</v>
      </c>
      <c r="AX530" s="1030">
        <f>INDEX(V530:AG530,1,MATCH(Parametres!$B$3,V$1:AG$1,0))*IF(OR(C530="L",C530="S",C530="I"),-1,1)</f>
        <v>0</v>
      </c>
      <c r="AY530" s="598" t="s">
        <v>337</v>
      </c>
      <c r="AZ530" s="598" t="e">
        <f>+VLOOKUP($AJ530,Data_Validation!$A:$E,5,0)</f>
        <v>#N/A</v>
      </c>
    </row>
    <row r="531" spans="1:52" ht="15" customHeight="1">
      <c r="A531" s="832" t="s">
        <v>1150</v>
      </c>
      <c r="B531" s="832">
        <v>2025</v>
      </c>
      <c r="C531" s="832" t="s">
        <v>2203</v>
      </c>
      <c r="D531" s="832" t="s">
        <v>2198</v>
      </c>
      <c r="E531" s="832" t="s">
        <v>333</v>
      </c>
      <c r="F531" s="832" t="s">
        <v>1153</v>
      </c>
      <c r="G531" s="832">
        <v>0</v>
      </c>
      <c r="H531" s="832">
        <v>0</v>
      </c>
      <c r="I531" s="832">
        <v>0</v>
      </c>
      <c r="J531" s="832">
        <v>0</v>
      </c>
      <c r="K531" s="832">
        <v>0</v>
      </c>
      <c r="L531" s="832">
        <v>0</v>
      </c>
      <c r="M531" s="832">
        <v>0</v>
      </c>
      <c r="N531" s="832">
        <v>0</v>
      </c>
      <c r="O531" s="832">
        <v>0</v>
      </c>
      <c r="P531" s="832">
        <v>0</v>
      </c>
      <c r="Q531" s="832">
        <v>0</v>
      </c>
      <c r="R531" s="832">
        <v>0</v>
      </c>
      <c r="S531" s="832">
        <v>0</v>
      </c>
      <c r="T531" s="832">
        <v>0</v>
      </c>
      <c r="U531" s="832">
        <v>0</v>
      </c>
      <c r="V531" s="832">
        <v>0</v>
      </c>
      <c r="W531" s="832">
        <v>0</v>
      </c>
      <c r="X531" s="832">
        <v>0</v>
      </c>
      <c r="Y531" s="832">
        <v>0</v>
      </c>
      <c r="Z531" s="832">
        <v>0</v>
      </c>
      <c r="AA531" s="832">
        <v>0</v>
      </c>
      <c r="AB531" s="832">
        <v>0</v>
      </c>
      <c r="AC531" s="832">
        <v>0</v>
      </c>
      <c r="AD531" s="832">
        <v>0</v>
      </c>
      <c r="AE531" s="832">
        <v>0</v>
      </c>
      <c r="AF531" s="832">
        <v>0</v>
      </c>
      <c r="AG531" s="832">
        <v>0</v>
      </c>
      <c r="AH531" s="832">
        <v>0</v>
      </c>
      <c r="AI531" s="832">
        <v>0</v>
      </c>
      <c r="AJ531" s="1030" t="str">
        <f t="shared" ref="AJ531:AJ594" si="54">C531</f>
        <v>H28220</v>
      </c>
      <c r="AK531" s="1030" t="str">
        <f t="shared" ref="AK531:AK594" si="55">D531</f>
        <v>SURPLUS APPORT CAT G</v>
      </c>
      <c r="AL531" s="1030">
        <f>IFERROR(INDEX(G531:R531,1,MATCH(Parametres!$B$3,G$1:R$1,0)-1)*IF(OR(F531="L",F531="S",F531="I"),-1,1),"")</f>
        <v>0</v>
      </c>
      <c r="AM531" s="1030">
        <f t="shared" si="50"/>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t="str">
        <f t="shared" si="51"/>
        <v>H28220</v>
      </c>
      <c r="AU531" s="599" t="str">
        <f t="shared" si="52"/>
        <v>SURPLUS APPORT CAT G</v>
      </c>
      <c r="AV531" s="1030">
        <f>IFERROR(INDEX(V531:AG531,1,MATCH(Parametres!$B$3,V$1:AG$1,0)-1)*IF(OR(C531="L",C531="S",C531="I"),-1,1),"")</f>
        <v>0</v>
      </c>
      <c r="AW531" s="1030">
        <f t="shared" si="53"/>
        <v>0</v>
      </c>
      <c r="AX531" s="1030">
        <f>INDEX(V531:AG531,1,MATCH(Parametres!$B$3,V$1:AG$1,0))*IF(OR(C531="L",C531="S",C531="I"),-1,1)</f>
        <v>0</v>
      </c>
      <c r="AY531" s="598" t="s">
        <v>337</v>
      </c>
      <c r="AZ531" s="598" t="e">
        <f>+VLOOKUP($AJ531,Data_Validation!$A:$E,5,0)</f>
        <v>#N/A</v>
      </c>
    </row>
    <row r="532" spans="1:52" ht="15" customHeight="1">
      <c r="A532" s="832" t="s">
        <v>1150</v>
      </c>
      <c r="B532" s="832">
        <v>2025</v>
      </c>
      <c r="C532" s="832" t="s">
        <v>2204</v>
      </c>
      <c r="D532" s="832" t="s">
        <v>2205</v>
      </c>
      <c r="E532" s="832" t="s">
        <v>333</v>
      </c>
      <c r="F532" s="832" t="s">
        <v>1153</v>
      </c>
      <c r="G532" s="832">
        <v>3074394.55</v>
      </c>
      <c r="H532" s="832">
        <v>3074394.55</v>
      </c>
      <c r="I532" s="832">
        <v>3074394.55</v>
      </c>
      <c r="J532" s="832">
        <v>3074394.55</v>
      </c>
      <c r="K532" s="832">
        <v>3074394.55</v>
      </c>
      <c r="L532" s="832">
        <v>3074394.55</v>
      </c>
      <c r="M532" s="832">
        <v>3074394.55</v>
      </c>
      <c r="N532" s="832">
        <v>819248.55</v>
      </c>
      <c r="O532" s="832">
        <v>764248.55</v>
      </c>
      <c r="P532" s="832">
        <v>764286.55</v>
      </c>
      <c r="Q532" s="832">
        <v>764286.55</v>
      </c>
      <c r="R532" s="832">
        <v>764286.55</v>
      </c>
      <c r="S532" s="832">
        <v>0</v>
      </c>
      <c r="T532" s="832">
        <v>0</v>
      </c>
      <c r="U532" s="832">
        <v>0</v>
      </c>
      <c r="V532" s="832">
        <v>0</v>
      </c>
      <c r="W532" s="832">
        <v>0</v>
      </c>
      <c r="X532" s="832">
        <v>0</v>
      </c>
      <c r="Y532" s="832">
        <v>0</v>
      </c>
      <c r="Z532" s="832">
        <v>0</v>
      </c>
      <c r="AA532" s="832">
        <v>0</v>
      </c>
      <c r="AB532" s="832">
        <v>0</v>
      </c>
      <c r="AC532" s="832">
        <v>0</v>
      </c>
      <c r="AD532" s="832">
        <v>0</v>
      </c>
      <c r="AE532" s="832">
        <v>0</v>
      </c>
      <c r="AF532" s="832">
        <v>0</v>
      </c>
      <c r="AG532" s="832">
        <v>0</v>
      </c>
      <c r="AH532" s="832">
        <v>0</v>
      </c>
      <c r="AI532" s="832">
        <v>0</v>
      </c>
      <c r="AJ532" s="1030" t="str">
        <f t="shared" si="54"/>
        <v>H28500</v>
      </c>
      <c r="AK532" s="1030" t="str">
        <f t="shared" si="55"/>
        <v>BENEFICE NON REPARTI</v>
      </c>
      <c r="AL532" s="1030">
        <f>IFERROR(INDEX(G532:R532,1,MATCH(Parametres!$B$3,G$1:R$1,0)-1)*IF(OR(F532="L",F532="S",F532="I"),-1,1),"")</f>
        <v>-3074394.55</v>
      </c>
      <c r="AM532" s="1030">
        <f t="shared" si="50"/>
        <v>0</v>
      </c>
      <c r="AN532" s="1030">
        <f>INDEX(G532:R532,1,MATCH(Parametres!$B$3,G$1:R$1,0))*IF(OR(F532="L",F532="S",F532="I"),-1,1)</f>
        <v>-3074394.55</v>
      </c>
      <c r="AO532" s="598" t="str">
        <f>+VLOOKUP($AJ532,Data_Validation!$A:$D,1,0)</f>
        <v>H28500</v>
      </c>
      <c r="AP532" s="598" t="str">
        <f>+VLOOKUP($AJ532,Data_Validation!$A:$D,3,0)</f>
        <v>Bilan</v>
      </c>
      <c r="AQ532" s="598" t="str">
        <f>+VLOOKUP($AJ532,Data_Validation!$A:$D,4,0)</f>
        <v>Bénéfices non répartis</v>
      </c>
      <c r="AR532" s="598" t="s">
        <v>299</v>
      </c>
      <c r="AS532" s="598">
        <f>+VLOOKUP($AJ532,Data_Validation!$A:$E,5,0)</f>
        <v>0</v>
      </c>
      <c r="AT532" s="1036" t="str">
        <f t="shared" si="51"/>
        <v>H28500</v>
      </c>
      <c r="AU532" s="599" t="str">
        <f t="shared" si="52"/>
        <v>BENEFICE NON REPARTI</v>
      </c>
      <c r="AV532" s="1030">
        <f>IFERROR(INDEX(V532:AG532,1,MATCH(Parametres!$B$3,V$1:AG$1,0)-1)*IF(OR(C532="L",C532="S",C532="I"),-1,1),"")</f>
        <v>0</v>
      </c>
      <c r="AW532" s="1030">
        <f t="shared" si="53"/>
        <v>0</v>
      </c>
      <c r="AX532" s="1030">
        <f>INDEX(V532:AG532,1,MATCH(Parametres!$B$3,V$1:AG$1,0))*IF(OR(C532="L",C532="S",C532="I"),-1,1)</f>
        <v>0</v>
      </c>
      <c r="AY532" s="598" t="s">
        <v>337</v>
      </c>
      <c r="AZ532" s="598">
        <f>+VLOOKUP($AJ532,Data_Validation!$A:$E,5,0)</f>
        <v>0</v>
      </c>
    </row>
    <row r="533" spans="1:52" ht="15" customHeight="1">
      <c r="A533" s="832" t="s">
        <v>1150</v>
      </c>
      <c r="B533" s="832">
        <v>2025</v>
      </c>
      <c r="C533" s="832" t="s">
        <v>2206</v>
      </c>
      <c r="D533" s="832" t="s">
        <v>2207</v>
      </c>
      <c r="E533" s="832" t="s">
        <v>333</v>
      </c>
      <c r="F533" s="832" t="s">
        <v>1153</v>
      </c>
      <c r="G533" s="832">
        <v>0</v>
      </c>
      <c r="H533" s="832">
        <v>0</v>
      </c>
      <c r="I533" s="832">
        <v>0</v>
      </c>
      <c r="J533" s="832">
        <v>0</v>
      </c>
      <c r="K533" s="832">
        <v>0</v>
      </c>
      <c r="L533" s="832">
        <v>0</v>
      </c>
      <c r="M533" s="832">
        <v>0</v>
      </c>
      <c r="N533" s="832">
        <v>0</v>
      </c>
      <c r="O533" s="832">
        <v>0</v>
      </c>
      <c r="P533" s="832">
        <v>0</v>
      </c>
      <c r="Q533" s="832">
        <v>0</v>
      </c>
      <c r="R533" s="832">
        <v>0</v>
      </c>
      <c r="S533" s="832">
        <v>0</v>
      </c>
      <c r="T533" s="832">
        <v>0</v>
      </c>
      <c r="U533" s="832">
        <v>0</v>
      </c>
      <c r="V533" s="832">
        <v>0</v>
      </c>
      <c r="W533" s="832">
        <v>0</v>
      </c>
      <c r="X533" s="832">
        <v>0</v>
      </c>
      <c r="Y533" s="832">
        <v>0</v>
      </c>
      <c r="Z533" s="832">
        <v>0</v>
      </c>
      <c r="AA533" s="832">
        <v>0</v>
      </c>
      <c r="AB533" s="832">
        <v>0</v>
      </c>
      <c r="AC533" s="832">
        <v>0</v>
      </c>
      <c r="AD533" s="832">
        <v>0</v>
      </c>
      <c r="AE533" s="832">
        <v>0</v>
      </c>
      <c r="AF533" s="832">
        <v>0</v>
      </c>
      <c r="AG533" s="832">
        <v>0</v>
      </c>
      <c r="AH533" s="832">
        <v>0</v>
      </c>
      <c r="AI533" s="832">
        <v>0</v>
      </c>
      <c r="AJ533" s="1030" t="str">
        <f t="shared" si="54"/>
        <v>H28700</v>
      </c>
      <c r="AK533" s="1030" t="str">
        <f t="shared" si="55"/>
        <v>INVESTISS DES ASSOCIES</v>
      </c>
      <c r="AL533" s="1030">
        <f>IFERROR(INDEX(G533:R533,1,MATCH(Parametres!$B$3,G$1:R$1,0)-1)*IF(OR(F533="L",F533="S",F533="I"),-1,1),"")</f>
        <v>0</v>
      </c>
      <c r="AM533" s="1030">
        <f t="shared" si="50"/>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t="str">
        <f t="shared" si="51"/>
        <v>H28700</v>
      </c>
      <c r="AU533" s="599" t="str">
        <f t="shared" si="52"/>
        <v>INVESTISS DES ASSOCIES</v>
      </c>
      <c r="AV533" s="1030">
        <f>IFERROR(INDEX(V533:AG533,1,MATCH(Parametres!$B$3,V$1:AG$1,0)-1)*IF(OR(C533="L",C533="S",C533="I"),-1,1),"")</f>
        <v>0</v>
      </c>
      <c r="AW533" s="1030">
        <f t="shared" si="53"/>
        <v>0</v>
      </c>
      <c r="AX533" s="1030">
        <f>INDEX(V533:AG533,1,MATCH(Parametres!$B$3,V$1:AG$1,0))*IF(OR(C533="L",C533="S",C533="I"),-1,1)</f>
        <v>0</v>
      </c>
      <c r="AY533" s="598" t="s">
        <v>337</v>
      </c>
      <c r="AZ533" s="598" t="e">
        <f>+VLOOKUP($AJ533,Data_Validation!$A:$E,5,0)</f>
        <v>#N/A</v>
      </c>
    </row>
    <row r="534" spans="1:52" ht="15" customHeight="1">
      <c r="A534" s="832" t="s">
        <v>1150</v>
      </c>
      <c r="B534" s="832">
        <v>2025</v>
      </c>
      <c r="C534" s="832" t="s">
        <v>2208</v>
      </c>
      <c r="D534" s="832" t="s">
        <v>2209</v>
      </c>
      <c r="E534" s="832" t="s">
        <v>333</v>
      </c>
      <c r="F534" s="832" t="s">
        <v>1153</v>
      </c>
      <c r="G534" s="832">
        <v>0</v>
      </c>
      <c r="H534" s="832">
        <v>0</v>
      </c>
      <c r="I534" s="832">
        <v>0</v>
      </c>
      <c r="J534" s="832">
        <v>0</v>
      </c>
      <c r="K534" s="832">
        <v>0</v>
      </c>
      <c r="L534" s="832">
        <v>0</v>
      </c>
      <c r="M534" s="832">
        <v>0</v>
      </c>
      <c r="N534" s="832">
        <v>0</v>
      </c>
      <c r="O534" s="832">
        <v>0</v>
      </c>
      <c r="P534" s="832">
        <v>0</v>
      </c>
      <c r="Q534" s="832">
        <v>0</v>
      </c>
      <c r="R534" s="832">
        <v>0</v>
      </c>
      <c r="S534" s="832">
        <v>0</v>
      </c>
      <c r="T534" s="832">
        <v>0</v>
      </c>
      <c r="U534" s="832">
        <v>0</v>
      </c>
      <c r="V534" s="832">
        <v>0</v>
      </c>
      <c r="W534" s="832">
        <v>0</v>
      </c>
      <c r="X534" s="832">
        <v>0</v>
      </c>
      <c r="Y534" s="832">
        <v>0</v>
      </c>
      <c r="Z534" s="832">
        <v>0</v>
      </c>
      <c r="AA534" s="832">
        <v>0</v>
      </c>
      <c r="AB534" s="832">
        <v>0</v>
      </c>
      <c r="AC534" s="832">
        <v>0</v>
      </c>
      <c r="AD534" s="832">
        <v>0</v>
      </c>
      <c r="AE534" s="832">
        <v>0</v>
      </c>
      <c r="AF534" s="832">
        <v>0</v>
      </c>
      <c r="AG534" s="832">
        <v>0</v>
      </c>
      <c r="AH534" s="832">
        <v>0</v>
      </c>
      <c r="AI534" s="832">
        <v>0</v>
      </c>
      <c r="AJ534" s="1030" t="str">
        <f t="shared" si="54"/>
        <v>H29000</v>
      </c>
      <c r="AK534" s="1030" t="str">
        <f t="shared" si="55"/>
        <v>RETRAITS DIVIDENDES</v>
      </c>
      <c r="AL534" s="1030">
        <f>IFERROR(INDEX(G534:R534,1,MATCH(Parametres!$B$3,G$1:R$1,0)-1)*IF(OR(F534="L",F534="S",F534="I"),-1,1),"")</f>
        <v>0</v>
      </c>
      <c r="AM534" s="1030">
        <f t="shared" si="50"/>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t="str">
        <f t="shared" si="51"/>
        <v>H29000</v>
      </c>
      <c r="AU534" s="599" t="str">
        <f t="shared" si="52"/>
        <v>RETRAITS DIVIDENDES</v>
      </c>
      <c r="AV534" s="1030">
        <f>IFERROR(INDEX(V534:AG534,1,MATCH(Parametres!$B$3,V$1:AG$1,0)-1)*IF(OR(C534="L",C534="S",C534="I"),-1,1),"")</f>
        <v>0</v>
      </c>
      <c r="AW534" s="1030">
        <f t="shared" si="53"/>
        <v>0</v>
      </c>
      <c r="AX534" s="1030">
        <f>INDEX(V534:AG534,1,MATCH(Parametres!$B$3,V$1:AG$1,0))*IF(OR(C534="L",C534="S",C534="I"),-1,1)</f>
        <v>0</v>
      </c>
      <c r="AY534" s="598" t="s">
        <v>337</v>
      </c>
      <c r="AZ534" s="598" t="e">
        <f>+VLOOKUP($AJ534,Data_Validation!$A:$E,5,0)</f>
        <v>#N/A</v>
      </c>
    </row>
    <row r="535" spans="1:52" ht="15" customHeight="1">
      <c r="A535" s="832" t="s">
        <v>1150</v>
      </c>
      <c r="B535" s="832">
        <v>2025</v>
      </c>
      <c r="C535" s="832" t="s">
        <v>2210</v>
      </c>
      <c r="D535" s="832" t="s">
        <v>2211</v>
      </c>
      <c r="E535" s="832" t="s">
        <v>333</v>
      </c>
      <c r="F535" s="832" t="s">
        <v>1153</v>
      </c>
      <c r="G535" s="832">
        <v>0</v>
      </c>
      <c r="H535" s="832">
        <v>0</v>
      </c>
      <c r="I535" s="832">
        <v>0</v>
      </c>
      <c r="J535" s="832">
        <v>0</v>
      </c>
      <c r="K535" s="832">
        <v>0</v>
      </c>
      <c r="L535" s="832">
        <v>0</v>
      </c>
      <c r="M535" s="832">
        <v>0</v>
      </c>
      <c r="N535" s="832">
        <v>0</v>
      </c>
      <c r="O535" s="832">
        <v>0</v>
      </c>
      <c r="P535" s="832">
        <v>0</v>
      </c>
      <c r="Q535" s="832">
        <v>0</v>
      </c>
      <c r="R535" s="832">
        <v>0</v>
      </c>
      <c r="S535" s="832">
        <v>0</v>
      </c>
      <c r="T535" s="832">
        <v>0</v>
      </c>
      <c r="U535" s="832">
        <v>0</v>
      </c>
      <c r="V535" s="832">
        <v>0</v>
      </c>
      <c r="W535" s="832">
        <v>0</v>
      </c>
      <c r="X535" s="832">
        <v>0</v>
      </c>
      <c r="Y535" s="832">
        <v>0</v>
      </c>
      <c r="Z535" s="832">
        <v>0</v>
      </c>
      <c r="AA535" s="832">
        <v>0</v>
      </c>
      <c r="AB535" s="832">
        <v>0</v>
      </c>
      <c r="AC535" s="832">
        <v>0</v>
      </c>
      <c r="AD535" s="832">
        <v>0</v>
      </c>
      <c r="AE535" s="832">
        <v>0</v>
      </c>
      <c r="AF535" s="832">
        <v>0</v>
      </c>
      <c r="AG535" s="832">
        <v>0</v>
      </c>
      <c r="AH535" s="832">
        <v>0</v>
      </c>
      <c r="AI535" s="832">
        <v>0</v>
      </c>
      <c r="AJ535" s="1030" t="str">
        <f t="shared" si="54"/>
        <v>H29002</v>
      </c>
      <c r="AK535" s="1030" t="str">
        <f t="shared" si="55"/>
        <v>DIVIDENDES-CAT ¨C¨</v>
      </c>
      <c r="AL535" s="1030">
        <f>IFERROR(INDEX(G535:R535,1,MATCH(Parametres!$B$3,G$1:R$1,0)-1)*IF(OR(F535="L",F535="S",F535="I"),-1,1),"")</f>
        <v>0</v>
      </c>
      <c r="AM535" s="1030">
        <f t="shared" si="50"/>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t="str">
        <f t="shared" si="51"/>
        <v>H29002</v>
      </c>
      <c r="AU535" s="599" t="str">
        <f t="shared" si="52"/>
        <v>DIVIDENDES-CAT ¨C¨</v>
      </c>
      <c r="AV535" s="1030">
        <f>IFERROR(INDEX(V535:AG535,1,MATCH(Parametres!$B$3,V$1:AG$1,0)-1)*IF(OR(C535="L",C535="S",C535="I"),-1,1),"")</f>
        <v>0</v>
      </c>
      <c r="AW535" s="1030">
        <f t="shared" si="53"/>
        <v>0</v>
      </c>
      <c r="AX535" s="1030">
        <f>INDEX(V535:AG535,1,MATCH(Parametres!$B$3,V$1:AG$1,0))*IF(OR(C535="L",C535="S",C535="I"),-1,1)</f>
        <v>0</v>
      </c>
      <c r="AY535" s="598" t="s">
        <v>337</v>
      </c>
      <c r="AZ535" s="598" t="e">
        <f>+VLOOKUP($AJ535,Data_Validation!$A:$E,5,0)</f>
        <v>#N/A</v>
      </c>
    </row>
    <row r="536" spans="1:52" ht="15" customHeight="1">
      <c r="A536" s="832" t="s">
        <v>1150</v>
      </c>
      <c r="B536" s="832">
        <v>2025</v>
      </c>
      <c r="C536" s="832" t="s">
        <v>2212</v>
      </c>
      <c r="D536" s="832" t="s">
        <v>2213</v>
      </c>
      <c r="E536" s="832" t="s">
        <v>333</v>
      </c>
      <c r="F536" s="832" t="s">
        <v>1153</v>
      </c>
      <c r="G536" s="832">
        <v>0</v>
      </c>
      <c r="H536" s="832">
        <v>0</v>
      </c>
      <c r="I536" s="832">
        <v>0</v>
      </c>
      <c r="J536" s="832">
        <v>0</v>
      </c>
      <c r="K536" s="832">
        <v>0</v>
      </c>
      <c r="L536" s="832">
        <v>0</v>
      </c>
      <c r="M536" s="832">
        <v>0</v>
      </c>
      <c r="N536" s="832">
        <v>0</v>
      </c>
      <c r="O536" s="832">
        <v>0</v>
      </c>
      <c r="P536" s="832">
        <v>0</v>
      </c>
      <c r="Q536" s="832">
        <v>0</v>
      </c>
      <c r="R536" s="832">
        <v>0</v>
      </c>
      <c r="S536" s="832">
        <v>0</v>
      </c>
      <c r="T536" s="832">
        <v>0</v>
      </c>
      <c r="U536" s="832">
        <v>0</v>
      </c>
      <c r="V536" s="832">
        <v>0</v>
      </c>
      <c r="W536" s="832">
        <v>0</v>
      </c>
      <c r="X536" s="832">
        <v>0</v>
      </c>
      <c r="Y536" s="832">
        <v>0</v>
      </c>
      <c r="Z536" s="832">
        <v>0</v>
      </c>
      <c r="AA536" s="832">
        <v>0</v>
      </c>
      <c r="AB536" s="832">
        <v>0</v>
      </c>
      <c r="AC536" s="832">
        <v>0</v>
      </c>
      <c r="AD536" s="832">
        <v>0</v>
      </c>
      <c r="AE536" s="832">
        <v>0</v>
      </c>
      <c r="AF536" s="832">
        <v>0</v>
      </c>
      <c r="AG536" s="832">
        <v>0</v>
      </c>
      <c r="AH536" s="832">
        <v>0</v>
      </c>
      <c r="AI536" s="832">
        <v>0</v>
      </c>
      <c r="AJ536" s="1030" t="str">
        <f t="shared" si="54"/>
        <v>H29003</v>
      </c>
      <c r="AK536" s="1030" t="str">
        <f t="shared" si="55"/>
        <v>DIVIDENDES-CAT ¨F¨</v>
      </c>
      <c r="AL536" s="1030">
        <f>IFERROR(INDEX(G536:R536,1,MATCH(Parametres!$B$3,G$1:R$1,0)-1)*IF(OR(F536="L",F536="S",F536="I"),-1,1),"")</f>
        <v>0</v>
      </c>
      <c r="AM536" s="1030">
        <f t="shared" si="50"/>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t="str">
        <f t="shared" si="51"/>
        <v>H29003</v>
      </c>
      <c r="AU536" s="599" t="str">
        <f t="shared" si="52"/>
        <v>DIVIDENDES-CAT ¨F¨</v>
      </c>
      <c r="AV536" s="1030">
        <f>IFERROR(INDEX(V536:AG536,1,MATCH(Parametres!$B$3,V$1:AG$1,0)-1)*IF(OR(C536="L",C536="S",C536="I"),-1,1),"")</f>
        <v>0</v>
      </c>
      <c r="AW536" s="1030">
        <f t="shared" si="53"/>
        <v>0</v>
      </c>
      <c r="AX536" s="1030">
        <f>INDEX(V536:AG536,1,MATCH(Parametres!$B$3,V$1:AG$1,0))*IF(OR(C536="L",C536="S",C536="I"),-1,1)</f>
        <v>0</v>
      </c>
      <c r="AY536" s="598" t="s">
        <v>337</v>
      </c>
      <c r="AZ536" s="598" t="e">
        <f>+VLOOKUP($AJ536,Data_Validation!$A:$E,5,0)</f>
        <v>#N/A</v>
      </c>
    </row>
    <row r="537" spans="1:52" ht="15" customHeight="1">
      <c r="A537" s="832" t="s">
        <v>1150</v>
      </c>
      <c r="B537" s="832">
        <v>2025</v>
      </c>
      <c r="C537" s="832" t="s">
        <v>2214</v>
      </c>
      <c r="D537" s="832" t="s">
        <v>2215</v>
      </c>
      <c r="E537" s="832" t="s">
        <v>333</v>
      </c>
      <c r="F537" s="832" t="s">
        <v>1153</v>
      </c>
      <c r="G537" s="832">
        <v>0</v>
      </c>
      <c r="H537" s="832">
        <v>0</v>
      </c>
      <c r="I537" s="832">
        <v>0</v>
      </c>
      <c r="J537" s="832">
        <v>0</v>
      </c>
      <c r="K537" s="832">
        <v>0</v>
      </c>
      <c r="L537" s="832">
        <v>0</v>
      </c>
      <c r="M537" s="832">
        <v>0</v>
      </c>
      <c r="N537" s="832">
        <v>0</v>
      </c>
      <c r="O537" s="832">
        <v>0</v>
      </c>
      <c r="P537" s="832">
        <v>0</v>
      </c>
      <c r="Q537" s="832">
        <v>0</v>
      </c>
      <c r="R537" s="832">
        <v>0</v>
      </c>
      <c r="S537" s="832">
        <v>0</v>
      </c>
      <c r="T537" s="832">
        <v>0</v>
      </c>
      <c r="U537" s="832">
        <v>0</v>
      </c>
      <c r="V537" s="832">
        <v>0</v>
      </c>
      <c r="W537" s="832">
        <v>0</v>
      </c>
      <c r="X537" s="832">
        <v>0</v>
      </c>
      <c r="Y537" s="832">
        <v>0</v>
      </c>
      <c r="Z537" s="832">
        <v>0</v>
      </c>
      <c r="AA537" s="832">
        <v>0</v>
      </c>
      <c r="AB537" s="832">
        <v>0</v>
      </c>
      <c r="AC537" s="832">
        <v>0</v>
      </c>
      <c r="AD537" s="832">
        <v>0</v>
      </c>
      <c r="AE537" s="832">
        <v>0</v>
      </c>
      <c r="AF537" s="832">
        <v>0</v>
      </c>
      <c r="AG537" s="832">
        <v>0</v>
      </c>
      <c r="AH537" s="832">
        <v>0</v>
      </c>
      <c r="AI537" s="832">
        <v>0</v>
      </c>
      <c r="AJ537" s="1030" t="str">
        <f t="shared" si="54"/>
        <v>H29005</v>
      </c>
      <c r="AK537" s="1030" t="str">
        <f t="shared" si="55"/>
        <v>DIVIDENDES-CAT ¨D¨</v>
      </c>
      <c r="AL537" s="1030">
        <f>IFERROR(INDEX(G537:R537,1,MATCH(Parametres!$B$3,G$1:R$1,0)-1)*IF(OR(F537="L",F537="S",F537="I"),-1,1),"")</f>
        <v>0</v>
      </c>
      <c r="AM537" s="1030">
        <f t="shared" si="50"/>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t="str">
        <f t="shared" si="51"/>
        <v>H29005</v>
      </c>
      <c r="AU537" s="599" t="str">
        <f t="shared" si="52"/>
        <v>DIVIDENDES-CAT ¨D¨</v>
      </c>
      <c r="AV537" s="1030">
        <f>IFERROR(INDEX(V537:AG537,1,MATCH(Parametres!$B$3,V$1:AG$1,0)-1)*IF(OR(C537="L",C537="S",C537="I"),-1,1),"")</f>
        <v>0</v>
      </c>
      <c r="AW537" s="1030">
        <f t="shared" si="53"/>
        <v>0</v>
      </c>
      <c r="AX537" s="1030">
        <f>INDEX(V537:AG537,1,MATCH(Parametres!$B$3,V$1:AG$1,0))*IF(OR(C537="L",C537="S",C537="I"),-1,1)</f>
        <v>0</v>
      </c>
      <c r="AY537" s="598" t="s">
        <v>337</v>
      </c>
      <c r="AZ537" s="598" t="e">
        <f>+VLOOKUP($AJ537,Data_Validation!$A:$E,5,0)</f>
        <v>#N/A</v>
      </c>
    </row>
    <row r="538" spans="1:52" ht="15" customHeight="1">
      <c r="A538" s="832" t="s">
        <v>1150</v>
      </c>
      <c r="B538" s="832">
        <v>2025</v>
      </c>
      <c r="C538" s="832" t="s">
        <v>2216</v>
      </c>
      <c r="D538" s="832" t="s">
        <v>2217</v>
      </c>
      <c r="E538" s="832" t="s">
        <v>333</v>
      </c>
      <c r="F538" s="832" t="s">
        <v>1153</v>
      </c>
      <c r="G538" s="832">
        <v>0</v>
      </c>
      <c r="H538" s="832">
        <v>0</v>
      </c>
      <c r="I538" s="832">
        <v>0</v>
      </c>
      <c r="J538" s="832">
        <v>0</v>
      </c>
      <c r="K538" s="832">
        <v>0</v>
      </c>
      <c r="L538" s="832">
        <v>0</v>
      </c>
      <c r="M538" s="832">
        <v>0</v>
      </c>
      <c r="N538" s="832">
        <v>0</v>
      </c>
      <c r="O538" s="832">
        <v>0</v>
      </c>
      <c r="P538" s="832">
        <v>0</v>
      </c>
      <c r="Q538" s="832">
        <v>0</v>
      </c>
      <c r="R538" s="832">
        <v>0</v>
      </c>
      <c r="S538" s="832">
        <v>0</v>
      </c>
      <c r="T538" s="832">
        <v>0</v>
      </c>
      <c r="U538" s="832">
        <v>0</v>
      </c>
      <c r="V538" s="832">
        <v>0</v>
      </c>
      <c r="W538" s="832">
        <v>0</v>
      </c>
      <c r="X538" s="832">
        <v>0</v>
      </c>
      <c r="Y538" s="832">
        <v>0</v>
      </c>
      <c r="Z538" s="832">
        <v>0</v>
      </c>
      <c r="AA538" s="832">
        <v>0</v>
      </c>
      <c r="AB538" s="832">
        <v>0</v>
      </c>
      <c r="AC538" s="832">
        <v>0</v>
      </c>
      <c r="AD538" s="832">
        <v>0</v>
      </c>
      <c r="AE538" s="832">
        <v>0</v>
      </c>
      <c r="AF538" s="832">
        <v>0</v>
      </c>
      <c r="AG538" s="832">
        <v>0</v>
      </c>
      <c r="AH538" s="832">
        <v>0</v>
      </c>
      <c r="AI538" s="832">
        <v>0</v>
      </c>
      <c r="AJ538" s="1030" t="str">
        <f t="shared" si="54"/>
        <v>H29900</v>
      </c>
      <c r="AK538" s="1030" t="str">
        <f t="shared" si="55"/>
        <v>PROFIT OR LOSS</v>
      </c>
      <c r="AL538" s="1030">
        <f>IFERROR(INDEX(G538:R538,1,MATCH(Parametres!$B$3,G$1:R$1,0)-1)*IF(OR(F538="L",F538="S",F538="I"),-1,1),"")</f>
        <v>0</v>
      </c>
      <c r="AM538" s="1030">
        <f t="shared" si="50"/>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t="str">
        <f t="shared" si="51"/>
        <v>H29900</v>
      </c>
      <c r="AU538" s="599" t="str">
        <f t="shared" si="52"/>
        <v>PROFIT OR LOSS</v>
      </c>
      <c r="AV538" s="1030">
        <f>IFERROR(INDEX(V538:AG538,1,MATCH(Parametres!$B$3,V$1:AG$1,0)-1)*IF(OR(C538="L",C538="S",C538="I"),-1,1),"")</f>
        <v>0</v>
      </c>
      <c r="AW538" s="1030">
        <f t="shared" si="53"/>
        <v>0</v>
      </c>
      <c r="AX538" s="1030">
        <f>INDEX(V538:AG538,1,MATCH(Parametres!$B$3,V$1:AG$1,0))*IF(OR(C538="L",C538="S",C538="I"),-1,1)</f>
        <v>0</v>
      </c>
      <c r="AY538" s="598" t="s">
        <v>337</v>
      </c>
      <c r="AZ538" s="598" t="e">
        <f>+VLOOKUP($AJ538,Data_Validation!$A:$E,5,0)</f>
        <v>#N/A</v>
      </c>
    </row>
    <row r="539" spans="1:52" ht="15" customHeight="1">
      <c r="A539" s="832" t="s">
        <v>1150</v>
      </c>
      <c r="B539" s="832">
        <v>2025</v>
      </c>
      <c r="C539" s="832" t="s">
        <v>2218</v>
      </c>
      <c r="D539" s="832" t="s">
        <v>2219</v>
      </c>
      <c r="E539" s="832" t="s">
        <v>333</v>
      </c>
      <c r="F539" s="832" t="s">
        <v>1153</v>
      </c>
      <c r="G539" s="832">
        <v>0</v>
      </c>
      <c r="H539" s="832">
        <v>0</v>
      </c>
      <c r="I539" s="832">
        <v>0</v>
      </c>
      <c r="J539" s="832">
        <v>0</v>
      </c>
      <c r="K539" s="832">
        <v>0</v>
      </c>
      <c r="L539" s="832">
        <v>0</v>
      </c>
      <c r="M539" s="832">
        <v>0</v>
      </c>
      <c r="N539" s="832">
        <v>0</v>
      </c>
      <c r="O539" s="832">
        <v>0</v>
      </c>
      <c r="P539" s="832">
        <v>0</v>
      </c>
      <c r="Q539" s="832">
        <v>0</v>
      </c>
      <c r="R539" s="832">
        <v>0</v>
      </c>
      <c r="S539" s="832">
        <v>0</v>
      </c>
      <c r="T539" s="832">
        <v>0</v>
      </c>
      <c r="U539" s="832">
        <v>0</v>
      </c>
      <c r="V539" s="832">
        <v>0</v>
      </c>
      <c r="W539" s="832">
        <v>0</v>
      </c>
      <c r="X539" s="832">
        <v>0</v>
      </c>
      <c r="Y539" s="832">
        <v>0</v>
      </c>
      <c r="Z539" s="832">
        <v>0</v>
      </c>
      <c r="AA539" s="832">
        <v>0</v>
      </c>
      <c r="AB539" s="832">
        <v>0</v>
      </c>
      <c r="AC539" s="832">
        <v>0</v>
      </c>
      <c r="AD539" s="832">
        <v>0</v>
      </c>
      <c r="AE539" s="832">
        <v>0</v>
      </c>
      <c r="AF539" s="832">
        <v>0</v>
      </c>
      <c r="AG539" s="832">
        <v>0</v>
      </c>
      <c r="AH539" s="832">
        <v>0</v>
      </c>
      <c r="AI539" s="832">
        <v>0</v>
      </c>
      <c r="AJ539" s="1030" t="str">
        <f t="shared" si="54"/>
        <v>H29901</v>
      </c>
      <c r="AK539" s="1030" t="str">
        <f t="shared" si="55"/>
        <v>PROFIT AND LOSS-CLEARING</v>
      </c>
      <c r="AL539" s="1030">
        <f>IFERROR(INDEX(G539:R539,1,MATCH(Parametres!$B$3,G$1:R$1,0)-1)*IF(OR(F539="L",F539="S",F539="I"),-1,1),"")</f>
        <v>0</v>
      </c>
      <c r="AM539" s="1030">
        <f t="shared" si="50"/>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t="str">
        <f t="shared" si="51"/>
        <v>H29901</v>
      </c>
      <c r="AU539" s="599" t="str">
        <f t="shared" si="52"/>
        <v>PROFIT AND LOSS-CLEARING</v>
      </c>
      <c r="AV539" s="1030">
        <f>IFERROR(INDEX(V539:AG539,1,MATCH(Parametres!$B$3,V$1:AG$1,0)-1)*IF(OR(C539="L",C539="S",C539="I"),-1,1),"")</f>
        <v>0</v>
      </c>
      <c r="AW539" s="1030">
        <f t="shared" si="53"/>
        <v>0</v>
      </c>
      <c r="AX539" s="1030">
        <f>INDEX(V539:AG539,1,MATCH(Parametres!$B$3,V$1:AG$1,0))*IF(OR(C539="L",C539="S",C539="I"),-1,1)</f>
        <v>0</v>
      </c>
      <c r="AY539" s="598" t="s">
        <v>337</v>
      </c>
      <c r="AZ539" s="598" t="e">
        <f>+VLOOKUP($AJ539,Data_Validation!$A:$E,5,0)</f>
        <v>#N/A</v>
      </c>
    </row>
    <row r="540" spans="1:52" ht="15" customHeight="1">
      <c r="A540" s="832" t="s">
        <v>1150</v>
      </c>
      <c r="B540" s="832">
        <v>2025</v>
      </c>
      <c r="C540" s="832" t="s">
        <v>2220</v>
      </c>
      <c r="D540" s="832" t="s">
        <v>2221</v>
      </c>
      <c r="E540" s="832" t="s">
        <v>2222</v>
      </c>
      <c r="F540" s="832" t="s">
        <v>2222</v>
      </c>
      <c r="G540" s="832">
        <v>0</v>
      </c>
      <c r="H540" s="832">
        <v>0</v>
      </c>
      <c r="I540" s="832">
        <v>0</v>
      </c>
      <c r="J540" s="832">
        <v>0</v>
      </c>
      <c r="K540" s="832">
        <v>0</v>
      </c>
      <c r="L540" s="832">
        <v>0</v>
      </c>
      <c r="M540" s="832">
        <v>0</v>
      </c>
      <c r="N540" s="832">
        <v>0</v>
      </c>
      <c r="O540" s="832">
        <v>0</v>
      </c>
      <c r="P540" s="832">
        <v>0</v>
      </c>
      <c r="Q540" s="832">
        <v>0</v>
      </c>
      <c r="R540" s="832">
        <v>0</v>
      </c>
      <c r="S540" s="832">
        <v>0</v>
      </c>
      <c r="T540" s="832">
        <v>0</v>
      </c>
      <c r="U540" s="832">
        <v>0</v>
      </c>
      <c r="V540" s="832">
        <v>0</v>
      </c>
      <c r="W540" s="832">
        <v>0</v>
      </c>
      <c r="X540" s="832">
        <v>0</v>
      </c>
      <c r="Y540" s="832">
        <v>0</v>
      </c>
      <c r="Z540" s="832">
        <v>0</v>
      </c>
      <c r="AA540" s="832">
        <v>0</v>
      </c>
      <c r="AB540" s="832">
        <v>0</v>
      </c>
      <c r="AC540" s="832">
        <v>0</v>
      </c>
      <c r="AD540" s="832">
        <v>0</v>
      </c>
      <c r="AE540" s="832">
        <v>0</v>
      </c>
      <c r="AF540" s="832">
        <v>0</v>
      </c>
      <c r="AG540" s="832">
        <v>0</v>
      </c>
      <c r="AH540" s="832">
        <v>0</v>
      </c>
      <c r="AI540" s="832">
        <v>0</v>
      </c>
      <c r="AJ540" s="1030" t="str">
        <f t="shared" si="54"/>
        <v>H30100</v>
      </c>
      <c r="AK540" s="1030" t="str">
        <f t="shared" si="55"/>
        <v>VTE VEH NF ACCENT 4 P</v>
      </c>
      <c r="AL540" s="1030">
        <f>IFERROR(INDEX(G540:R540,1,MATCH(Parametres!$B$3,G$1:R$1,0)-1)*IF(OR(F540="L",F540="S",F540="I"),-1,1),"")</f>
        <v>0</v>
      </c>
      <c r="AM540" s="1030">
        <f t="shared" si="50"/>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t="str">
        <f t="shared" si="51"/>
        <v>H30100</v>
      </c>
      <c r="AU540" s="599" t="str">
        <f t="shared" si="52"/>
        <v>VTE VEH NF ACCENT 4 P</v>
      </c>
      <c r="AV540" s="1030">
        <f>IFERROR(INDEX(V540:AG540,1,MATCH(Parametres!$B$3,V$1:AG$1,0)-1)*IF(OR(C540="L",C540="S",C540="I"),-1,1),"")</f>
        <v>0</v>
      </c>
      <c r="AW540" s="1030">
        <f t="shared" si="53"/>
        <v>0</v>
      </c>
      <c r="AX540" s="1030">
        <f>INDEX(V540:AG540,1,MATCH(Parametres!$B$3,V$1:AG$1,0))*IF(OR(C540="L",C540="S",C540="I"),-1,1)</f>
        <v>0</v>
      </c>
      <c r="AY540" s="598" t="s">
        <v>337</v>
      </c>
      <c r="AZ540" s="598" t="e">
        <f>+VLOOKUP($AJ540,Data_Validation!$A:$E,5,0)</f>
        <v>#N/A</v>
      </c>
    </row>
    <row r="541" spans="1:52" ht="15" customHeight="1">
      <c r="A541" s="832" t="s">
        <v>1150</v>
      </c>
      <c r="B541" s="832">
        <v>2025</v>
      </c>
      <c r="C541" s="832" t="s">
        <v>2223</v>
      </c>
      <c r="D541" s="832" t="s">
        <v>2224</v>
      </c>
      <c r="E541" s="832" t="s">
        <v>2222</v>
      </c>
      <c r="F541" s="832" t="s">
        <v>2222</v>
      </c>
      <c r="G541" s="832">
        <v>0</v>
      </c>
      <c r="H541" s="832">
        <v>0</v>
      </c>
      <c r="I541" s="832">
        <v>0</v>
      </c>
      <c r="J541" s="832">
        <v>0</v>
      </c>
      <c r="K541" s="832">
        <v>0</v>
      </c>
      <c r="L541" s="832">
        <v>0</v>
      </c>
      <c r="M541" s="832">
        <v>0</v>
      </c>
      <c r="N541" s="832">
        <v>0</v>
      </c>
      <c r="O541" s="832">
        <v>0</v>
      </c>
      <c r="P541" s="832">
        <v>0</v>
      </c>
      <c r="Q541" s="832">
        <v>0</v>
      </c>
      <c r="R541" s="832">
        <v>0</v>
      </c>
      <c r="S541" s="832">
        <v>0</v>
      </c>
      <c r="T541" s="832">
        <v>0</v>
      </c>
      <c r="U541" s="832">
        <v>0</v>
      </c>
      <c r="V541" s="832">
        <v>0</v>
      </c>
      <c r="W541" s="832">
        <v>0</v>
      </c>
      <c r="X541" s="832">
        <v>0</v>
      </c>
      <c r="Y541" s="832">
        <v>0</v>
      </c>
      <c r="Z541" s="832">
        <v>0</v>
      </c>
      <c r="AA541" s="832">
        <v>0</v>
      </c>
      <c r="AB541" s="832">
        <v>0</v>
      </c>
      <c r="AC541" s="832">
        <v>0</v>
      </c>
      <c r="AD541" s="832">
        <v>0</v>
      </c>
      <c r="AE541" s="832">
        <v>0</v>
      </c>
      <c r="AF541" s="832">
        <v>0</v>
      </c>
      <c r="AG541" s="832">
        <v>0</v>
      </c>
      <c r="AH541" s="832">
        <v>0</v>
      </c>
      <c r="AI541" s="832">
        <v>0</v>
      </c>
      <c r="AJ541" s="1030" t="str">
        <f t="shared" si="54"/>
        <v>H30101</v>
      </c>
      <c r="AK541" s="1030" t="str">
        <f t="shared" si="55"/>
        <v>VTE ACCENT BERLINE  4P</v>
      </c>
      <c r="AL541" s="1030">
        <f>IFERROR(INDEX(G541:R541,1,MATCH(Parametres!$B$3,G$1:R$1,0)-1)*IF(OR(F541="L",F541="S",F541="I"),-1,1),"")</f>
        <v>0</v>
      </c>
      <c r="AM541" s="1030">
        <f t="shared" si="50"/>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t="str">
        <f t="shared" si="51"/>
        <v>H30101</v>
      </c>
      <c r="AU541" s="599" t="str">
        <f t="shared" si="52"/>
        <v>VTE ACCENT BERLINE  4P</v>
      </c>
      <c r="AV541" s="1030">
        <f>IFERROR(INDEX(V541:AG541,1,MATCH(Parametres!$B$3,V$1:AG$1,0)-1)*IF(OR(C541="L",C541="S",C541="I"),-1,1),"")</f>
        <v>0</v>
      </c>
      <c r="AW541" s="1030">
        <f t="shared" si="53"/>
        <v>0</v>
      </c>
      <c r="AX541" s="1030">
        <f>INDEX(V541:AG541,1,MATCH(Parametres!$B$3,V$1:AG$1,0))*IF(OR(C541="L",C541="S",C541="I"),-1,1)</f>
        <v>0</v>
      </c>
      <c r="AY541" s="598" t="s">
        <v>337</v>
      </c>
      <c r="AZ541" s="598" t="e">
        <f>+VLOOKUP($AJ541,Data_Validation!$A:$E,5,0)</f>
        <v>#N/A</v>
      </c>
    </row>
    <row r="542" spans="1:52" ht="15" customHeight="1">
      <c r="A542" s="832" t="s">
        <v>1150</v>
      </c>
      <c r="B542" s="832">
        <v>2025</v>
      </c>
      <c r="C542" s="832" t="s">
        <v>2225</v>
      </c>
      <c r="D542" s="832" t="s">
        <v>2226</v>
      </c>
      <c r="E542" s="832" t="s">
        <v>2222</v>
      </c>
      <c r="F542" s="832" t="s">
        <v>2222</v>
      </c>
      <c r="G542" s="832">
        <v>0</v>
      </c>
      <c r="H542" s="832">
        <v>0</v>
      </c>
      <c r="I542" s="832">
        <v>0</v>
      </c>
      <c r="J542" s="832">
        <v>0</v>
      </c>
      <c r="K542" s="832">
        <v>0</v>
      </c>
      <c r="L542" s="832">
        <v>0</v>
      </c>
      <c r="M542" s="832">
        <v>0</v>
      </c>
      <c r="N542" s="832">
        <v>0</v>
      </c>
      <c r="O542" s="832">
        <v>0</v>
      </c>
      <c r="P542" s="832">
        <v>0</v>
      </c>
      <c r="Q542" s="832">
        <v>0</v>
      </c>
      <c r="R542" s="832">
        <v>0</v>
      </c>
      <c r="S542" s="832">
        <v>0</v>
      </c>
      <c r="T542" s="832">
        <v>0</v>
      </c>
      <c r="U542" s="832">
        <v>0</v>
      </c>
      <c r="V542" s="832">
        <v>0</v>
      </c>
      <c r="W542" s="832">
        <v>0</v>
      </c>
      <c r="X542" s="832">
        <v>0</v>
      </c>
      <c r="Y542" s="832">
        <v>0</v>
      </c>
      <c r="Z542" s="832">
        <v>0</v>
      </c>
      <c r="AA542" s="832">
        <v>0</v>
      </c>
      <c r="AB542" s="832">
        <v>0</v>
      </c>
      <c r="AC542" s="832">
        <v>0</v>
      </c>
      <c r="AD542" s="832">
        <v>0</v>
      </c>
      <c r="AE542" s="832">
        <v>0</v>
      </c>
      <c r="AF542" s="832">
        <v>0</v>
      </c>
      <c r="AG542" s="832">
        <v>0</v>
      </c>
      <c r="AH542" s="832">
        <v>0</v>
      </c>
      <c r="AI542" s="832">
        <v>0</v>
      </c>
      <c r="AJ542" s="1030" t="str">
        <f t="shared" si="54"/>
        <v>H30200</v>
      </c>
      <c r="AK542" s="1030" t="str">
        <f t="shared" si="55"/>
        <v>VTE VEH NF ACCENT 5 P</v>
      </c>
      <c r="AL542" s="1030">
        <f>IFERROR(INDEX(G542:R542,1,MATCH(Parametres!$B$3,G$1:R$1,0)-1)*IF(OR(F542="L",F542="S",F542="I"),-1,1),"")</f>
        <v>0</v>
      </c>
      <c r="AM542" s="1030">
        <f t="shared" si="50"/>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t="str">
        <f t="shared" si="51"/>
        <v>H30200</v>
      </c>
      <c r="AU542" s="599" t="str">
        <f t="shared" si="52"/>
        <v>VTE VEH NF ACCENT 5 P</v>
      </c>
      <c r="AV542" s="1030">
        <f>IFERROR(INDEX(V542:AG542,1,MATCH(Parametres!$B$3,V$1:AG$1,0)-1)*IF(OR(C542="L",C542="S",C542="I"),-1,1),"")</f>
        <v>0</v>
      </c>
      <c r="AW542" s="1030">
        <f t="shared" si="53"/>
        <v>0</v>
      </c>
      <c r="AX542" s="1030">
        <f>INDEX(V542:AG542,1,MATCH(Parametres!$B$3,V$1:AG$1,0))*IF(OR(C542="L",C542="S",C542="I"),-1,1)</f>
        <v>0</v>
      </c>
      <c r="AY542" s="598" t="s">
        <v>337</v>
      </c>
      <c r="AZ542" s="598" t="e">
        <f>+VLOOKUP($AJ542,Data_Validation!$A:$E,5,0)</f>
        <v>#N/A</v>
      </c>
    </row>
    <row r="543" spans="1:52" ht="15" customHeight="1">
      <c r="A543" s="832" t="s">
        <v>1150</v>
      </c>
      <c r="B543" s="832">
        <v>2025</v>
      </c>
      <c r="C543" s="832" t="s">
        <v>2227</v>
      </c>
      <c r="D543" s="832" t="s">
        <v>2228</v>
      </c>
      <c r="E543" s="832" t="s">
        <v>2222</v>
      </c>
      <c r="F543" s="832" t="s">
        <v>2222</v>
      </c>
      <c r="G543" s="832">
        <v>0</v>
      </c>
      <c r="H543" s="832">
        <v>0</v>
      </c>
      <c r="I543" s="832">
        <v>0</v>
      </c>
      <c r="J543" s="832">
        <v>0</v>
      </c>
      <c r="K543" s="832">
        <v>0</v>
      </c>
      <c r="L543" s="832">
        <v>0</v>
      </c>
      <c r="M543" s="832">
        <v>0</v>
      </c>
      <c r="N543" s="832">
        <v>0</v>
      </c>
      <c r="O543" s="832">
        <v>0</v>
      </c>
      <c r="P543" s="832">
        <v>0</v>
      </c>
      <c r="Q543" s="832">
        <v>0</v>
      </c>
      <c r="R543" s="832">
        <v>0</v>
      </c>
      <c r="S543" s="832">
        <v>0</v>
      </c>
      <c r="T543" s="832">
        <v>0</v>
      </c>
      <c r="U543" s="832">
        <v>0</v>
      </c>
      <c r="V543" s="832">
        <v>0</v>
      </c>
      <c r="W543" s="832">
        <v>0</v>
      </c>
      <c r="X543" s="832">
        <v>0</v>
      </c>
      <c r="Y543" s="832">
        <v>0</v>
      </c>
      <c r="Z543" s="832">
        <v>0</v>
      </c>
      <c r="AA543" s="832">
        <v>0</v>
      </c>
      <c r="AB543" s="832">
        <v>0</v>
      </c>
      <c r="AC543" s="832">
        <v>0</v>
      </c>
      <c r="AD543" s="832">
        <v>0</v>
      </c>
      <c r="AE543" s="832">
        <v>0</v>
      </c>
      <c r="AF543" s="832">
        <v>0</v>
      </c>
      <c r="AG543" s="832">
        <v>0</v>
      </c>
      <c r="AH543" s="832">
        <v>0</v>
      </c>
      <c r="AI543" s="832">
        <v>0</v>
      </c>
      <c r="AJ543" s="1030" t="str">
        <f t="shared" si="54"/>
        <v>H30300</v>
      </c>
      <c r="AK543" s="1030" t="str">
        <f t="shared" si="55"/>
        <v>VTE GENESIS COUPE</v>
      </c>
      <c r="AL543" s="1030">
        <f>IFERROR(INDEX(G543:R543,1,MATCH(Parametres!$B$3,G$1:R$1,0)-1)*IF(OR(F543="L",F543="S",F543="I"),-1,1),"")</f>
        <v>0</v>
      </c>
      <c r="AM543" s="1030">
        <f t="shared" si="50"/>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t="str">
        <f t="shared" si="51"/>
        <v>H30300</v>
      </c>
      <c r="AU543" s="599" t="str">
        <f t="shared" si="52"/>
        <v>VTE GENESIS COUPE</v>
      </c>
      <c r="AV543" s="1030">
        <f>IFERROR(INDEX(V543:AG543,1,MATCH(Parametres!$B$3,V$1:AG$1,0)-1)*IF(OR(C543="L",C543="S",C543="I"),-1,1),"")</f>
        <v>0</v>
      </c>
      <c r="AW543" s="1030">
        <f t="shared" si="53"/>
        <v>0</v>
      </c>
      <c r="AX543" s="1030">
        <f>INDEX(V543:AG543,1,MATCH(Parametres!$B$3,V$1:AG$1,0))*IF(OR(C543="L",C543="S",C543="I"),-1,1)</f>
        <v>0</v>
      </c>
      <c r="AY543" s="598" t="s">
        <v>337</v>
      </c>
      <c r="AZ543" s="598" t="e">
        <f>+VLOOKUP($AJ543,Data_Validation!$A:$E,5,0)</f>
        <v>#N/A</v>
      </c>
    </row>
    <row r="544" spans="1:52" ht="15" customHeight="1">
      <c r="A544" s="832" t="s">
        <v>1150</v>
      </c>
      <c r="B544" s="832">
        <v>2025</v>
      </c>
      <c r="C544" s="832" t="s">
        <v>2229</v>
      </c>
      <c r="D544" s="832" t="s">
        <v>2230</v>
      </c>
      <c r="E544" s="832" t="s">
        <v>2222</v>
      </c>
      <c r="F544" s="832" t="s">
        <v>2222</v>
      </c>
      <c r="G544" s="832">
        <v>0</v>
      </c>
      <c r="H544" s="832">
        <v>0</v>
      </c>
      <c r="I544" s="832">
        <v>106546</v>
      </c>
      <c r="J544" s="832">
        <v>160294</v>
      </c>
      <c r="K544" s="832">
        <v>213292</v>
      </c>
      <c r="L544" s="832">
        <v>389462.92</v>
      </c>
      <c r="M544" s="832">
        <v>389462.92</v>
      </c>
      <c r="N544" s="832">
        <v>436010.92</v>
      </c>
      <c r="O544" s="832">
        <v>681361.58</v>
      </c>
      <c r="P544" s="832">
        <v>681361.58</v>
      </c>
      <c r="Q544" s="832">
        <v>731209.58</v>
      </c>
      <c r="R544" s="832">
        <v>793630.04</v>
      </c>
      <c r="S544" s="832">
        <v>66473.600000000006</v>
      </c>
      <c r="T544" s="832">
        <v>66473.600000000006</v>
      </c>
      <c r="U544" s="832">
        <v>0</v>
      </c>
      <c r="V544" s="832">
        <v>0</v>
      </c>
      <c r="W544" s="832">
        <v>0</v>
      </c>
      <c r="X544" s="832">
        <v>2</v>
      </c>
      <c r="Y544" s="832">
        <v>3</v>
      </c>
      <c r="Z544" s="832">
        <v>4</v>
      </c>
      <c r="AA544" s="832">
        <v>7</v>
      </c>
      <c r="AB544" s="832">
        <v>7</v>
      </c>
      <c r="AC544" s="832">
        <v>8</v>
      </c>
      <c r="AD544" s="832">
        <v>13</v>
      </c>
      <c r="AE544" s="832">
        <v>13</v>
      </c>
      <c r="AF544" s="832">
        <v>14</v>
      </c>
      <c r="AG544" s="832">
        <v>15</v>
      </c>
      <c r="AH544" s="832">
        <v>1</v>
      </c>
      <c r="AI544" s="832">
        <v>1</v>
      </c>
      <c r="AJ544" s="1030" t="str">
        <f t="shared" si="54"/>
        <v>H30400</v>
      </c>
      <c r="AK544" s="1030" t="str">
        <f t="shared" si="55"/>
        <v>VTE SANTA FE</v>
      </c>
      <c r="AL544" s="1030">
        <f>IFERROR(INDEX(G544:R544,1,MATCH(Parametres!$B$3,G$1:R$1,0)-1)*IF(OR(F544="L",F544="S",F544="I"),-1,1),"")</f>
        <v>-160294</v>
      </c>
      <c r="AM544" s="1030">
        <f t="shared" si="50"/>
        <v>-52998</v>
      </c>
      <c r="AN544" s="1030">
        <f>INDEX(G544:R544,1,MATCH(Parametres!$B$3,G$1:R$1,0))*IF(OR(F544="L",F544="S",F544="I"),-1,1)</f>
        <v>-213292</v>
      </c>
      <c r="AO544" s="598" t="str">
        <f>+VLOOKUP($AJ544,Data_Validation!$A:$D,1,0)</f>
        <v>H30400</v>
      </c>
      <c r="AP544" s="598" t="str">
        <f>+VLOOKUP($AJ544,Data_Validation!$A:$D,3,0)</f>
        <v>Véhicules neufs</v>
      </c>
      <c r="AQ544" s="598" t="str">
        <f>+VLOOKUP($AJ544,Data_Validation!$A:$D,4,0)</f>
        <v>Camions détail</v>
      </c>
      <c r="AR544" s="598" t="s">
        <v>299</v>
      </c>
      <c r="AS544" s="598" t="str">
        <f>+VLOOKUP($AJ544,Data_Validation!$A:$E,5,0)</f>
        <v>Oui</v>
      </c>
      <c r="AT544" s="1036" t="str">
        <f t="shared" si="51"/>
        <v>H30400</v>
      </c>
      <c r="AU544" s="599" t="str">
        <f t="shared" si="52"/>
        <v>VTE SANTA FE</v>
      </c>
      <c r="AV544" s="1030">
        <f>IFERROR(INDEX(V544:AG544,1,MATCH(Parametres!$B$3,V$1:AG$1,0)-1)*IF(OR(C544="L",C544="S",C544="I"),-1,1),"")</f>
        <v>3</v>
      </c>
      <c r="AW544" s="1030">
        <f t="shared" si="53"/>
        <v>1</v>
      </c>
      <c r="AX544" s="1030">
        <f>INDEX(V544:AG544,1,MATCH(Parametres!$B$3,V$1:AG$1,0))*IF(OR(C544="L",C544="S",C544="I"),-1,1)</f>
        <v>4</v>
      </c>
      <c r="AY544" s="598" t="s">
        <v>337</v>
      </c>
      <c r="AZ544" s="598" t="str">
        <f>+VLOOKUP($AJ544,Data_Validation!$A:$E,5,0)</f>
        <v>Oui</v>
      </c>
    </row>
    <row r="545" spans="1:52" ht="15" customHeight="1">
      <c r="A545" s="832" t="s">
        <v>1150</v>
      </c>
      <c r="B545" s="832">
        <v>2025</v>
      </c>
      <c r="C545" s="832" t="s">
        <v>2231</v>
      </c>
      <c r="D545" s="832" t="s">
        <v>2232</v>
      </c>
      <c r="E545" s="832" t="s">
        <v>2222</v>
      </c>
      <c r="F545" s="832" t="s">
        <v>2222</v>
      </c>
      <c r="G545" s="832">
        <v>0</v>
      </c>
      <c r="H545" s="832">
        <v>0</v>
      </c>
      <c r="I545" s="832">
        <v>0</v>
      </c>
      <c r="J545" s="832">
        <v>0</v>
      </c>
      <c r="K545" s="832">
        <v>0</v>
      </c>
      <c r="L545" s="832">
        <v>0</v>
      </c>
      <c r="M545" s="832">
        <v>0</v>
      </c>
      <c r="N545" s="832">
        <v>0</v>
      </c>
      <c r="O545" s="832">
        <v>0</v>
      </c>
      <c r="P545" s="832">
        <v>0</v>
      </c>
      <c r="Q545" s="832">
        <v>0</v>
      </c>
      <c r="R545" s="832">
        <v>0</v>
      </c>
      <c r="S545" s="832">
        <v>0</v>
      </c>
      <c r="T545" s="832">
        <v>0</v>
      </c>
      <c r="U545" s="832">
        <v>0</v>
      </c>
      <c r="V545" s="832">
        <v>0</v>
      </c>
      <c r="W545" s="832">
        <v>0</v>
      </c>
      <c r="X545" s="832">
        <v>0</v>
      </c>
      <c r="Y545" s="832">
        <v>0</v>
      </c>
      <c r="Z545" s="832">
        <v>0</v>
      </c>
      <c r="AA545" s="832">
        <v>0</v>
      </c>
      <c r="AB545" s="832">
        <v>0</v>
      </c>
      <c r="AC545" s="832">
        <v>0</v>
      </c>
      <c r="AD545" s="832">
        <v>0</v>
      </c>
      <c r="AE545" s="832">
        <v>0</v>
      </c>
      <c r="AF545" s="832">
        <v>0</v>
      </c>
      <c r="AG545" s="832">
        <v>0</v>
      </c>
      <c r="AH545" s="832">
        <v>0</v>
      </c>
      <c r="AI545" s="832">
        <v>0</v>
      </c>
      <c r="AJ545" s="1030" t="str">
        <f t="shared" si="54"/>
        <v>H30401</v>
      </c>
      <c r="AK545" s="1030" t="str">
        <f t="shared" si="55"/>
        <v>VTE SANTA FE XL</v>
      </c>
      <c r="AL545" s="1030">
        <f>IFERROR(INDEX(G545:R545,1,MATCH(Parametres!$B$3,G$1:R$1,0)-1)*IF(OR(F545="L",F545="S",F545="I"),-1,1),"")</f>
        <v>0</v>
      </c>
      <c r="AM545" s="1030">
        <f t="shared" si="50"/>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t="str">
        <f t="shared" si="51"/>
        <v>H30401</v>
      </c>
      <c r="AU545" s="599" t="str">
        <f t="shared" si="52"/>
        <v>VTE SANTA FE XL</v>
      </c>
      <c r="AV545" s="1030">
        <f>IFERROR(INDEX(V545:AG545,1,MATCH(Parametres!$B$3,V$1:AG$1,0)-1)*IF(OR(C545="L",C545="S",C545="I"),-1,1),"")</f>
        <v>0</v>
      </c>
      <c r="AW545" s="1030">
        <f t="shared" si="53"/>
        <v>0</v>
      </c>
      <c r="AX545" s="1030">
        <f>INDEX(V545:AG545,1,MATCH(Parametres!$B$3,V$1:AG$1,0))*IF(OR(C545="L",C545="S",C545="I"),-1,1)</f>
        <v>0</v>
      </c>
      <c r="AY545" s="598" t="s">
        <v>337</v>
      </c>
      <c r="AZ545" s="598" t="e">
        <f>+VLOOKUP($AJ545,Data_Validation!$A:$E,5,0)</f>
        <v>#N/A</v>
      </c>
    </row>
    <row r="546" spans="1:52" ht="15" customHeight="1">
      <c r="A546" s="832" t="s">
        <v>1150</v>
      </c>
      <c r="B546" s="832">
        <v>2025</v>
      </c>
      <c r="C546" s="832" t="s">
        <v>2233</v>
      </c>
      <c r="D546" s="832" t="s">
        <v>2234</v>
      </c>
      <c r="E546" s="832" t="s">
        <v>2222</v>
      </c>
      <c r="F546" s="832" t="s">
        <v>2222</v>
      </c>
      <c r="G546" s="832">
        <v>247268.74</v>
      </c>
      <c r="H546" s="832">
        <v>247268.74</v>
      </c>
      <c r="I546" s="832">
        <v>390842.28</v>
      </c>
      <c r="J546" s="832">
        <v>581963.09</v>
      </c>
      <c r="K546" s="832">
        <v>859778.09</v>
      </c>
      <c r="L546" s="832">
        <v>1054110.04</v>
      </c>
      <c r="M546" s="832">
        <v>1150709.0900000001</v>
      </c>
      <c r="N546" s="832">
        <v>1150709.0900000001</v>
      </c>
      <c r="O546" s="832">
        <v>1200257.0900000001</v>
      </c>
      <c r="P546" s="832">
        <v>1251105.0900000001</v>
      </c>
      <c r="Q546" s="832">
        <v>1251105.0900000001</v>
      </c>
      <c r="R546" s="832">
        <v>1309005.99</v>
      </c>
      <c r="S546" s="832">
        <v>113736.83</v>
      </c>
      <c r="T546" s="832">
        <v>113736.83</v>
      </c>
      <c r="U546" s="832">
        <v>0</v>
      </c>
      <c r="V546" s="832">
        <v>5</v>
      </c>
      <c r="W546" s="832">
        <v>5</v>
      </c>
      <c r="X546" s="832">
        <v>8</v>
      </c>
      <c r="Y546" s="832">
        <v>12</v>
      </c>
      <c r="Z546" s="832">
        <v>18</v>
      </c>
      <c r="AA546" s="832">
        <v>22</v>
      </c>
      <c r="AB546" s="832">
        <v>24</v>
      </c>
      <c r="AC546" s="832">
        <v>24</v>
      </c>
      <c r="AD546" s="832">
        <v>25</v>
      </c>
      <c r="AE546" s="832">
        <v>26</v>
      </c>
      <c r="AF546" s="832">
        <v>26</v>
      </c>
      <c r="AG546" s="832">
        <v>27</v>
      </c>
      <c r="AH546" s="832">
        <v>2</v>
      </c>
      <c r="AI546" s="832">
        <v>2</v>
      </c>
      <c r="AJ546" s="1030" t="str">
        <f t="shared" si="54"/>
        <v>H30402</v>
      </c>
      <c r="AK546" s="1030" t="str">
        <f t="shared" si="55"/>
        <v>VTE SANTA FE HYBRIDE</v>
      </c>
      <c r="AL546" s="1030">
        <f>IFERROR(INDEX(G546:R546,1,MATCH(Parametres!$B$3,G$1:R$1,0)-1)*IF(OR(F546="L",F546="S",F546="I"),-1,1),"")</f>
        <v>-581963.09</v>
      </c>
      <c r="AM546" s="1030">
        <f t="shared" si="50"/>
        <v>-277815</v>
      </c>
      <c r="AN546" s="1030">
        <f>INDEX(G546:R546,1,MATCH(Parametres!$B$3,G$1:R$1,0))*IF(OR(F546="L",F546="S",F546="I"),-1,1)</f>
        <v>-859778.09</v>
      </c>
      <c r="AO546" s="598" t="str">
        <f>+VLOOKUP($AJ546,Data_Validation!$A:$D,1,0)</f>
        <v>H30402</v>
      </c>
      <c r="AP546" s="598" t="str">
        <f>+VLOOKUP($AJ546,Data_Validation!$A:$D,3,0)</f>
        <v>Véhicules neufs</v>
      </c>
      <c r="AQ546" s="598" t="str">
        <f>+VLOOKUP($AJ546,Data_Validation!$A:$D,4,0)</f>
        <v>Camions détail</v>
      </c>
      <c r="AR546" s="598" t="s">
        <v>299</v>
      </c>
      <c r="AS546" s="598" t="str">
        <f>+VLOOKUP($AJ546,Data_Validation!$A:$E,5,0)</f>
        <v>Oui</v>
      </c>
      <c r="AT546" s="1036" t="str">
        <f t="shared" si="51"/>
        <v>H30402</v>
      </c>
      <c r="AU546" s="599" t="str">
        <f t="shared" si="52"/>
        <v>VTE SANTA FE HYBRIDE</v>
      </c>
      <c r="AV546" s="1030">
        <f>IFERROR(INDEX(V546:AG546,1,MATCH(Parametres!$B$3,V$1:AG$1,0)-1)*IF(OR(C546="L",C546="S",C546="I"),-1,1),"")</f>
        <v>12</v>
      </c>
      <c r="AW546" s="1030">
        <f t="shared" si="53"/>
        <v>6</v>
      </c>
      <c r="AX546" s="1030">
        <f>INDEX(V546:AG546,1,MATCH(Parametres!$B$3,V$1:AG$1,0))*IF(OR(C546="L",C546="S",C546="I"),-1,1)</f>
        <v>18</v>
      </c>
      <c r="AY546" s="598" t="s">
        <v>337</v>
      </c>
      <c r="AZ546" s="598" t="str">
        <f>+VLOOKUP($AJ546,Data_Validation!$A:$E,5,0)</f>
        <v>Oui</v>
      </c>
    </row>
    <row r="547" spans="1:52" ht="15" customHeight="1">
      <c r="A547" s="832" t="s">
        <v>1150</v>
      </c>
      <c r="B547" s="832">
        <v>2025</v>
      </c>
      <c r="C547" s="832" t="s">
        <v>2235</v>
      </c>
      <c r="D547" s="832" t="s">
        <v>2236</v>
      </c>
      <c r="E547" s="832" t="s">
        <v>2222</v>
      </c>
      <c r="F547" s="832" t="s">
        <v>2222</v>
      </c>
      <c r="G547" s="832">
        <v>0</v>
      </c>
      <c r="H547" s="832">
        <v>0</v>
      </c>
      <c r="I547" s="832">
        <v>0</v>
      </c>
      <c r="J547" s="832">
        <v>0</v>
      </c>
      <c r="K547" s="832">
        <v>0</v>
      </c>
      <c r="L547" s="832">
        <v>0</v>
      </c>
      <c r="M547" s="832">
        <v>0</v>
      </c>
      <c r="N547" s="832">
        <v>0</v>
      </c>
      <c r="O547" s="832">
        <v>0</v>
      </c>
      <c r="P547" s="832">
        <v>0</v>
      </c>
      <c r="Q547" s="832">
        <v>0</v>
      </c>
      <c r="R547" s="832">
        <v>0</v>
      </c>
      <c r="S547" s="832">
        <v>0</v>
      </c>
      <c r="T547" s="832">
        <v>0</v>
      </c>
      <c r="U547" s="832">
        <v>0</v>
      </c>
      <c r="V547" s="832">
        <v>0</v>
      </c>
      <c r="W547" s="832">
        <v>0</v>
      </c>
      <c r="X547" s="832">
        <v>0</v>
      </c>
      <c r="Y547" s="832">
        <v>0</v>
      </c>
      <c r="Z547" s="832">
        <v>0</v>
      </c>
      <c r="AA547" s="832">
        <v>0</v>
      </c>
      <c r="AB547" s="832">
        <v>0</v>
      </c>
      <c r="AC547" s="832">
        <v>0</v>
      </c>
      <c r="AD547" s="832">
        <v>0</v>
      </c>
      <c r="AE547" s="832">
        <v>0</v>
      </c>
      <c r="AF547" s="832">
        <v>0</v>
      </c>
      <c r="AG547" s="832">
        <v>0</v>
      </c>
      <c r="AH547" s="832">
        <v>0</v>
      </c>
      <c r="AI547" s="832">
        <v>0</v>
      </c>
      <c r="AJ547" s="1030" t="str">
        <f t="shared" si="54"/>
        <v>H30403</v>
      </c>
      <c r="AK547" s="1030" t="str">
        <f t="shared" si="55"/>
        <v>VTE SANTA FE PHEV</v>
      </c>
      <c r="AL547" s="1030">
        <f>IFERROR(INDEX(G547:R547,1,MATCH(Parametres!$B$3,G$1:R$1,0)-1)*IF(OR(F547="L",F547="S",F547="I"),-1,1),"")</f>
        <v>0</v>
      </c>
      <c r="AM547" s="1030">
        <f t="shared" si="50"/>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t="str">
        <f t="shared" si="51"/>
        <v>H30403</v>
      </c>
      <c r="AU547" s="599" t="str">
        <f t="shared" si="52"/>
        <v>VTE SANTA FE PHEV</v>
      </c>
      <c r="AV547" s="1030">
        <f>IFERROR(INDEX(V547:AG547,1,MATCH(Parametres!$B$3,V$1:AG$1,0)-1)*IF(OR(C547="L",C547="S",C547="I"),-1,1),"")</f>
        <v>0</v>
      </c>
      <c r="AW547" s="1030">
        <f t="shared" si="53"/>
        <v>0</v>
      </c>
      <c r="AX547" s="1030">
        <f>INDEX(V547:AG547,1,MATCH(Parametres!$B$3,V$1:AG$1,0))*IF(OR(C547="L",C547="S",C547="I"),-1,1)</f>
        <v>0</v>
      </c>
      <c r="AY547" s="598" t="s">
        <v>337</v>
      </c>
      <c r="AZ547" s="598" t="e">
        <f>+VLOOKUP($AJ547,Data_Validation!$A:$E,5,0)</f>
        <v>#N/A</v>
      </c>
    </row>
    <row r="548" spans="1:52" ht="15" customHeight="1">
      <c r="A548" s="832" t="s">
        <v>1150</v>
      </c>
      <c r="B548" s="832">
        <v>2025</v>
      </c>
      <c r="C548" s="832" t="s">
        <v>2237</v>
      </c>
      <c r="D548" s="832" t="s">
        <v>2238</v>
      </c>
      <c r="E548" s="832" t="s">
        <v>2222</v>
      </c>
      <c r="F548" s="832" t="s">
        <v>2222</v>
      </c>
      <c r="G548" s="832">
        <v>0</v>
      </c>
      <c r="H548" s="832">
        <v>0</v>
      </c>
      <c r="I548" s="832">
        <v>0</v>
      </c>
      <c r="J548" s="832">
        <v>0</v>
      </c>
      <c r="K548" s="832">
        <v>0</v>
      </c>
      <c r="L548" s="832">
        <v>0</v>
      </c>
      <c r="M548" s="832">
        <v>0</v>
      </c>
      <c r="N548" s="832">
        <v>0</v>
      </c>
      <c r="O548" s="832">
        <v>0</v>
      </c>
      <c r="P548" s="832">
        <v>0</v>
      </c>
      <c r="Q548" s="832">
        <v>0</v>
      </c>
      <c r="R548" s="832">
        <v>0</v>
      </c>
      <c r="S548" s="832">
        <v>0</v>
      </c>
      <c r="T548" s="832">
        <v>0</v>
      </c>
      <c r="U548" s="832">
        <v>0</v>
      </c>
      <c r="V548" s="832">
        <v>0</v>
      </c>
      <c r="W548" s="832">
        <v>0</v>
      </c>
      <c r="X548" s="832">
        <v>0</v>
      </c>
      <c r="Y548" s="832">
        <v>0</v>
      </c>
      <c r="Z548" s="832">
        <v>0</v>
      </c>
      <c r="AA548" s="832">
        <v>0</v>
      </c>
      <c r="AB548" s="832">
        <v>0</v>
      </c>
      <c r="AC548" s="832">
        <v>0</v>
      </c>
      <c r="AD548" s="832">
        <v>0</v>
      </c>
      <c r="AE548" s="832">
        <v>0</v>
      </c>
      <c r="AF548" s="832">
        <v>0</v>
      </c>
      <c r="AG548" s="832">
        <v>0</v>
      </c>
      <c r="AH548" s="832">
        <v>0</v>
      </c>
      <c r="AI548" s="832">
        <v>0</v>
      </c>
      <c r="AJ548" s="1030" t="str">
        <f t="shared" si="54"/>
        <v>H30410</v>
      </c>
      <c r="AK548" s="1030" t="str">
        <f t="shared" si="55"/>
        <v>VTE SANTA FE  LWB</v>
      </c>
      <c r="AL548" s="1030">
        <f>IFERROR(INDEX(G548:R548,1,MATCH(Parametres!$B$3,G$1:R$1,0)-1)*IF(OR(F548="L",F548="S",F548="I"),-1,1),"")</f>
        <v>0</v>
      </c>
      <c r="AM548" s="1030">
        <f t="shared" si="50"/>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t="str">
        <f t="shared" si="51"/>
        <v>H30410</v>
      </c>
      <c r="AU548" s="599" t="str">
        <f t="shared" si="52"/>
        <v>VTE SANTA FE  LWB</v>
      </c>
      <c r="AV548" s="1030">
        <f>IFERROR(INDEX(V548:AG548,1,MATCH(Parametres!$B$3,V$1:AG$1,0)-1)*IF(OR(C548="L",C548="S",C548="I"),-1,1),"")</f>
        <v>0</v>
      </c>
      <c r="AW548" s="1030">
        <f t="shared" si="53"/>
        <v>0</v>
      </c>
      <c r="AX548" s="1030">
        <f>INDEX(V548:AG548,1,MATCH(Parametres!$B$3,V$1:AG$1,0))*IF(OR(C548="L",C548="S",C548="I"),-1,1)</f>
        <v>0</v>
      </c>
      <c r="AY548" s="598" t="s">
        <v>337</v>
      </c>
      <c r="AZ548" s="598" t="e">
        <f>+VLOOKUP($AJ548,Data_Validation!$A:$E,5,0)</f>
        <v>#N/A</v>
      </c>
    </row>
    <row r="549" spans="1:52" ht="15" customHeight="1">
      <c r="A549" s="832" t="s">
        <v>1150</v>
      </c>
      <c r="B549" s="832">
        <v>2025</v>
      </c>
      <c r="C549" s="832" t="s">
        <v>2239</v>
      </c>
      <c r="D549" s="832" t="s">
        <v>2240</v>
      </c>
      <c r="E549" s="832" t="s">
        <v>2222</v>
      </c>
      <c r="F549" s="832" t="s">
        <v>2222</v>
      </c>
      <c r="G549" s="832">
        <v>0</v>
      </c>
      <c r="H549" s="832">
        <v>0</v>
      </c>
      <c r="I549" s="832">
        <v>0</v>
      </c>
      <c r="J549" s="832">
        <v>0</v>
      </c>
      <c r="K549" s="832">
        <v>0</v>
      </c>
      <c r="L549" s="832">
        <v>0</v>
      </c>
      <c r="M549" s="832">
        <v>0</v>
      </c>
      <c r="N549" s="832">
        <v>0</v>
      </c>
      <c r="O549" s="832">
        <v>0</v>
      </c>
      <c r="P549" s="832">
        <v>0</v>
      </c>
      <c r="Q549" s="832">
        <v>0</v>
      </c>
      <c r="R549" s="832">
        <v>0</v>
      </c>
      <c r="S549" s="832">
        <v>0</v>
      </c>
      <c r="T549" s="832">
        <v>0</v>
      </c>
      <c r="U549" s="832">
        <v>0</v>
      </c>
      <c r="V549" s="832">
        <v>0</v>
      </c>
      <c r="W549" s="832">
        <v>0</v>
      </c>
      <c r="X549" s="832">
        <v>0</v>
      </c>
      <c r="Y549" s="832">
        <v>0</v>
      </c>
      <c r="Z549" s="832">
        <v>0</v>
      </c>
      <c r="AA549" s="832">
        <v>0</v>
      </c>
      <c r="AB549" s="832">
        <v>0</v>
      </c>
      <c r="AC549" s="832">
        <v>0</v>
      </c>
      <c r="AD549" s="832">
        <v>0</v>
      </c>
      <c r="AE549" s="832">
        <v>0</v>
      </c>
      <c r="AF549" s="832">
        <v>0</v>
      </c>
      <c r="AG549" s="832">
        <v>0</v>
      </c>
      <c r="AH549" s="832">
        <v>0</v>
      </c>
      <c r="AI549" s="832">
        <v>0</v>
      </c>
      <c r="AJ549" s="1030" t="str">
        <f t="shared" si="54"/>
        <v>H30500</v>
      </c>
      <c r="AK549" s="1030" t="str">
        <f t="shared" si="55"/>
        <v>VTE SONATA HYBRIDE</v>
      </c>
      <c r="AL549" s="1030">
        <f>IFERROR(INDEX(G549:R549,1,MATCH(Parametres!$B$3,G$1:R$1,0)-1)*IF(OR(F549="L",F549="S",F549="I"),-1,1),"")</f>
        <v>0</v>
      </c>
      <c r="AM549" s="1030">
        <f t="shared" si="50"/>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t="str">
        <f t="shared" si="51"/>
        <v>H30500</v>
      </c>
      <c r="AU549" s="599" t="str">
        <f t="shared" si="52"/>
        <v>VTE SONATA HYBRIDE</v>
      </c>
      <c r="AV549" s="1030">
        <f>IFERROR(INDEX(V549:AG549,1,MATCH(Parametres!$B$3,V$1:AG$1,0)-1)*IF(OR(C549="L",C549="S",C549="I"),-1,1),"")</f>
        <v>0</v>
      </c>
      <c r="AW549" s="1030">
        <f t="shared" si="53"/>
        <v>0</v>
      </c>
      <c r="AX549" s="1030">
        <f>INDEX(V549:AG549,1,MATCH(Parametres!$B$3,V$1:AG$1,0))*IF(OR(C549="L",C549="S",C549="I"),-1,1)</f>
        <v>0</v>
      </c>
      <c r="AY549" s="598" t="s">
        <v>337</v>
      </c>
      <c r="AZ549" s="598" t="e">
        <f>+VLOOKUP($AJ549,Data_Validation!$A:$E,5,0)</f>
        <v>#N/A</v>
      </c>
    </row>
    <row r="550" spans="1:52" ht="15" customHeight="1">
      <c r="A550" s="832" t="s">
        <v>1150</v>
      </c>
      <c r="B550" s="832">
        <v>2025</v>
      </c>
      <c r="C550" s="832" t="s">
        <v>2241</v>
      </c>
      <c r="D550" s="832" t="s">
        <v>2242</v>
      </c>
      <c r="E550" s="832" t="s">
        <v>2222</v>
      </c>
      <c r="F550" s="832" t="s">
        <v>2222</v>
      </c>
      <c r="G550" s="832">
        <v>0</v>
      </c>
      <c r="H550" s="832">
        <v>0</v>
      </c>
      <c r="I550" s="832">
        <v>0</v>
      </c>
      <c r="J550" s="832">
        <v>0</v>
      </c>
      <c r="K550" s="832">
        <v>0</v>
      </c>
      <c r="L550" s="832">
        <v>0</v>
      </c>
      <c r="M550" s="832">
        <v>0</v>
      </c>
      <c r="N550" s="832">
        <v>0</v>
      </c>
      <c r="O550" s="832">
        <v>0</v>
      </c>
      <c r="P550" s="832">
        <v>0</v>
      </c>
      <c r="Q550" s="832">
        <v>0</v>
      </c>
      <c r="R550" s="832">
        <v>0</v>
      </c>
      <c r="S550" s="832">
        <v>0</v>
      </c>
      <c r="T550" s="832">
        <v>0</v>
      </c>
      <c r="U550" s="832">
        <v>0</v>
      </c>
      <c r="V550" s="832">
        <v>0</v>
      </c>
      <c r="W550" s="832">
        <v>0</v>
      </c>
      <c r="X550" s="832">
        <v>0</v>
      </c>
      <c r="Y550" s="832">
        <v>0</v>
      </c>
      <c r="Z550" s="832">
        <v>0</v>
      </c>
      <c r="AA550" s="832">
        <v>0</v>
      </c>
      <c r="AB550" s="832">
        <v>0</v>
      </c>
      <c r="AC550" s="832">
        <v>0</v>
      </c>
      <c r="AD550" s="832">
        <v>0</v>
      </c>
      <c r="AE550" s="832">
        <v>0</v>
      </c>
      <c r="AF550" s="832">
        <v>0</v>
      </c>
      <c r="AG550" s="832">
        <v>0</v>
      </c>
      <c r="AH550" s="832">
        <v>0</v>
      </c>
      <c r="AI550" s="832">
        <v>0</v>
      </c>
      <c r="AJ550" s="1030" t="str">
        <f t="shared" si="54"/>
        <v>H30600</v>
      </c>
      <c r="AK550" s="1030" t="str">
        <f t="shared" si="55"/>
        <v>VTE ELANTRA TOURING</v>
      </c>
      <c r="AL550" s="1030">
        <f>IFERROR(INDEX(G550:R550,1,MATCH(Parametres!$B$3,G$1:R$1,0)-1)*IF(OR(F550="L",F550="S",F550="I"),-1,1),"")</f>
        <v>0</v>
      </c>
      <c r="AM550" s="1030">
        <f t="shared" si="50"/>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t="str">
        <f t="shared" si="51"/>
        <v>H30600</v>
      </c>
      <c r="AU550" s="599" t="str">
        <f t="shared" si="52"/>
        <v>VTE ELANTRA TOURING</v>
      </c>
      <c r="AV550" s="1030">
        <f>IFERROR(INDEX(V550:AG550,1,MATCH(Parametres!$B$3,V$1:AG$1,0)-1)*IF(OR(C550="L",C550="S",C550="I"),-1,1),"")</f>
        <v>0</v>
      </c>
      <c r="AW550" s="1030">
        <f t="shared" si="53"/>
        <v>0</v>
      </c>
      <c r="AX550" s="1030">
        <f>INDEX(V550:AG550,1,MATCH(Parametres!$B$3,V$1:AG$1,0))*IF(OR(C550="L",C550="S",C550="I"),-1,1)</f>
        <v>0</v>
      </c>
      <c r="AY550" s="598" t="s">
        <v>337</v>
      </c>
      <c r="AZ550" s="598" t="e">
        <f>+VLOOKUP($AJ550,Data_Validation!$A:$E,5,0)</f>
        <v>#N/A</v>
      </c>
    </row>
    <row r="551" spans="1:52" ht="15" customHeight="1">
      <c r="A551" s="832" t="s">
        <v>1150</v>
      </c>
      <c r="B551" s="832">
        <v>2025</v>
      </c>
      <c r="C551" s="832" t="s">
        <v>2243</v>
      </c>
      <c r="D551" s="832" t="s">
        <v>2244</v>
      </c>
      <c r="E551" s="832" t="s">
        <v>2222</v>
      </c>
      <c r="F551" s="832" t="s">
        <v>2222</v>
      </c>
      <c r="G551" s="832">
        <v>234325.58</v>
      </c>
      <c r="H551" s="832">
        <v>352330.37</v>
      </c>
      <c r="I551" s="832">
        <v>461568.38</v>
      </c>
      <c r="J551" s="832">
        <v>917505.62</v>
      </c>
      <c r="K551" s="832">
        <v>1257981.1000000001</v>
      </c>
      <c r="L551" s="832">
        <v>1580777.63</v>
      </c>
      <c r="M551" s="832">
        <v>1893250.53</v>
      </c>
      <c r="N551" s="832">
        <v>2013366.29</v>
      </c>
      <c r="O551" s="832">
        <v>2183117.56</v>
      </c>
      <c r="P551" s="832">
        <v>2483843.94</v>
      </c>
      <c r="Q551" s="832">
        <v>2706364.9</v>
      </c>
      <c r="R551" s="832">
        <v>2816741.74</v>
      </c>
      <c r="S551" s="832">
        <v>246033.17</v>
      </c>
      <c r="T551" s="832">
        <v>246033.17</v>
      </c>
      <c r="U551" s="832">
        <v>0</v>
      </c>
      <c r="V551" s="832">
        <v>8</v>
      </c>
      <c r="W551" s="832">
        <v>12</v>
      </c>
      <c r="X551" s="832">
        <v>16</v>
      </c>
      <c r="Y551" s="832">
        <v>31</v>
      </c>
      <c r="Z551" s="832">
        <v>43</v>
      </c>
      <c r="AA551" s="832">
        <v>54</v>
      </c>
      <c r="AB551" s="832">
        <v>65</v>
      </c>
      <c r="AC551" s="832">
        <v>69</v>
      </c>
      <c r="AD551" s="832">
        <v>75</v>
      </c>
      <c r="AE551" s="832">
        <v>86</v>
      </c>
      <c r="AF551" s="832">
        <v>94</v>
      </c>
      <c r="AG551" s="832">
        <v>98</v>
      </c>
      <c r="AH551" s="832">
        <v>9</v>
      </c>
      <c r="AI551" s="832">
        <v>9</v>
      </c>
      <c r="AJ551" s="1030" t="str">
        <f t="shared" si="54"/>
        <v>H30601</v>
      </c>
      <c r="AK551" s="1030" t="str">
        <f t="shared" si="55"/>
        <v>VTE ELANTRA</v>
      </c>
      <c r="AL551" s="1030">
        <f>IFERROR(INDEX(G551:R551,1,MATCH(Parametres!$B$3,G$1:R$1,0)-1)*IF(OR(F551="L",F551="S",F551="I"),-1,1),"")</f>
        <v>-917505.62</v>
      </c>
      <c r="AM551" s="1030">
        <f t="shared" si="50"/>
        <v>-340475.4800000001</v>
      </c>
      <c r="AN551" s="1030">
        <f>INDEX(G551:R551,1,MATCH(Parametres!$B$3,G$1:R$1,0))*IF(OR(F551="L",F551="S",F551="I"),-1,1)</f>
        <v>-1257981.1000000001</v>
      </c>
      <c r="AO551" s="598" t="str">
        <f>+VLOOKUP($AJ551,Data_Validation!$A:$D,1,0)</f>
        <v>H30601</v>
      </c>
      <c r="AP551" s="598" t="str">
        <f>+VLOOKUP($AJ551,Data_Validation!$A:$D,3,0)</f>
        <v>Véhicules neufs</v>
      </c>
      <c r="AQ551" s="598" t="str">
        <f>+VLOOKUP($AJ551,Data_Validation!$A:$D,4,0)</f>
        <v>Autos détail</v>
      </c>
      <c r="AR551" s="598" t="s">
        <v>299</v>
      </c>
      <c r="AS551" s="598" t="str">
        <f>+VLOOKUP($AJ551,Data_Validation!$A:$E,5,0)</f>
        <v>Oui</v>
      </c>
      <c r="AT551" s="1036" t="str">
        <f t="shared" si="51"/>
        <v>H30601</v>
      </c>
      <c r="AU551" s="599" t="str">
        <f t="shared" si="52"/>
        <v>VTE ELANTRA</v>
      </c>
      <c r="AV551" s="1030">
        <f>IFERROR(INDEX(V551:AG551,1,MATCH(Parametres!$B$3,V$1:AG$1,0)-1)*IF(OR(C551="L",C551="S",C551="I"),-1,1),"")</f>
        <v>31</v>
      </c>
      <c r="AW551" s="1030">
        <f t="shared" si="53"/>
        <v>12</v>
      </c>
      <c r="AX551" s="1030">
        <f>INDEX(V551:AG551,1,MATCH(Parametres!$B$3,V$1:AG$1,0))*IF(OR(C551="L",C551="S",C551="I"),-1,1)</f>
        <v>43</v>
      </c>
      <c r="AY551" s="598" t="s">
        <v>337</v>
      </c>
      <c r="AZ551" s="598" t="str">
        <f>+VLOOKUP($AJ551,Data_Validation!$A:$E,5,0)</f>
        <v>Oui</v>
      </c>
    </row>
    <row r="552" spans="1:52" ht="15" customHeight="1">
      <c r="A552" s="832" t="s">
        <v>1150</v>
      </c>
      <c r="B552" s="832">
        <v>2025</v>
      </c>
      <c r="C552" s="832" t="s">
        <v>2245</v>
      </c>
      <c r="D552" s="832" t="s">
        <v>2246</v>
      </c>
      <c r="E552" s="832" t="s">
        <v>2222</v>
      </c>
      <c r="F552" s="832" t="s">
        <v>2222</v>
      </c>
      <c r="G552" s="832">
        <v>0</v>
      </c>
      <c r="H552" s="832">
        <v>0</v>
      </c>
      <c r="I552" s="832">
        <v>0</v>
      </c>
      <c r="J552" s="832">
        <v>0</v>
      </c>
      <c r="K552" s="832">
        <v>0</v>
      </c>
      <c r="L552" s="832">
        <v>0</v>
      </c>
      <c r="M552" s="832">
        <v>0</v>
      </c>
      <c r="N552" s="832">
        <v>0</v>
      </c>
      <c r="O552" s="832">
        <v>0</v>
      </c>
      <c r="P552" s="832">
        <v>0</v>
      </c>
      <c r="Q552" s="832">
        <v>0</v>
      </c>
      <c r="R552" s="832">
        <v>0</v>
      </c>
      <c r="S552" s="832">
        <v>0</v>
      </c>
      <c r="T552" s="832">
        <v>0</v>
      </c>
      <c r="U552" s="832">
        <v>0</v>
      </c>
      <c r="V552" s="832">
        <v>0</v>
      </c>
      <c r="W552" s="832">
        <v>0</v>
      </c>
      <c r="X552" s="832">
        <v>0</v>
      </c>
      <c r="Y552" s="832">
        <v>0</v>
      </c>
      <c r="Z552" s="832">
        <v>0</v>
      </c>
      <c r="AA552" s="832">
        <v>0</v>
      </c>
      <c r="AB552" s="832">
        <v>0</v>
      </c>
      <c r="AC552" s="832">
        <v>0</v>
      </c>
      <c r="AD552" s="832">
        <v>0</v>
      </c>
      <c r="AE552" s="832">
        <v>0</v>
      </c>
      <c r="AF552" s="832">
        <v>0</v>
      </c>
      <c r="AG552" s="832">
        <v>0</v>
      </c>
      <c r="AH552" s="832">
        <v>0</v>
      </c>
      <c r="AI552" s="832">
        <v>0</v>
      </c>
      <c r="AJ552" s="1030" t="str">
        <f t="shared" si="54"/>
        <v>H30602</v>
      </c>
      <c r="AK552" s="1030" t="str">
        <f t="shared" si="55"/>
        <v>VTE ELANTRA COUPE</v>
      </c>
      <c r="AL552" s="1030">
        <f>IFERROR(INDEX(G552:R552,1,MATCH(Parametres!$B$3,G$1:R$1,0)-1)*IF(OR(F552="L",F552="S",F552="I"),-1,1),"")</f>
        <v>0</v>
      </c>
      <c r="AM552" s="1030">
        <f t="shared" si="50"/>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t="str">
        <f t="shared" si="51"/>
        <v>H30602</v>
      </c>
      <c r="AU552" s="599" t="str">
        <f t="shared" si="52"/>
        <v>VTE ELANTRA COUPE</v>
      </c>
      <c r="AV552" s="1030">
        <f>IFERROR(INDEX(V552:AG552,1,MATCH(Parametres!$B$3,V$1:AG$1,0)-1)*IF(OR(C552="L",C552="S",C552="I"),-1,1),"")</f>
        <v>0</v>
      </c>
      <c r="AW552" s="1030">
        <f t="shared" si="53"/>
        <v>0</v>
      </c>
      <c r="AX552" s="1030">
        <f>INDEX(V552:AG552,1,MATCH(Parametres!$B$3,V$1:AG$1,0))*IF(OR(C552="L",C552="S",C552="I"),-1,1)</f>
        <v>0</v>
      </c>
      <c r="AY552" s="598" t="s">
        <v>337</v>
      </c>
      <c r="AZ552" s="598" t="e">
        <f>+VLOOKUP($AJ552,Data_Validation!$A:$E,5,0)</f>
        <v>#N/A</v>
      </c>
    </row>
    <row r="553" spans="1:52" ht="15" customHeight="1">
      <c r="A553" s="832" t="s">
        <v>1150</v>
      </c>
      <c r="B553" s="832">
        <v>2025</v>
      </c>
      <c r="C553" s="832" t="s">
        <v>2247</v>
      </c>
      <c r="D553" s="832" t="s">
        <v>2248</v>
      </c>
      <c r="E553" s="832" t="s">
        <v>2222</v>
      </c>
      <c r="F553" s="832" t="s">
        <v>2222</v>
      </c>
      <c r="G553" s="832">
        <v>0</v>
      </c>
      <c r="H553" s="832">
        <v>0</v>
      </c>
      <c r="I553" s="832">
        <v>0</v>
      </c>
      <c r="J553" s="832">
        <v>0</v>
      </c>
      <c r="K553" s="832">
        <v>0</v>
      </c>
      <c r="L553" s="832">
        <v>0</v>
      </c>
      <c r="M553" s="832">
        <v>0</v>
      </c>
      <c r="N553" s="832">
        <v>0</v>
      </c>
      <c r="O553" s="832">
        <v>0</v>
      </c>
      <c r="P553" s="832">
        <v>0</v>
      </c>
      <c r="Q553" s="832">
        <v>0</v>
      </c>
      <c r="R553" s="832">
        <v>0</v>
      </c>
      <c r="S553" s="832">
        <v>0</v>
      </c>
      <c r="T553" s="832">
        <v>0</v>
      </c>
      <c r="U553" s="832">
        <v>0</v>
      </c>
      <c r="V553" s="832">
        <v>0</v>
      </c>
      <c r="W553" s="832">
        <v>0</v>
      </c>
      <c r="X553" s="832">
        <v>0</v>
      </c>
      <c r="Y553" s="832">
        <v>0</v>
      </c>
      <c r="Z553" s="832">
        <v>0</v>
      </c>
      <c r="AA553" s="832">
        <v>0</v>
      </c>
      <c r="AB553" s="832">
        <v>0</v>
      </c>
      <c r="AC553" s="832">
        <v>0</v>
      </c>
      <c r="AD553" s="832">
        <v>0</v>
      </c>
      <c r="AE553" s="832">
        <v>0</v>
      </c>
      <c r="AF553" s="832">
        <v>0</v>
      </c>
      <c r="AG553" s="832">
        <v>0</v>
      </c>
      <c r="AH553" s="832">
        <v>0</v>
      </c>
      <c r="AI553" s="832">
        <v>0</v>
      </c>
      <c r="AJ553" s="1030" t="str">
        <f t="shared" si="54"/>
        <v>H30603</v>
      </c>
      <c r="AK553" s="1030" t="str">
        <f t="shared" si="55"/>
        <v>ELANTRA GT</v>
      </c>
      <c r="AL553" s="1030">
        <f>IFERROR(INDEX(G553:R553,1,MATCH(Parametres!$B$3,G$1:R$1,0)-1)*IF(OR(F553="L",F553="S",F553="I"),-1,1),"")</f>
        <v>0</v>
      </c>
      <c r="AM553" s="1030">
        <f t="shared" si="50"/>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t="str">
        <f t="shared" si="51"/>
        <v>H30603</v>
      </c>
      <c r="AU553" s="599" t="str">
        <f t="shared" si="52"/>
        <v>ELANTRA GT</v>
      </c>
      <c r="AV553" s="1030">
        <f>IFERROR(INDEX(V553:AG553,1,MATCH(Parametres!$B$3,V$1:AG$1,0)-1)*IF(OR(C553="L",C553="S",C553="I"),-1,1),"")</f>
        <v>0</v>
      </c>
      <c r="AW553" s="1030">
        <f t="shared" si="53"/>
        <v>0</v>
      </c>
      <c r="AX553" s="1030">
        <f>INDEX(V553:AG553,1,MATCH(Parametres!$B$3,V$1:AG$1,0))*IF(OR(C553="L",C553="S",C553="I"),-1,1)</f>
        <v>0</v>
      </c>
      <c r="AY553" s="598" t="s">
        <v>337</v>
      </c>
      <c r="AZ553" s="598" t="e">
        <f>+VLOOKUP($AJ553,Data_Validation!$A:$E,5,0)</f>
        <v>#N/A</v>
      </c>
    </row>
    <row r="554" spans="1:52" ht="15" customHeight="1">
      <c r="A554" s="832" t="s">
        <v>1150</v>
      </c>
      <c r="B554" s="832">
        <v>2025</v>
      </c>
      <c r="C554" s="832" t="s">
        <v>2249</v>
      </c>
      <c r="D554" s="832" t="s">
        <v>2250</v>
      </c>
      <c r="E554" s="832" t="s">
        <v>2222</v>
      </c>
      <c r="F554" s="832" t="s">
        <v>2222</v>
      </c>
      <c r="G554" s="832">
        <v>0</v>
      </c>
      <c r="H554" s="832">
        <v>0</v>
      </c>
      <c r="I554" s="832">
        <v>69068.149999999994</v>
      </c>
      <c r="J554" s="832">
        <v>69068.149999999994</v>
      </c>
      <c r="K554" s="832">
        <v>171308.15</v>
      </c>
      <c r="L554" s="832">
        <v>205381.15</v>
      </c>
      <c r="M554" s="832">
        <v>205381.15</v>
      </c>
      <c r="N554" s="832">
        <v>205381.15</v>
      </c>
      <c r="O554" s="832">
        <v>205381.15</v>
      </c>
      <c r="P554" s="832">
        <v>205381.15</v>
      </c>
      <c r="Q554" s="832">
        <v>238679.15</v>
      </c>
      <c r="R554" s="832">
        <v>270022.86</v>
      </c>
      <c r="S554" s="832">
        <v>21698.1</v>
      </c>
      <c r="T554" s="832">
        <v>21698.1</v>
      </c>
      <c r="U554" s="832">
        <v>0</v>
      </c>
      <c r="V554" s="832">
        <v>0</v>
      </c>
      <c r="W554" s="832">
        <v>0</v>
      </c>
      <c r="X554" s="832">
        <v>2</v>
      </c>
      <c r="Y554" s="832">
        <v>2</v>
      </c>
      <c r="Z554" s="832">
        <v>5</v>
      </c>
      <c r="AA554" s="832">
        <v>6</v>
      </c>
      <c r="AB554" s="832">
        <v>6</v>
      </c>
      <c r="AC554" s="832">
        <v>6</v>
      </c>
      <c r="AD554" s="832">
        <v>6</v>
      </c>
      <c r="AE554" s="832">
        <v>6</v>
      </c>
      <c r="AF554" s="832">
        <v>7</v>
      </c>
      <c r="AG554" s="832">
        <v>8</v>
      </c>
      <c r="AH554" s="832">
        <v>1</v>
      </c>
      <c r="AI554" s="832">
        <v>1</v>
      </c>
      <c r="AJ554" s="1030" t="str">
        <f t="shared" si="54"/>
        <v>H30604</v>
      </c>
      <c r="AK554" s="1030" t="str">
        <f t="shared" si="55"/>
        <v>VTE ELANTRA HYBRIDE</v>
      </c>
      <c r="AL554" s="1030">
        <f>IFERROR(INDEX(G554:R554,1,MATCH(Parametres!$B$3,G$1:R$1,0)-1)*IF(OR(F554="L",F554="S",F554="I"),-1,1),"")</f>
        <v>-69068.149999999994</v>
      </c>
      <c r="AM554" s="1030">
        <f t="shared" si="50"/>
        <v>-102240</v>
      </c>
      <c r="AN554" s="1030">
        <f>INDEX(G554:R554,1,MATCH(Parametres!$B$3,G$1:R$1,0))*IF(OR(F554="L",F554="S",F554="I"),-1,1)</f>
        <v>-171308.15</v>
      </c>
      <c r="AO554" s="598" t="str">
        <f>+VLOOKUP($AJ554,Data_Validation!$A:$D,1,0)</f>
        <v>H30604</v>
      </c>
      <c r="AP554" s="598" t="str">
        <f>+VLOOKUP($AJ554,Data_Validation!$A:$D,3,0)</f>
        <v>Véhicules neufs</v>
      </c>
      <c r="AQ554" s="598" t="str">
        <f>+VLOOKUP($AJ554,Data_Validation!$A:$D,4,0)</f>
        <v>Autos détail</v>
      </c>
      <c r="AR554" s="598" t="s">
        <v>299</v>
      </c>
      <c r="AS554" s="598" t="str">
        <f>+VLOOKUP($AJ554,Data_Validation!$A:$E,5,0)</f>
        <v>Oui</v>
      </c>
      <c r="AT554" s="1036" t="str">
        <f t="shared" si="51"/>
        <v>H30604</v>
      </c>
      <c r="AU554" s="599" t="str">
        <f t="shared" si="52"/>
        <v>VTE ELANTRA HYBRIDE</v>
      </c>
      <c r="AV554" s="1030">
        <f>IFERROR(INDEX(V554:AG554,1,MATCH(Parametres!$B$3,V$1:AG$1,0)-1)*IF(OR(C554="L",C554="S",C554="I"),-1,1),"")</f>
        <v>2</v>
      </c>
      <c r="AW554" s="1030">
        <f t="shared" si="53"/>
        <v>3</v>
      </c>
      <c r="AX554" s="1030">
        <f>INDEX(V554:AG554,1,MATCH(Parametres!$B$3,V$1:AG$1,0))*IF(OR(C554="L",C554="S",C554="I"),-1,1)</f>
        <v>5</v>
      </c>
      <c r="AY554" s="598" t="s">
        <v>337</v>
      </c>
      <c r="AZ554" s="598" t="str">
        <f>+VLOOKUP($AJ554,Data_Validation!$A:$E,5,0)</f>
        <v>Oui</v>
      </c>
    </row>
    <row r="555" spans="1:52" ht="15" customHeight="1">
      <c r="A555" s="832" t="s">
        <v>1150</v>
      </c>
      <c r="B555" s="832">
        <v>2025</v>
      </c>
      <c r="C555" s="832" t="s">
        <v>2251</v>
      </c>
      <c r="D555" s="832" t="s">
        <v>2246</v>
      </c>
      <c r="E555" s="832" t="s">
        <v>2222</v>
      </c>
      <c r="F555" s="832" t="s">
        <v>2222</v>
      </c>
      <c r="G555" s="832">
        <v>0</v>
      </c>
      <c r="H555" s="832">
        <v>0</v>
      </c>
      <c r="I555" s="832">
        <v>0</v>
      </c>
      <c r="J555" s="832">
        <v>0</v>
      </c>
      <c r="K555" s="832">
        <v>0</v>
      </c>
      <c r="L555" s="832">
        <v>0</v>
      </c>
      <c r="M555" s="832">
        <v>0</v>
      </c>
      <c r="N555" s="832">
        <v>0</v>
      </c>
      <c r="O555" s="832">
        <v>0</v>
      </c>
      <c r="P555" s="832">
        <v>0</v>
      </c>
      <c r="Q555" s="832">
        <v>0</v>
      </c>
      <c r="R555" s="832">
        <v>0</v>
      </c>
      <c r="S555" s="832">
        <v>0</v>
      </c>
      <c r="T555" s="832">
        <v>0</v>
      </c>
      <c r="U555" s="832">
        <v>0</v>
      </c>
      <c r="V555" s="832">
        <v>0</v>
      </c>
      <c r="W555" s="832">
        <v>0</v>
      </c>
      <c r="X555" s="832">
        <v>0</v>
      </c>
      <c r="Y555" s="832">
        <v>0</v>
      </c>
      <c r="Z555" s="832">
        <v>0</v>
      </c>
      <c r="AA555" s="832">
        <v>0</v>
      </c>
      <c r="AB555" s="832">
        <v>0</v>
      </c>
      <c r="AC555" s="832">
        <v>0</v>
      </c>
      <c r="AD555" s="832">
        <v>0</v>
      </c>
      <c r="AE555" s="832">
        <v>0</v>
      </c>
      <c r="AF555" s="832">
        <v>0</v>
      </c>
      <c r="AG555" s="832">
        <v>0</v>
      </c>
      <c r="AH555" s="832">
        <v>0</v>
      </c>
      <c r="AI555" s="832">
        <v>0</v>
      </c>
      <c r="AJ555" s="1030" t="str">
        <f t="shared" si="54"/>
        <v>H30620</v>
      </c>
      <c r="AK555" s="1030" t="str">
        <f t="shared" si="55"/>
        <v>VTE ELANTRA COUPE</v>
      </c>
      <c r="AL555" s="1030">
        <f>IFERROR(INDEX(G555:R555,1,MATCH(Parametres!$B$3,G$1:R$1,0)-1)*IF(OR(F555="L",F555="S",F555="I"),-1,1),"")</f>
        <v>0</v>
      </c>
      <c r="AM555" s="1030">
        <f t="shared" si="50"/>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t="str">
        <f t="shared" si="51"/>
        <v>H30620</v>
      </c>
      <c r="AU555" s="599" t="str">
        <f t="shared" si="52"/>
        <v>VTE ELANTRA COUPE</v>
      </c>
      <c r="AV555" s="1030">
        <f>IFERROR(INDEX(V555:AG555,1,MATCH(Parametres!$B$3,V$1:AG$1,0)-1)*IF(OR(C555="L",C555="S",C555="I"),-1,1),"")</f>
        <v>0</v>
      </c>
      <c r="AW555" s="1030">
        <f t="shared" si="53"/>
        <v>0</v>
      </c>
      <c r="AX555" s="1030">
        <f>INDEX(V555:AG555,1,MATCH(Parametres!$B$3,V$1:AG$1,0))*IF(OR(C555="L",C555="S",C555="I"),-1,1)</f>
        <v>0</v>
      </c>
      <c r="AY555" s="598" t="s">
        <v>337</v>
      </c>
      <c r="AZ555" s="598" t="e">
        <f>+VLOOKUP($AJ555,Data_Validation!$A:$E,5,0)</f>
        <v>#N/A</v>
      </c>
    </row>
    <row r="556" spans="1:52" ht="15" customHeight="1">
      <c r="A556" s="832" t="s">
        <v>1150</v>
      </c>
      <c r="B556" s="832">
        <v>2025</v>
      </c>
      <c r="C556" s="832" t="s">
        <v>2252</v>
      </c>
      <c r="D556" s="832" t="s">
        <v>2253</v>
      </c>
      <c r="E556" s="832" t="s">
        <v>2222</v>
      </c>
      <c r="F556" s="832" t="s">
        <v>2222</v>
      </c>
      <c r="G556" s="832">
        <v>0</v>
      </c>
      <c r="H556" s="832">
        <v>0</v>
      </c>
      <c r="I556" s="832">
        <v>0</v>
      </c>
      <c r="J556" s="832">
        <v>0</v>
      </c>
      <c r="K556" s="832">
        <v>0</v>
      </c>
      <c r="L556" s="832">
        <v>0</v>
      </c>
      <c r="M556" s="832">
        <v>0</v>
      </c>
      <c r="N556" s="832">
        <v>0</v>
      </c>
      <c r="O556" s="832">
        <v>0</v>
      </c>
      <c r="P556" s="832">
        <v>0</v>
      </c>
      <c r="Q556" s="832">
        <v>0</v>
      </c>
      <c r="R556" s="832">
        <v>0</v>
      </c>
      <c r="S556" s="832">
        <v>0</v>
      </c>
      <c r="T556" s="832">
        <v>0</v>
      </c>
      <c r="U556" s="832">
        <v>0</v>
      </c>
      <c r="V556" s="832">
        <v>0</v>
      </c>
      <c r="W556" s="832">
        <v>0</v>
      </c>
      <c r="X556" s="832">
        <v>0</v>
      </c>
      <c r="Y556" s="832">
        <v>0</v>
      </c>
      <c r="Z556" s="832">
        <v>0</v>
      </c>
      <c r="AA556" s="832">
        <v>0</v>
      </c>
      <c r="AB556" s="832">
        <v>0</v>
      </c>
      <c r="AC556" s="832">
        <v>0</v>
      </c>
      <c r="AD556" s="832">
        <v>0</v>
      </c>
      <c r="AE556" s="832">
        <v>0</v>
      </c>
      <c r="AF556" s="832">
        <v>0</v>
      </c>
      <c r="AG556" s="832">
        <v>0</v>
      </c>
      <c r="AH556" s="832">
        <v>0</v>
      </c>
      <c r="AI556" s="832">
        <v>0</v>
      </c>
      <c r="AJ556" s="1030" t="str">
        <f t="shared" si="54"/>
        <v>H30700</v>
      </c>
      <c r="AK556" s="1030" t="str">
        <f t="shared" si="55"/>
        <v>VTE NEUFS GENESIS</v>
      </c>
      <c r="AL556" s="1030">
        <f>IFERROR(INDEX(G556:R556,1,MATCH(Parametres!$B$3,G$1:R$1,0)-1)*IF(OR(F556="L",F556="S",F556="I"),-1,1),"")</f>
        <v>0</v>
      </c>
      <c r="AM556" s="1030">
        <f t="shared" si="50"/>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t="str">
        <f t="shared" si="51"/>
        <v>H30700</v>
      </c>
      <c r="AU556" s="599" t="str">
        <f t="shared" si="52"/>
        <v>VTE NEUFS GENESIS</v>
      </c>
      <c r="AV556" s="1030">
        <f>IFERROR(INDEX(V556:AG556,1,MATCH(Parametres!$B$3,V$1:AG$1,0)-1)*IF(OR(C556="L",C556="S",C556="I"),-1,1),"")</f>
        <v>0</v>
      </c>
      <c r="AW556" s="1030">
        <f t="shared" si="53"/>
        <v>0</v>
      </c>
      <c r="AX556" s="1030">
        <f>INDEX(V556:AG556,1,MATCH(Parametres!$B$3,V$1:AG$1,0))*IF(OR(C556="L",C556="S",C556="I"),-1,1)</f>
        <v>0</v>
      </c>
      <c r="AY556" s="598" t="s">
        <v>337</v>
      </c>
      <c r="AZ556" s="598" t="e">
        <f>+VLOOKUP($AJ556,Data_Validation!$A:$E,5,0)</f>
        <v>#N/A</v>
      </c>
    </row>
    <row r="557" spans="1:52" ht="15" customHeight="1">
      <c r="A557" s="832" t="s">
        <v>1150</v>
      </c>
      <c r="B557" s="832">
        <v>2025</v>
      </c>
      <c r="C557" s="832" t="s">
        <v>2254</v>
      </c>
      <c r="D557" s="832" t="s">
        <v>2255</v>
      </c>
      <c r="E557" s="832" t="s">
        <v>2222</v>
      </c>
      <c r="F557" s="832" t="s">
        <v>2222</v>
      </c>
      <c r="G557" s="832">
        <v>0</v>
      </c>
      <c r="H557" s="832">
        <v>0</v>
      </c>
      <c r="I557" s="832">
        <v>0</v>
      </c>
      <c r="J557" s="832">
        <v>0</v>
      </c>
      <c r="K557" s="832">
        <v>0</v>
      </c>
      <c r="L557" s="832">
        <v>0</v>
      </c>
      <c r="M557" s="832">
        <v>0</v>
      </c>
      <c r="N557" s="832">
        <v>0</v>
      </c>
      <c r="O557" s="832">
        <v>0</v>
      </c>
      <c r="P557" s="832">
        <v>0</v>
      </c>
      <c r="Q557" s="832">
        <v>0</v>
      </c>
      <c r="R557" s="832">
        <v>0</v>
      </c>
      <c r="S557" s="832">
        <v>0</v>
      </c>
      <c r="T557" s="832">
        <v>0</v>
      </c>
      <c r="U557" s="832">
        <v>0</v>
      </c>
      <c r="V557" s="832">
        <v>0</v>
      </c>
      <c r="W557" s="832">
        <v>0</v>
      </c>
      <c r="X557" s="832">
        <v>0</v>
      </c>
      <c r="Y557" s="832">
        <v>0</v>
      </c>
      <c r="Z557" s="832">
        <v>0</v>
      </c>
      <c r="AA557" s="832">
        <v>0</v>
      </c>
      <c r="AB557" s="832">
        <v>0</v>
      </c>
      <c r="AC557" s="832">
        <v>0</v>
      </c>
      <c r="AD557" s="832">
        <v>0</v>
      </c>
      <c r="AE557" s="832">
        <v>0</v>
      </c>
      <c r="AF557" s="832">
        <v>0</v>
      </c>
      <c r="AG557" s="832">
        <v>0</v>
      </c>
      <c r="AH557" s="832">
        <v>0</v>
      </c>
      <c r="AI557" s="832">
        <v>0</v>
      </c>
      <c r="AJ557" s="1030" t="str">
        <f t="shared" si="54"/>
        <v>H30800</v>
      </c>
      <c r="AK557" s="1030" t="str">
        <f t="shared" si="55"/>
        <v>VTE IONIQ EV ET H</v>
      </c>
      <c r="AL557" s="1030">
        <f>IFERROR(INDEX(G557:R557,1,MATCH(Parametres!$B$3,G$1:R$1,0)-1)*IF(OR(F557="L",F557="S",F557="I"),-1,1),"")</f>
        <v>0</v>
      </c>
      <c r="AM557" s="1030">
        <f t="shared" si="50"/>
        <v>0</v>
      </c>
      <c r="AN557" s="1030">
        <f>INDEX(G557:R557,1,MATCH(Parametres!$B$3,G$1:R$1,0))*IF(OR(F557="L",F557="S",F557="I"),-1,1)</f>
        <v>0</v>
      </c>
      <c r="AO557" s="598" t="str">
        <f>+VLOOKUP($AJ557,Data_Validation!$A:$D,1,0)</f>
        <v>H30800</v>
      </c>
      <c r="AP557" s="598" t="str">
        <f>+VLOOKUP($AJ557,Data_Validation!$A:$D,3,0)</f>
        <v>Véhicules neufs</v>
      </c>
      <c r="AQ557" s="598" t="str">
        <f>+VLOOKUP($AJ557,Data_Validation!$A:$D,4,0)</f>
        <v>Voitures electriques</v>
      </c>
      <c r="AR557" s="598" t="s">
        <v>299</v>
      </c>
      <c r="AS557" s="598" t="str">
        <f>+VLOOKUP($AJ557,Data_Validation!$A:$E,5,0)</f>
        <v>Oui</v>
      </c>
      <c r="AT557" s="1036" t="str">
        <f t="shared" si="51"/>
        <v>H30800</v>
      </c>
      <c r="AU557" s="599" t="str">
        <f t="shared" si="52"/>
        <v>VTE IONIQ EV ET H</v>
      </c>
      <c r="AV557" s="1030">
        <f>IFERROR(INDEX(V557:AG557,1,MATCH(Parametres!$B$3,V$1:AG$1,0)-1)*IF(OR(C557="L",C557="S",C557="I"),-1,1),"")</f>
        <v>0</v>
      </c>
      <c r="AW557" s="1030">
        <f t="shared" si="53"/>
        <v>0</v>
      </c>
      <c r="AX557" s="1030">
        <f>INDEX(V557:AG557,1,MATCH(Parametres!$B$3,V$1:AG$1,0))*IF(OR(C557="L",C557="S",C557="I"),-1,1)</f>
        <v>0</v>
      </c>
      <c r="AY557" s="598" t="s">
        <v>337</v>
      </c>
      <c r="AZ557" s="598" t="str">
        <f>+VLOOKUP($AJ557,Data_Validation!$A:$E,5,0)</f>
        <v>Oui</v>
      </c>
    </row>
    <row r="558" spans="1:52" ht="15" customHeight="1">
      <c r="A558" s="832" t="s">
        <v>1150</v>
      </c>
      <c r="B558" s="832">
        <v>2025</v>
      </c>
      <c r="C558" s="832" t="s">
        <v>2256</v>
      </c>
      <c r="D558" s="832" t="s">
        <v>2257</v>
      </c>
      <c r="E558" s="832" t="s">
        <v>2222</v>
      </c>
      <c r="F558" s="832" t="s">
        <v>2222</v>
      </c>
      <c r="G558" s="832">
        <v>0</v>
      </c>
      <c r="H558" s="832">
        <v>0</v>
      </c>
      <c r="I558" s="832">
        <v>0</v>
      </c>
      <c r="J558" s="832">
        <v>0</v>
      </c>
      <c r="K558" s="832">
        <v>0</v>
      </c>
      <c r="L558" s="832">
        <v>0</v>
      </c>
      <c r="M558" s="832">
        <v>0</v>
      </c>
      <c r="N558" s="832">
        <v>0</v>
      </c>
      <c r="O558" s="832">
        <v>0</v>
      </c>
      <c r="P558" s="832">
        <v>0</v>
      </c>
      <c r="Q558" s="832">
        <v>0</v>
      </c>
      <c r="R558" s="832">
        <v>0</v>
      </c>
      <c r="S558" s="832">
        <v>0</v>
      </c>
      <c r="T558" s="832">
        <v>0</v>
      </c>
      <c r="U558" s="832">
        <v>0</v>
      </c>
      <c r="V558" s="832">
        <v>0</v>
      </c>
      <c r="W558" s="832">
        <v>0</v>
      </c>
      <c r="X558" s="832">
        <v>0</v>
      </c>
      <c r="Y558" s="832">
        <v>0</v>
      </c>
      <c r="Z558" s="832">
        <v>0</v>
      </c>
      <c r="AA558" s="832">
        <v>0</v>
      </c>
      <c r="AB558" s="832">
        <v>0</v>
      </c>
      <c r="AC558" s="832">
        <v>0</v>
      </c>
      <c r="AD558" s="832">
        <v>0</v>
      </c>
      <c r="AE558" s="832">
        <v>0</v>
      </c>
      <c r="AF558" s="832">
        <v>0</v>
      </c>
      <c r="AG558" s="832">
        <v>0</v>
      </c>
      <c r="AH558" s="832">
        <v>0</v>
      </c>
      <c r="AI558" s="832">
        <v>0</v>
      </c>
      <c r="AJ558" s="1030" t="str">
        <f t="shared" si="54"/>
        <v>H30801</v>
      </c>
      <c r="AK558" s="1030" t="str">
        <f t="shared" si="55"/>
        <v>VTE IONIQ PHEV ET EV</v>
      </c>
      <c r="AL558" s="1030">
        <f>IFERROR(INDEX(G558:R558,1,MATCH(Parametres!$B$3,G$1:R$1,0)-1)*IF(OR(F558="L",F558="S",F558="I"),-1,1),"")</f>
        <v>0</v>
      </c>
      <c r="AM558" s="1030">
        <f t="shared" si="50"/>
        <v>0</v>
      </c>
      <c r="AN558" s="1030">
        <f>INDEX(G558:R558,1,MATCH(Parametres!$B$3,G$1:R$1,0))*IF(OR(F558="L",F558="S",F558="I"),-1,1)</f>
        <v>0</v>
      </c>
      <c r="AO558" s="598" t="str">
        <f>+VLOOKUP($AJ558,Data_Validation!$A:$D,1,0)</f>
        <v>H30801</v>
      </c>
      <c r="AP558" s="598" t="str">
        <f>+VLOOKUP($AJ558,Data_Validation!$A:$D,3,0)</f>
        <v>Véhicules neufs</v>
      </c>
      <c r="AQ558" s="598" t="str">
        <f>+VLOOKUP($AJ558,Data_Validation!$A:$D,4,0)</f>
        <v>Voitures electriques</v>
      </c>
      <c r="AR558" s="598" t="s">
        <v>299</v>
      </c>
      <c r="AS558" s="598" t="str">
        <f>+VLOOKUP($AJ558,Data_Validation!$A:$E,5,0)</f>
        <v>Oui</v>
      </c>
      <c r="AT558" s="1036" t="str">
        <f t="shared" si="51"/>
        <v>H30801</v>
      </c>
      <c r="AU558" s="599" t="str">
        <f t="shared" si="52"/>
        <v>VTE IONIQ PHEV ET EV</v>
      </c>
      <c r="AV558" s="1030">
        <f>IFERROR(INDEX(V558:AG558,1,MATCH(Parametres!$B$3,V$1:AG$1,0)-1)*IF(OR(C558="L",C558="S",C558="I"),-1,1),"")</f>
        <v>0</v>
      </c>
      <c r="AW558" s="1030">
        <f t="shared" si="53"/>
        <v>0</v>
      </c>
      <c r="AX558" s="1030">
        <f>INDEX(V558:AG558,1,MATCH(Parametres!$B$3,V$1:AG$1,0))*IF(OR(C558="L",C558="S",C558="I"),-1,1)</f>
        <v>0</v>
      </c>
      <c r="AY558" s="598" t="s">
        <v>337</v>
      </c>
      <c r="AZ558" s="598" t="str">
        <f>+VLOOKUP($AJ558,Data_Validation!$A:$E,5,0)</f>
        <v>Oui</v>
      </c>
    </row>
    <row r="559" spans="1:52" ht="15" customHeight="1">
      <c r="A559" s="832" t="s">
        <v>1150</v>
      </c>
      <c r="B559" s="832">
        <v>2025</v>
      </c>
      <c r="C559" s="832" t="s">
        <v>2258</v>
      </c>
      <c r="D559" s="832" t="s">
        <v>2259</v>
      </c>
      <c r="E559" s="832" t="s">
        <v>2222</v>
      </c>
      <c r="F559" s="832" t="s">
        <v>2222</v>
      </c>
      <c r="G559" s="832">
        <v>432179.68</v>
      </c>
      <c r="H559" s="832">
        <v>848635.69</v>
      </c>
      <c r="I559" s="832">
        <v>1460789.6</v>
      </c>
      <c r="J559" s="832">
        <v>2374655.63</v>
      </c>
      <c r="K559" s="832">
        <v>2934817.11</v>
      </c>
      <c r="L559" s="832">
        <v>3892179.69</v>
      </c>
      <c r="M559" s="832">
        <v>4360360.5</v>
      </c>
      <c r="N559" s="832">
        <v>5388024.0700000003</v>
      </c>
      <c r="O559" s="832">
        <v>5854031.46</v>
      </c>
      <c r="P559" s="832">
        <v>6775493.3399999999</v>
      </c>
      <c r="Q559" s="832">
        <v>6975847</v>
      </c>
      <c r="R559" s="832">
        <v>7500517.4400000004</v>
      </c>
      <c r="S559" s="832">
        <v>634167.91</v>
      </c>
      <c r="T559" s="832">
        <v>634167.91</v>
      </c>
      <c r="U559" s="832">
        <v>0</v>
      </c>
      <c r="V559" s="832">
        <v>12</v>
      </c>
      <c r="W559" s="832">
        <v>24</v>
      </c>
      <c r="X559" s="832">
        <v>43</v>
      </c>
      <c r="Y559" s="832">
        <v>70</v>
      </c>
      <c r="Z559" s="832">
        <v>87</v>
      </c>
      <c r="AA559" s="832">
        <v>115</v>
      </c>
      <c r="AB559" s="832">
        <v>128</v>
      </c>
      <c r="AC559" s="832">
        <v>158</v>
      </c>
      <c r="AD559" s="832">
        <v>172</v>
      </c>
      <c r="AE559" s="832">
        <v>199</v>
      </c>
      <c r="AF559" s="832">
        <v>205</v>
      </c>
      <c r="AG559" s="832">
        <v>220</v>
      </c>
      <c r="AH559" s="832">
        <v>19</v>
      </c>
      <c r="AI559" s="832">
        <v>19</v>
      </c>
      <c r="AJ559" s="1030" t="str">
        <f t="shared" si="54"/>
        <v>H30900</v>
      </c>
      <c r="AK559" s="1030" t="str">
        <f t="shared" si="55"/>
        <v>VTE KONA</v>
      </c>
      <c r="AL559" s="1030">
        <f>IFERROR(INDEX(G559:R559,1,MATCH(Parametres!$B$3,G$1:R$1,0)-1)*IF(OR(F559="L",F559="S",F559="I"),-1,1),"")</f>
        <v>-2374655.63</v>
      </c>
      <c r="AM559" s="1030">
        <f t="shared" si="50"/>
        <v>-560161.48</v>
      </c>
      <c r="AN559" s="1030">
        <f>INDEX(G559:R559,1,MATCH(Parametres!$B$3,G$1:R$1,0))*IF(OR(F559="L",F559="S",F559="I"),-1,1)</f>
        <v>-2934817.11</v>
      </c>
      <c r="AO559" s="598" t="str">
        <f>+VLOOKUP($AJ559,Data_Validation!$A:$D,1,0)</f>
        <v>H30900</v>
      </c>
      <c r="AP559" s="598" t="str">
        <f>+VLOOKUP($AJ559,Data_Validation!$A:$D,3,0)</f>
        <v>Véhicules neufs</v>
      </c>
      <c r="AQ559" s="598" t="str">
        <f>+VLOOKUP($AJ559,Data_Validation!$A:$D,4,0)</f>
        <v>Camions détail</v>
      </c>
      <c r="AR559" s="598" t="s">
        <v>299</v>
      </c>
      <c r="AS559" s="598" t="str">
        <f>+VLOOKUP($AJ559,Data_Validation!$A:$E,5,0)</f>
        <v>Oui</v>
      </c>
      <c r="AT559" s="1036" t="str">
        <f t="shared" si="51"/>
        <v>H30900</v>
      </c>
      <c r="AU559" s="599" t="str">
        <f t="shared" si="52"/>
        <v>VTE KONA</v>
      </c>
      <c r="AV559" s="1030">
        <f>IFERROR(INDEX(V559:AG559,1,MATCH(Parametres!$B$3,V$1:AG$1,0)-1)*IF(OR(C559="L",C559="S",C559="I"),-1,1),"")</f>
        <v>70</v>
      </c>
      <c r="AW559" s="1030">
        <f t="shared" si="53"/>
        <v>17</v>
      </c>
      <c r="AX559" s="1030">
        <f>INDEX(V559:AG559,1,MATCH(Parametres!$B$3,V$1:AG$1,0))*IF(OR(C559="L",C559="S",C559="I"),-1,1)</f>
        <v>87</v>
      </c>
      <c r="AY559" s="598" t="s">
        <v>337</v>
      </c>
      <c r="AZ559" s="598" t="str">
        <f>+VLOOKUP($AJ559,Data_Validation!$A:$E,5,0)</f>
        <v>Oui</v>
      </c>
    </row>
    <row r="560" spans="1:52" ht="15" customHeight="1">
      <c r="A560" s="832" t="s">
        <v>1150</v>
      </c>
      <c r="B560" s="832">
        <v>2025</v>
      </c>
      <c r="C560" s="832" t="s">
        <v>2260</v>
      </c>
      <c r="D560" s="832" t="s">
        <v>2261</v>
      </c>
      <c r="E560" s="832" t="s">
        <v>2222</v>
      </c>
      <c r="F560" s="832" t="s">
        <v>2222</v>
      </c>
      <c r="G560" s="832">
        <v>386265.71</v>
      </c>
      <c r="H560" s="832">
        <v>386265.71</v>
      </c>
      <c r="I560" s="832">
        <v>386265.71</v>
      </c>
      <c r="J560" s="832">
        <v>484996.71</v>
      </c>
      <c r="K560" s="832">
        <v>1107950.57</v>
      </c>
      <c r="L560" s="832">
        <v>1462772.16</v>
      </c>
      <c r="M560" s="832">
        <v>2351244.8199999998</v>
      </c>
      <c r="N560" s="832">
        <v>3002403.22</v>
      </c>
      <c r="O560" s="832">
        <v>3826037.53</v>
      </c>
      <c r="P560" s="832">
        <v>4504132.21</v>
      </c>
      <c r="Q560" s="832">
        <v>5041063.47</v>
      </c>
      <c r="R560" s="832">
        <v>5424722.0300000003</v>
      </c>
      <c r="S560" s="832">
        <v>458278.5</v>
      </c>
      <c r="T560" s="832">
        <v>458278.5</v>
      </c>
      <c r="U560" s="832">
        <v>0</v>
      </c>
      <c r="V560" s="832">
        <v>8</v>
      </c>
      <c r="W560" s="832">
        <v>8</v>
      </c>
      <c r="X560" s="832">
        <v>8</v>
      </c>
      <c r="Y560" s="832">
        <v>10</v>
      </c>
      <c r="Z560" s="832">
        <v>22</v>
      </c>
      <c r="AA560" s="832">
        <v>29</v>
      </c>
      <c r="AB560" s="832">
        <v>47</v>
      </c>
      <c r="AC560" s="832">
        <v>61</v>
      </c>
      <c r="AD560" s="832">
        <v>78</v>
      </c>
      <c r="AE560" s="832">
        <v>92</v>
      </c>
      <c r="AF560" s="832">
        <v>103</v>
      </c>
      <c r="AG560" s="832">
        <v>111</v>
      </c>
      <c r="AH560" s="832">
        <v>9</v>
      </c>
      <c r="AI560" s="832">
        <v>9</v>
      </c>
      <c r="AJ560" s="1030" t="str">
        <f t="shared" si="54"/>
        <v>H30901</v>
      </c>
      <c r="AK560" s="1030" t="str">
        <f t="shared" si="55"/>
        <v>VTE KONA EV</v>
      </c>
      <c r="AL560" s="1030">
        <f>IFERROR(INDEX(G560:R560,1,MATCH(Parametres!$B$3,G$1:R$1,0)-1)*IF(OR(F560="L",F560="S",F560="I"),-1,1),"")</f>
        <v>-484996.71</v>
      </c>
      <c r="AM560" s="1030">
        <f t="shared" si="50"/>
        <v>-622953.8600000001</v>
      </c>
      <c r="AN560" s="1030">
        <f>INDEX(G560:R560,1,MATCH(Parametres!$B$3,G$1:R$1,0))*IF(OR(F560="L",F560="S",F560="I"),-1,1)</f>
        <v>-1107950.57</v>
      </c>
      <c r="AO560" s="598" t="str">
        <f>+VLOOKUP($AJ560,Data_Validation!$A:$D,1,0)</f>
        <v>H30901</v>
      </c>
      <c r="AP560" s="598" t="str">
        <f>+VLOOKUP($AJ560,Data_Validation!$A:$D,3,0)</f>
        <v>Véhicules neufs</v>
      </c>
      <c r="AQ560" s="598" t="str">
        <f>+VLOOKUP($AJ560,Data_Validation!$A:$D,4,0)</f>
        <v>Voitures electriques</v>
      </c>
      <c r="AR560" s="598" t="s">
        <v>299</v>
      </c>
      <c r="AS560" s="598" t="str">
        <f>+VLOOKUP($AJ560,Data_Validation!$A:$E,5,0)</f>
        <v>Oui</v>
      </c>
      <c r="AT560" s="1036" t="str">
        <f t="shared" si="51"/>
        <v>H30901</v>
      </c>
      <c r="AU560" s="599" t="str">
        <f t="shared" si="52"/>
        <v>VTE KONA EV</v>
      </c>
      <c r="AV560" s="1030">
        <f>IFERROR(INDEX(V560:AG560,1,MATCH(Parametres!$B$3,V$1:AG$1,0)-1)*IF(OR(C560="L",C560="S",C560="I"),-1,1),"")</f>
        <v>10</v>
      </c>
      <c r="AW560" s="1030">
        <f t="shared" si="53"/>
        <v>12</v>
      </c>
      <c r="AX560" s="1030">
        <f>INDEX(V560:AG560,1,MATCH(Parametres!$B$3,V$1:AG$1,0))*IF(OR(C560="L",C560="S",C560="I"),-1,1)</f>
        <v>22</v>
      </c>
      <c r="AY560" s="598" t="s">
        <v>337</v>
      </c>
      <c r="AZ560" s="598" t="str">
        <f>+VLOOKUP($AJ560,Data_Validation!$A:$E,5,0)</f>
        <v>Oui</v>
      </c>
    </row>
    <row r="561" spans="1:52" ht="15" customHeight="1">
      <c r="A561" s="832" t="s">
        <v>1150</v>
      </c>
      <c r="B561" s="832">
        <v>2025</v>
      </c>
      <c r="C561" s="832" t="s">
        <v>2262</v>
      </c>
      <c r="D561" s="832" t="s">
        <v>2263</v>
      </c>
      <c r="E561" s="832" t="s">
        <v>2222</v>
      </c>
      <c r="F561" s="832" t="s">
        <v>2222</v>
      </c>
      <c r="G561" s="832">
        <v>0</v>
      </c>
      <c r="H561" s="832">
        <v>0</v>
      </c>
      <c r="I561" s="832">
        <v>38132.949999999997</v>
      </c>
      <c r="J561" s="832">
        <v>74763.179999999993</v>
      </c>
      <c r="K561" s="832">
        <v>113896.05</v>
      </c>
      <c r="L561" s="832">
        <v>187722.05</v>
      </c>
      <c r="M561" s="832">
        <v>187722.05</v>
      </c>
      <c r="N561" s="832">
        <v>226386.45</v>
      </c>
      <c r="O561" s="832">
        <v>226386.45</v>
      </c>
      <c r="P561" s="832">
        <v>303732.45</v>
      </c>
      <c r="Q561" s="832">
        <v>343657.18</v>
      </c>
      <c r="R561" s="832">
        <v>343657.18</v>
      </c>
      <c r="S561" s="832">
        <v>31241.56</v>
      </c>
      <c r="T561" s="832">
        <v>31241.56</v>
      </c>
      <c r="U561" s="832">
        <v>0</v>
      </c>
      <c r="V561" s="832">
        <v>0</v>
      </c>
      <c r="W561" s="832">
        <v>0</v>
      </c>
      <c r="X561" s="832">
        <v>1</v>
      </c>
      <c r="Y561" s="832">
        <v>2</v>
      </c>
      <c r="Z561" s="832">
        <v>3</v>
      </c>
      <c r="AA561" s="832">
        <v>5</v>
      </c>
      <c r="AB561" s="832">
        <v>5</v>
      </c>
      <c r="AC561" s="832">
        <v>6</v>
      </c>
      <c r="AD561" s="832">
        <v>6</v>
      </c>
      <c r="AE561" s="832">
        <v>8</v>
      </c>
      <c r="AF561" s="832">
        <v>9</v>
      </c>
      <c r="AG561" s="832">
        <v>9</v>
      </c>
      <c r="AH561" s="832">
        <v>1</v>
      </c>
      <c r="AI561" s="832">
        <v>1</v>
      </c>
      <c r="AJ561" s="1030" t="str">
        <f t="shared" si="54"/>
        <v>H31000</v>
      </c>
      <c r="AK561" s="1030" t="str">
        <f t="shared" si="55"/>
        <v>VTE SONATA</v>
      </c>
      <c r="AL561" s="1030">
        <f>IFERROR(INDEX(G561:R561,1,MATCH(Parametres!$B$3,G$1:R$1,0)-1)*IF(OR(F561="L",F561="S",F561="I"),-1,1),"")</f>
        <v>-74763.179999999993</v>
      </c>
      <c r="AM561" s="1030">
        <f t="shared" si="50"/>
        <v>-39132.87000000001</v>
      </c>
      <c r="AN561" s="1030">
        <f>INDEX(G561:R561,1,MATCH(Parametres!$B$3,G$1:R$1,0))*IF(OR(F561="L",F561="S",F561="I"),-1,1)</f>
        <v>-113896.05</v>
      </c>
      <c r="AO561" s="598" t="str">
        <f>+VLOOKUP($AJ561,Data_Validation!$A:$D,1,0)</f>
        <v>H31000</v>
      </c>
      <c r="AP561" s="598" t="str">
        <f>+VLOOKUP($AJ561,Data_Validation!$A:$D,3,0)</f>
        <v>Véhicules neufs</v>
      </c>
      <c r="AQ561" s="598" t="str">
        <f>+VLOOKUP($AJ561,Data_Validation!$A:$D,4,0)</f>
        <v>Autos détail</v>
      </c>
      <c r="AR561" s="598" t="s">
        <v>299</v>
      </c>
      <c r="AS561" s="598" t="str">
        <f>+VLOOKUP($AJ561,Data_Validation!$A:$E,5,0)</f>
        <v>Oui</v>
      </c>
      <c r="AT561" s="1036" t="str">
        <f t="shared" si="51"/>
        <v>H31000</v>
      </c>
      <c r="AU561" s="599" t="str">
        <f t="shared" si="52"/>
        <v>VTE SONATA</v>
      </c>
      <c r="AV561" s="1030">
        <f>IFERROR(INDEX(V561:AG561,1,MATCH(Parametres!$B$3,V$1:AG$1,0)-1)*IF(OR(C561="L",C561="S",C561="I"),-1,1),"")</f>
        <v>2</v>
      </c>
      <c r="AW561" s="1030">
        <f t="shared" si="53"/>
        <v>1</v>
      </c>
      <c r="AX561" s="1030">
        <f>INDEX(V561:AG561,1,MATCH(Parametres!$B$3,V$1:AG$1,0))*IF(OR(C561="L",C561="S",C561="I"),-1,1)</f>
        <v>3</v>
      </c>
      <c r="AY561" s="598" t="s">
        <v>337</v>
      </c>
      <c r="AZ561" s="598" t="str">
        <f>+VLOOKUP($AJ561,Data_Validation!$A:$E,5,0)</f>
        <v>Oui</v>
      </c>
    </row>
    <row r="562" spans="1:52" ht="15" customHeight="1">
      <c r="A562" s="832" t="s">
        <v>1150</v>
      </c>
      <c r="B562" s="832">
        <v>2025</v>
      </c>
      <c r="C562" s="832" t="s">
        <v>2264</v>
      </c>
      <c r="D562" s="832" t="s">
        <v>2265</v>
      </c>
      <c r="E562" s="832" t="s">
        <v>2222</v>
      </c>
      <c r="F562" s="832" t="s">
        <v>2222</v>
      </c>
      <c r="G562" s="832">
        <v>0</v>
      </c>
      <c r="H562" s="832">
        <v>0</v>
      </c>
      <c r="I562" s="832">
        <v>0</v>
      </c>
      <c r="J562" s="832">
        <v>0</v>
      </c>
      <c r="K562" s="832">
        <v>0</v>
      </c>
      <c r="L562" s="832">
        <v>0</v>
      </c>
      <c r="M562" s="832">
        <v>0</v>
      </c>
      <c r="N562" s="832">
        <v>0</v>
      </c>
      <c r="O562" s="832">
        <v>0</v>
      </c>
      <c r="P562" s="832">
        <v>0</v>
      </c>
      <c r="Q562" s="832">
        <v>0</v>
      </c>
      <c r="R562" s="832">
        <v>0</v>
      </c>
      <c r="S562" s="832">
        <v>0</v>
      </c>
      <c r="T562" s="832">
        <v>0</v>
      </c>
      <c r="U562" s="832">
        <v>0</v>
      </c>
      <c r="V562" s="832">
        <v>0</v>
      </c>
      <c r="W562" s="832">
        <v>0</v>
      </c>
      <c r="X562" s="832">
        <v>0</v>
      </c>
      <c r="Y562" s="832">
        <v>0</v>
      </c>
      <c r="Z562" s="832">
        <v>0</v>
      </c>
      <c r="AA562" s="832">
        <v>0</v>
      </c>
      <c r="AB562" s="832">
        <v>0</v>
      </c>
      <c r="AC562" s="832">
        <v>0</v>
      </c>
      <c r="AD562" s="832">
        <v>0</v>
      </c>
      <c r="AE562" s="832">
        <v>0</v>
      </c>
      <c r="AF562" s="832">
        <v>0</v>
      </c>
      <c r="AG562" s="832">
        <v>0</v>
      </c>
      <c r="AH562" s="832">
        <v>0</v>
      </c>
      <c r="AI562" s="832">
        <v>0</v>
      </c>
      <c r="AJ562" s="1030" t="str">
        <f t="shared" si="54"/>
        <v>H31100</v>
      </c>
      <c r="AK562" s="1030" t="str">
        <f t="shared" si="55"/>
        <v>VTE EQUUS</v>
      </c>
      <c r="AL562" s="1030">
        <f>IFERROR(INDEX(G562:R562,1,MATCH(Parametres!$B$3,G$1:R$1,0)-1)*IF(OR(F562="L",F562="S",F562="I"),-1,1),"")</f>
        <v>0</v>
      </c>
      <c r="AM562" s="1030">
        <f t="shared" si="50"/>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t="str">
        <f t="shared" si="51"/>
        <v>H31100</v>
      </c>
      <c r="AU562" s="599" t="str">
        <f t="shared" si="52"/>
        <v>VTE EQUUS</v>
      </c>
      <c r="AV562" s="1030">
        <f>IFERROR(INDEX(V562:AG562,1,MATCH(Parametres!$B$3,V$1:AG$1,0)-1)*IF(OR(C562="L",C562="S",C562="I"),-1,1),"")</f>
        <v>0</v>
      </c>
      <c r="AW562" s="1030">
        <f t="shared" si="53"/>
        <v>0</v>
      </c>
      <c r="AX562" s="1030">
        <f>INDEX(V562:AG562,1,MATCH(Parametres!$B$3,V$1:AG$1,0))*IF(OR(C562="L",C562="S",C562="I"),-1,1)</f>
        <v>0</v>
      </c>
      <c r="AY562" s="598" t="s">
        <v>337</v>
      </c>
      <c r="AZ562" s="598" t="e">
        <f>+VLOOKUP($AJ562,Data_Validation!$A:$E,5,0)</f>
        <v>#N/A</v>
      </c>
    </row>
    <row r="563" spans="1:52" ht="15" customHeight="1">
      <c r="A563" s="832" t="s">
        <v>1150</v>
      </c>
      <c r="B563" s="832">
        <v>2025</v>
      </c>
      <c r="C563" s="832" t="s">
        <v>2266</v>
      </c>
      <c r="D563" s="832" t="s">
        <v>2267</v>
      </c>
      <c r="E563" s="832" t="s">
        <v>2222</v>
      </c>
      <c r="F563" s="832" t="s">
        <v>2222</v>
      </c>
      <c r="G563" s="832">
        <v>0</v>
      </c>
      <c r="H563" s="832">
        <v>0</v>
      </c>
      <c r="I563" s="832">
        <v>0</v>
      </c>
      <c r="J563" s="832">
        <v>0</v>
      </c>
      <c r="K563" s="832">
        <v>0</v>
      </c>
      <c r="L563" s="832">
        <v>0</v>
      </c>
      <c r="M563" s="832">
        <v>0</v>
      </c>
      <c r="N563" s="832">
        <v>0</v>
      </c>
      <c r="O563" s="832">
        <v>0</v>
      </c>
      <c r="P563" s="832">
        <v>0</v>
      </c>
      <c r="Q563" s="832">
        <v>0</v>
      </c>
      <c r="R563" s="832">
        <v>0</v>
      </c>
      <c r="S563" s="832">
        <v>0</v>
      </c>
      <c r="T563" s="832">
        <v>0</v>
      </c>
      <c r="U563" s="832">
        <v>0</v>
      </c>
      <c r="V563" s="832">
        <v>0</v>
      </c>
      <c r="W563" s="832">
        <v>0</v>
      </c>
      <c r="X563" s="832">
        <v>0</v>
      </c>
      <c r="Y563" s="832">
        <v>0</v>
      </c>
      <c r="Z563" s="832">
        <v>0</v>
      </c>
      <c r="AA563" s="832">
        <v>0</v>
      </c>
      <c r="AB563" s="832">
        <v>0</v>
      </c>
      <c r="AC563" s="832">
        <v>0</v>
      </c>
      <c r="AD563" s="832">
        <v>0</v>
      </c>
      <c r="AE563" s="832">
        <v>0</v>
      </c>
      <c r="AF563" s="832">
        <v>0</v>
      </c>
      <c r="AG563" s="832">
        <v>0</v>
      </c>
      <c r="AH563" s="832">
        <v>0</v>
      </c>
      <c r="AI563" s="832">
        <v>0</v>
      </c>
      <c r="AJ563" s="1030" t="str">
        <f t="shared" si="54"/>
        <v>H31200</v>
      </c>
      <c r="AK563" s="1030" t="str">
        <f t="shared" si="55"/>
        <v>VTE VELOSTER</v>
      </c>
      <c r="AL563" s="1030">
        <f>IFERROR(INDEX(G563:R563,1,MATCH(Parametres!$B$3,G$1:R$1,0)-1)*IF(OR(F563="L",F563="S",F563="I"),-1,1),"")</f>
        <v>0</v>
      </c>
      <c r="AM563" s="1030">
        <f t="shared" si="50"/>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t="str">
        <f t="shared" si="51"/>
        <v>H31200</v>
      </c>
      <c r="AU563" s="599" t="str">
        <f t="shared" si="52"/>
        <v>VTE VELOSTER</v>
      </c>
      <c r="AV563" s="1030">
        <f>IFERROR(INDEX(V563:AG563,1,MATCH(Parametres!$B$3,V$1:AG$1,0)-1)*IF(OR(C563="L",C563="S",C563="I"),-1,1),"")</f>
        <v>0</v>
      </c>
      <c r="AW563" s="1030">
        <f t="shared" si="53"/>
        <v>0</v>
      </c>
      <c r="AX563" s="1030">
        <f>INDEX(V563:AG563,1,MATCH(Parametres!$B$3,V$1:AG$1,0))*IF(OR(C563="L",C563="S",C563="I"),-1,1)</f>
        <v>0</v>
      </c>
      <c r="AY563" s="598" t="s">
        <v>337</v>
      </c>
      <c r="AZ563" s="598" t="e">
        <f>+VLOOKUP($AJ563,Data_Validation!$A:$E,5,0)</f>
        <v>#N/A</v>
      </c>
    </row>
    <row r="564" spans="1:52" ht="15" customHeight="1">
      <c r="A564" s="832" t="s">
        <v>1150</v>
      </c>
      <c r="B564" s="832">
        <v>2025</v>
      </c>
      <c r="C564" s="832" t="s">
        <v>2268</v>
      </c>
      <c r="D564" s="832" t="s">
        <v>2269</v>
      </c>
      <c r="E564" s="832" t="s">
        <v>2222</v>
      </c>
      <c r="F564" s="832" t="s">
        <v>2222</v>
      </c>
      <c r="G564" s="832">
        <v>200240.38</v>
      </c>
      <c r="H564" s="832">
        <v>440762.14</v>
      </c>
      <c r="I564" s="832">
        <v>803461.5</v>
      </c>
      <c r="J564" s="832">
        <v>1289091.05</v>
      </c>
      <c r="K564" s="832">
        <v>1705965.11</v>
      </c>
      <c r="L564" s="832">
        <v>1789527.62</v>
      </c>
      <c r="M564" s="832">
        <v>2298356.7200000002</v>
      </c>
      <c r="N564" s="832">
        <v>2706206.15</v>
      </c>
      <c r="O564" s="832">
        <v>3027146.87</v>
      </c>
      <c r="P564" s="832">
        <v>3546169.75</v>
      </c>
      <c r="Q564" s="832">
        <v>3962747.29</v>
      </c>
      <c r="R564" s="832">
        <v>4375101.2300000004</v>
      </c>
      <c r="S564" s="832">
        <v>360249.75</v>
      </c>
      <c r="T564" s="832">
        <v>360249.75</v>
      </c>
      <c r="U564" s="832">
        <v>0</v>
      </c>
      <c r="V564" s="832">
        <v>5</v>
      </c>
      <c r="W564" s="832">
        <v>11</v>
      </c>
      <c r="X564" s="832">
        <v>20</v>
      </c>
      <c r="Y564" s="832">
        <v>32</v>
      </c>
      <c r="Z564" s="832">
        <v>42</v>
      </c>
      <c r="AA564" s="832">
        <v>44</v>
      </c>
      <c r="AB564" s="832">
        <v>57</v>
      </c>
      <c r="AC564" s="832">
        <v>67</v>
      </c>
      <c r="AD564" s="832">
        <v>75</v>
      </c>
      <c r="AE564" s="832">
        <v>88</v>
      </c>
      <c r="AF564" s="832">
        <v>98</v>
      </c>
      <c r="AG564" s="832">
        <v>108</v>
      </c>
      <c r="AH564" s="832">
        <v>9</v>
      </c>
      <c r="AI564" s="832">
        <v>9</v>
      </c>
      <c r="AJ564" s="1030" t="str">
        <f t="shared" si="54"/>
        <v>H31300</v>
      </c>
      <c r="AK564" s="1030" t="str">
        <f t="shared" si="55"/>
        <v>VTE TUCSON</v>
      </c>
      <c r="AL564" s="1030">
        <f>IFERROR(INDEX(G564:R564,1,MATCH(Parametres!$B$3,G$1:R$1,0)-1)*IF(OR(F564="L",F564="S",F564="I"),-1,1),"")</f>
        <v>-1289091.05</v>
      </c>
      <c r="AM564" s="1030">
        <f t="shared" si="50"/>
        <v>-416874.06000000006</v>
      </c>
      <c r="AN564" s="1030">
        <f>INDEX(G564:R564,1,MATCH(Parametres!$B$3,G$1:R$1,0))*IF(OR(F564="L",F564="S",F564="I"),-1,1)</f>
        <v>-1705965.11</v>
      </c>
      <c r="AO564" s="598" t="str">
        <f>+VLOOKUP($AJ564,Data_Validation!$A:$D,1,0)</f>
        <v>H31300</v>
      </c>
      <c r="AP564" s="598" t="str">
        <f>+VLOOKUP($AJ564,Data_Validation!$A:$D,3,0)</f>
        <v>Véhicules neufs</v>
      </c>
      <c r="AQ564" s="598" t="str">
        <f>+VLOOKUP($AJ564,Data_Validation!$A:$D,4,0)</f>
        <v>Camions détail</v>
      </c>
      <c r="AR564" s="598" t="s">
        <v>299</v>
      </c>
      <c r="AS564" s="598" t="str">
        <f>+VLOOKUP($AJ564,Data_Validation!$A:$E,5,0)</f>
        <v>Oui</v>
      </c>
      <c r="AT564" s="1036" t="str">
        <f t="shared" si="51"/>
        <v>H31300</v>
      </c>
      <c r="AU564" s="599" t="str">
        <f t="shared" si="52"/>
        <v>VTE TUCSON</v>
      </c>
      <c r="AV564" s="1030">
        <f>IFERROR(INDEX(V564:AG564,1,MATCH(Parametres!$B$3,V$1:AG$1,0)-1)*IF(OR(C564="L",C564="S",C564="I"),-1,1),"")</f>
        <v>32</v>
      </c>
      <c r="AW564" s="1030">
        <f t="shared" si="53"/>
        <v>10</v>
      </c>
      <c r="AX564" s="1030">
        <f>INDEX(V564:AG564,1,MATCH(Parametres!$B$3,V$1:AG$1,0))*IF(OR(C564="L",C564="S",C564="I"),-1,1)</f>
        <v>42</v>
      </c>
      <c r="AY564" s="598" t="s">
        <v>337</v>
      </c>
      <c r="AZ564" s="598" t="str">
        <f>+VLOOKUP($AJ564,Data_Validation!$A:$E,5,0)</f>
        <v>Oui</v>
      </c>
    </row>
    <row r="565" spans="1:52" ht="15" customHeight="1">
      <c r="A565" s="832" t="s">
        <v>1150</v>
      </c>
      <c r="B565" s="832">
        <v>2025</v>
      </c>
      <c r="C565" s="832" t="s">
        <v>2270</v>
      </c>
      <c r="D565" s="832" t="s">
        <v>2271</v>
      </c>
      <c r="E565" s="832" t="s">
        <v>2222</v>
      </c>
      <c r="F565" s="832" t="s">
        <v>2222</v>
      </c>
      <c r="G565" s="832">
        <v>380407.41</v>
      </c>
      <c r="H565" s="832">
        <v>520776.04</v>
      </c>
      <c r="I565" s="832">
        <v>888292.5</v>
      </c>
      <c r="J565" s="832">
        <v>1413554.96</v>
      </c>
      <c r="K565" s="832">
        <v>1889444.67</v>
      </c>
      <c r="L565" s="832">
        <v>1889444.67</v>
      </c>
      <c r="M565" s="832">
        <v>1937644.59</v>
      </c>
      <c r="N565" s="832">
        <v>1937644.59</v>
      </c>
      <c r="O565" s="832">
        <v>1937644.59</v>
      </c>
      <c r="P565" s="832">
        <v>2027617.63</v>
      </c>
      <c r="Q565" s="832">
        <v>2311022.87</v>
      </c>
      <c r="R565" s="832">
        <v>2411463.6800000002</v>
      </c>
      <c r="S565" s="832">
        <v>210092.99</v>
      </c>
      <c r="T565" s="832">
        <v>210092.99</v>
      </c>
      <c r="U565" s="832">
        <v>0</v>
      </c>
      <c r="V565" s="832">
        <v>8</v>
      </c>
      <c r="W565" s="832">
        <v>11</v>
      </c>
      <c r="X565" s="832">
        <v>19</v>
      </c>
      <c r="Y565" s="832">
        <v>30</v>
      </c>
      <c r="Z565" s="832">
        <v>40</v>
      </c>
      <c r="AA565" s="832">
        <v>40</v>
      </c>
      <c r="AB565" s="832">
        <v>41</v>
      </c>
      <c r="AC565" s="832">
        <v>41</v>
      </c>
      <c r="AD565" s="832">
        <v>41</v>
      </c>
      <c r="AE565" s="832">
        <v>43</v>
      </c>
      <c r="AF565" s="832">
        <v>49</v>
      </c>
      <c r="AG565" s="832">
        <v>51</v>
      </c>
      <c r="AH565" s="832">
        <v>4</v>
      </c>
      <c r="AI565" s="832">
        <v>4</v>
      </c>
      <c r="AJ565" s="1030" t="str">
        <f t="shared" si="54"/>
        <v>H31301</v>
      </c>
      <c r="AK565" s="1030" t="str">
        <f t="shared" si="55"/>
        <v>VTE TUCSON HYBRIDE</v>
      </c>
      <c r="AL565" s="1030">
        <f>IFERROR(INDEX(G565:R565,1,MATCH(Parametres!$B$3,G$1:R$1,0)-1)*IF(OR(F565="L",F565="S",F565="I"),-1,1),"")</f>
        <v>-1413554.96</v>
      </c>
      <c r="AM565" s="1030">
        <f t="shared" si="50"/>
        <v>-475889.70999999996</v>
      </c>
      <c r="AN565" s="1030">
        <f>INDEX(G565:R565,1,MATCH(Parametres!$B$3,G$1:R$1,0))*IF(OR(F565="L",F565="S",F565="I"),-1,1)</f>
        <v>-1889444.67</v>
      </c>
      <c r="AO565" s="598" t="str">
        <f>+VLOOKUP($AJ565,Data_Validation!$A:$D,1,0)</f>
        <v>H31301</v>
      </c>
      <c r="AP565" s="598" t="str">
        <f>+VLOOKUP($AJ565,Data_Validation!$A:$D,3,0)</f>
        <v>Véhicules neufs</v>
      </c>
      <c r="AQ565" s="598" t="str">
        <f>+VLOOKUP($AJ565,Data_Validation!$A:$D,4,0)</f>
        <v>Camions détail</v>
      </c>
      <c r="AR565" s="598" t="s">
        <v>299</v>
      </c>
      <c r="AS565" s="598" t="str">
        <f>+VLOOKUP($AJ565,Data_Validation!$A:$E,5,0)</f>
        <v>Oui</v>
      </c>
      <c r="AT565" s="1036" t="str">
        <f t="shared" si="51"/>
        <v>H31301</v>
      </c>
      <c r="AU565" s="599" t="str">
        <f t="shared" si="52"/>
        <v>VTE TUCSON HYBRIDE</v>
      </c>
      <c r="AV565" s="1030">
        <f>IFERROR(INDEX(V565:AG565,1,MATCH(Parametres!$B$3,V$1:AG$1,0)-1)*IF(OR(C565="L",C565="S",C565="I"),-1,1),"")</f>
        <v>30</v>
      </c>
      <c r="AW565" s="1030">
        <f t="shared" si="53"/>
        <v>10</v>
      </c>
      <c r="AX565" s="1030">
        <f>INDEX(V565:AG565,1,MATCH(Parametres!$B$3,V$1:AG$1,0))*IF(OR(C565="L",C565="S",C565="I"),-1,1)</f>
        <v>40</v>
      </c>
      <c r="AY565" s="598" t="s">
        <v>337</v>
      </c>
      <c r="AZ565" s="598" t="str">
        <f>+VLOOKUP($AJ565,Data_Validation!$A:$E,5,0)</f>
        <v>Oui</v>
      </c>
    </row>
    <row r="566" spans="1:52" ht="15" customHeight="1">
      <c r="A566" s="832" t="s">
        <v>1150</v>
      </c>
      <c r="B566" s="832">
        <v>2025</v>
      </c>
      <c r="C566" s="832" t="s">
        <v>2272</v>
      </c>
      <c r="D566" s="832" t="s">
        <v>2273</v>
      </c>
      <c r="E566" s="832" t="s">
        <v>2222</v>
      </c>
      <c r="F566" s="832" t="s">
        <v>2222</v>
      </c>
      <c r="G566" s="832">
        <v>169496.85</v>
      </c>
      <c r="H566" s="832">
        <v>215744.85</v>
      </c>
      <c r="I566" s="832">
        <v>274005.83</v>
      </c>
      <c r="J566" s="832">
        <v>386161.83</v>
      </c>
      <c r="K566" s="832">
        <v>542517.82999999996</v>
      </c>
      <c r="L566" s="832">
        <v>935489.69</v>
      </c>
      <c r="M566" s="832">
        <v>1467952.74</v>
      </c>
      <c r="N566" s="832">
        <v>1803047.26</v>
      </c>
      <c r="O566" s="832">
        <v>2040067.87</v>
      </c>
      <c r="P566" s="832">
        <v>2040067.87</v>
      </c>
      <c r="Q566" s="832">
        <v>2147629.52</v>
      </c>
      <c r="R566" s="832">
        <v>2311559.62</v>
      </c>
      <c r="S566" s="832">
        <v>195239.05</v>
      </c>
      <c r="T566" s="832">
        <v>195239.05</v>
      </c>
      <c r="U566" s="832">
        <v>0</v>
      </c>
      <c r="V566" s="832">
        <v>3</v>
      </c>
      <c r="W566" s="832">
        <v>4</v>
      </c>
      <c r="X566" s="832">
        <v>5</v>
      </c>
      <c r="Y566" s="832">
        <v>7</v>
      </c>
      <c r="Z566" s="832">
        <v>10</v>
      </c>
      <c r="AA566" s="832">
        <v>18</v>
      </c>
      <c r="AB566" s="832">
        <v>29</v>
      </c>
      <c r="AC566" s="832">
        <v>36</v>
      </c>
      <c r="AD566" s="832">
        <v>41</v>
      </c>
      <c r="AE566" s="832">
        <v>41</v>
      </c>
      <c r="AF566" s="832">
        <v>43</v>
      </c>
      <c r="AG566" s="832">
        <v>46</v>
      </c>
      <c r="AH566" s="832">
        <v>4</v>
      </c>
      <c r="AI566" s="832">
        <v>4</v>
      </c>
      <c r="AJ566" s="1030" t="str">
        <f t="shared" si="54"/>
        <v>H31302</v>
      </c>
      <c r="AK566" s="1030" t="str">
        <f t="shared" si="55"/>
        <v>VTE TUCSON PHEV</v>
      </c>
      <c r="AL566" s="1030">
        <f>IFERROR(INDEX(G566:R566,1,MATCH(Parametres!$B$3,G$1:R$1,0)-1)*IF(OR(F566="L",F566="S",F566="I"),-1,1),"")</f>
        <v>-386161.83</v>
      </c>
      <c r="AM566" s="1030">
        <f t="shared" si="50"/>
        <v>-156355.99999999994</v>
      </c>
      <c r="AN566" s="1030">
        <f>INDEX(G566:R566,1,MATCH(Parametres!$B$3,G$1:R$1,0))*IF(OR(F566="L",F566="S",F566="I"),-1,1)</f>
        <v>-542517.82999999996</v>
      </c>
      <c r="AO566" s="598" t="str">
        <f>+VLOOKUP($AJ566,Data_Validation!$A:$D,1,0)</f>
        <v>H31302</v>
      </c>
      <c r="AP566" s="598" t="str">
        <f>+VLOOKUP($AJ566,Data_Validation!$A:$D,3,0)</f>
        <v>Véhicules neufs</v>
      </c>
      <c r="AQ566" s="598" t="str">
        <f>+VLOOKUP($AJ566,Data_Validation!$A:$D,4,0)</f>
        <v>Voitures electriques</v>
      </c>
      <c r="AR566" s="598" t="s">
        <v>299</v>
      </c>
      <c r="AS566" s="598" t="str">
        <f>+VLOOKUP($AJ566,Data_Validation!$A:$E,5,0)</f>
        <v>Oui</v>
      </c>
      <c r="AT566" s="1036" t="str">
        <f t="shared" si="51"/>
        <v>H31302</v>
      </c>
      <c r="AU566" s="599" t="str">
        <f t="shared" si="52"/>
        <v>VTE TUCSON PHEV</v>
      </c>
      <c r="AV566" s="1030">
        <f>IFERROR(INDEX(V566:AG566,1,MATCH(Parametres!$B$3,V$1:AG$1,0)-1)*IF(OR(C566="L",C566="S",C566="I"),-1,1),"")</f>
        <v>7</v>
      </c>
      <c r="AW566" s="1030">
        <f t="shared" si="53"/>
        <v>3</v>
      </c>
      <c r="AX566" s="1030">
        <f>INDEX(V566:AG566,1,MATCH(Parametres!$B$3,V$1:AG$1,0))*IF(OR(C566="L",C566="S",C566="I"),-1,1)</f>
        <v>10</v>
      </c>
      <c r="AY566" s="598" t="s">
        <v>337</v>
      </c>
      <c r="AZ566" s="598" t="str">
        <f>+VLOOKUP($AJ566,Data_Validation!$A:$E,5,0)</f>
        <v>Oui</v>
      </c>
    </row>
    <row r="567" spans="1:52" ht="15" customHeight="1">
      <c r="A567" s="832" t="s">
        <v>1150</v>
      </c>
      <c r="B567" s="832">
        <v>2025</v>
      </c>
      <c r="C567" s="832" t="s">
        <v>2274</v>
      </c>
      <c r="D567" s="832" t="s">
        <v>2275</v>
      </c>
      <c r="E567" s="832" t="s">
        <v>333</v>
      </c>
      <c r="F567" s="832" t="s">
        <v>2222</v>
      </c>
      <c r="G567" s="832">
        <v>0</v>
      </c>
      <c r="H567" s="832">
        <v>0</v>
      </c>
      <c r="I567" s="832">
        <v>0</v>
      </c>
      <c r="J567" s="832">
        <v>0</v>
      </c>
      <c r="K567" s="832">
        <v>0</v>
      </c>
      <c r="L567" s="832">
        <v>0</v>
      </c>
      <c r="M567" s="832">
        <v>0</v>
      </c>
      <c r="N567" s="832">
        <v>0</v>
      </c>
      <c r="O567" s="832">
        <v>0</v>
      </c>
      <c r="P567" s="832">
        <v>0</v>
      </c>
      <c r="Q567" s="832">
        <v>0</v>
      </c>
      <c r="R567" s="832">
        <v>0</v>
      </c>
      <c r="S567" s="832">
        <v>0</v>
      </c>
      <c r="T567" s="832">
        <v>0</v>
      </c>
      <c r="U567" s="832">
        <v>0</v>
      </c>
      <c r="V567" s="832">
        <v>0</v>
      </c>
      <c r="W567" s="832">
        <v>0</v>
      </c>
      <c r="X567" s="832">
        <v>0</v>
      </c>
      <c r="Y567" s="832">
        <v>0</v>
      </c>
      <c r="Z567" s="832">
        <v>0</v>
      </c>
      <c r="AA567" s="832">
        <v>0</v>
      </c>
      <c r="AB567" s="832">
        <v>0</v>
      </c>
      <c r="AC567" s="832">
        <v>0</v>
      </c>
      <c r="AD567" s="832">
        <v>0</v>
      </c>
      <c r="AE567" s="832">
        <v>0</v>
      </c>
      <c r="AF567" s="832">
        <v>0</v>
      </c>
      <c r="AG567" s="832">
        <v>0</v>
      </c>
      <c r="AH567" s="832">
        <v>0</v>
      </c>
      <c r="AI567" s="832">
        <v>0</v>
      </c>
      <c r="AJ567" s="1030" t="str">
        <f t="shared" si="54"/>
        <v>H31400</v>
      </c>
      <c r="AK567" s="1030" t="str">
        <f t="shared" si="55"/>
        <v>VTE ACCESSOIRES INSTALL.</v>
      </c>
      <c r="AL567" s="1030">
        <f>IFERROR(INDEX(G567:R567,1,MATCH(Parametres!$B$3,G$1:R$1,0)-1)*IF(OR(F567="L",F567="S",F567="I"),-1,1),"")</f>
        <v>0</v>
      </c>
      <c r="AM567" s="1030">
        <f t="shared" si="50"/>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t="str">
        <f t="shared" si="51"/>
        <v>H31400</v>
      </c>
      <c r="AU567" s="599" t="str">
        <f t="shared" si="52"/>
        <v>VTE ACCESSOIRES INSTALL.</v>
      </c>
      <c r="AV567" s="1030">
        <f>IFERROR(INDEX(V567:AG567,1,MATCH(Parametres!$B$3,V$1:AG$1,0)-1)*IF(OR(C567="L",C567="S",C567="I"),-1,1),"")</f>
        <v>0</v>
      </c>
      <c r="AW567" s="1030">
        <f t="shared" si="53"/>
        <v>0</v>
      </c>
      <c r="AX567" s="1030">
        <f>INDEX(V567:AG567,1,MATCH(Parametres!$B$3,V$1:AG$1,0))*IF(OR(C567="L",C567="S",C567="I"),-1,1)</f>
        <v>0</v>
      </c>
      <c r="AY567" s="598" t="s">
        <v>337</v>
      </c>
      <c r="AZ567" s="598" t="e">
        <f>+VLOOKUP($AJ567,Data_Validation!$A:$E,5,0)</f>
        <v>#N/A</v>
      </c>
    </row>
    <row r="568" spans="1:52" ht="15" customHeight="1">
      <c r="A568" s="832" t="s">
        <v>1150</v>
      </c>
      <c r="B568" s="832">
        <v>2025</v>
      </c>
      <c r="C568" s="832" t="s">
        <v>2276</v>
      </c>
      <c r="D568" s="832" t="s">
        <v>2277</v>
      </c>
      <c r="E568" s="832" t="s">
        <v>333</v>
      </c>
      <c r="F568" s="832" t="s">
        <v>2222</v>
      </c>
      <c r="G568" s="832">
        <v>129445</v>
      </c>
      <c r="H568" s="832">
        <v>179373</v>
      </c>
      <c r="I568" s="832">
        <v>247800</v>
      </c>
      <c r="J568" s="832">
        <v>436684</v>
      </c>
      <c r="K568" s="832">
        <v>558298</v>
      </c>
      <c r="L568" s="832">
        <v>650244</v>
      </c>
      <c r="M568" s="832">
        <v>739654</v>
      </c>
      <c r="N568" s="832">
        <v>839647</v>
      </c>
      <c r="O568" s="832">
        <v>911430</v>
      </c>
      <c r="P568" s="832">
        <v>1025090</v>
      </c>
      <c r="Q568" s="832">
        <v>1080028</v>
      </c>
      <c r="R568" s="832">
        <v>1131627</v>
      </c>
      <c r="S568" s="832">
        <v>98184.36</v>
      </c>
      <c r="T568" s="832">
        <v>98184.36</v>
      </c>
      <c r="U568" s="832">
        <v>0</v>
      </c>
      <c r="V568" s="832">
        <v>63</v>
      </c>
      <c r="W568" s="832">
        <v>85</v>
      </c>
      <c r="X568" s="832">
        <v>116</v>
      </c>
      <c r="Y568" s="832">
        <v>220</v>
      </c>
      <c r="Z568" s="832">
        <v>282</v>
      </c>
      <c r="AA568" s="832">
        <v>321</v>
      </c>
      <c r="AB568" s="832">
        <v>358</v>
      </c>
      <c r="AC568" s="832">
        <v>402</v>
      </c>
      <c r="AD568" s="832">
        <v>431</v>
      </c>
      <c r="AE568" s="832">
        <v>476</v>
      </c>
      <c r="AF568" s="832">
        <v>500</v>
      </c>
      <c r="AG568" s="832">
        <v>520</v>
      </c>
      <c r="AH568" s="832">
        <v>45</v>
      </c>
      <c r="AI568" s="832">
        <v>45</v>
      </c>
      <c r="AJ568" s="1030" t="str">
        <f t="shared" si="54"/>
        <v>H31500</v>
      </c>
      <c r="AK568" s="1030" t="str">
        <f t="shared" si="55"/>
        <v>VTE P.P.H.</v>
      </c>
      <c r="AL568" s="1030">
        <f>IFERROR(INDEX(G568:R568,1,MATCH(Parametres!$B$3,G$1:R$1,0)-1)*IF(OR(F568="L",F568="S",F568="I"),-1,1),"")</f>
        <v>-436684</v>
      </c>
      <c r="AM568" s="1030">
        <f t="shared" si="50"/>
        <v>-121614</v>
      </c>
      <c r="AN568" s="1030">
        <f>INDEX(G568:R568,1,MATCH(Parametres!$B$3,G$1:R$1,0))*IF(OR(F568="L",F568="S",F568="I"),-1,1)</f>
        <v>-558298</v>
      </c>
      <c r="AO568" s="598" t="str">
        <f>+VLOOKUP($AJ568,Data_Validation!$A:$D,1,0)</f>
        <v>H31500</v>
      </c>
      <c r="AP568" s="598" t="str">
        <f>+VLOOKUP($AJ568,Data_Validation!$A:$D,3,0)</f>
        <v>Véhicules neufs</v>
      </c>
      <c r="AQ568" s="598" t="str">
        <f>+VLOOKUP($AJ568,Data_Validation!$A:$D,4,0)</f>
        <v>Rev. Protections</v>
      </c>
      <c r="AR568" s="598" t="s">
        <v>299</v>
      </c>
      <c r="AS568" s="598" t="str">
        <f>+VLOOKUP($AJ568,Data_Validation!$A:$E,5,0)</f>
        <v>Oui</v>
      </c>
      <c r="AT568" s="1036" t="str">
        <f t="shared" si="51"/>
        <v>H31500</v>
      </c>
      <c r="AU568" s="599" t="str">
        <f t="shared" si="52"/>
        <v>VTE P.P.H.</v>
      </c>
      <c r="AV568" s="1030">
        <f>IFERROR(INDEX(V568:AG568,1,MATCH(Parametres!$B$3,V$1:AG$1,0)-1)*IF(OR(C568="L",C568="S",C568="I"),-1,1),"")</f>
        <v>220</v>
      </c>
      <c r="AW568" s="1030">
        <f t="shared" si="53"/>
        <v>62</v>
      </c>
      <c r="AX568" s="1030">
        <f>INDEX(V568:AG568,1,MATCH(Parametres!$B$3,V$1:AG$1,0))*IF(OR(C568="L",C568="S",C568="I"),-1,1)</f>
        <v>282</v>
      </c>
      <c r="AY568" s="598" t="s">
        <v>337</v>
      </c>
      <c r="AZ568" s="598" t="str">
        <f>+VLOOKUP($AJ568,Data_Validation!$A:$E,5,0)</f>
        <v>Oui</v>
      </c>
    </row>
    <row r="569" spans="1:52" ht="15" customHeight="1">
      <c r="A569" s="832" t="s">
        <v>1150</v>
      </c>
      <c r="B569" s="832">
        <v>2025</v>
      </c>
      <c r="C569" s="832" t="s">
        <v>2278</v>
      </c>
      <c r="D569" s="832" t="s">
        <v>2279</v>
      </c>
      <c r="E569" s="832" t="s">
        <v>333</v>
      </c>
      <c r="F569" s="832" t="s">
        <v>2222</v>
      </c>
      <c r="G569" s="832">
        <v>0</v>
      </c>
      <c r="H569" s="832">
        <v>0</v>
      </c>
      <c r="I569" s="832">
        <v>2188.08</v>
      </c>
      <c r="J569" s="832">
        <v>5130.8900000000003</v>
      </c>
      <c r="K569" s="832">
        <v>12927.77</v>
      </c>
      <c r="L569" s="832">
        <v>29498.26</v>
      </c>
      <c r="M569" s="832">
        <v>39892.51</v>
      </c>
      <c r="N569" s="832">
        <v>48242.23</v>
      </c>
      <c r="O569" s="832">
        <v>63911.07</v>
      </c>
      <c r="P569" s="832">
        <v>63911.07</v>
      </c>
      <c r="Q569" s="832">
        <v>63911.07</v>
      </c>
      <c r="R569" s="832">
        <v>63911.07</v>
      </c>
      <c r="S569" s="832">
        <v>5810.1</v>
      </c>
      <c r="T569" s="832">
        <v>5810.1</v>
      </c>
      <c r="U569" s="832">
        <v>0</v>
      </c>
      <c r="V569" s="832">
        <v>0</v>
      </c>
      <c r="W569" s="832">
        <v>0</v>
      </c>
      <c r="X569" s="832">
        <v>1</v>
      </c>
      <c r="Y569" s="832">
        <v>2</v>
      </c>
      <c r="Z569" s="832">
        <v>5</v>
      </c>
      <c r="AA569" s="832">
        <v>12</v>
      </c>
      <c r="AB569" s="832">
        <v>16</v>
      </c>
      <c r="AC569" s="832">
        <v>19</v>
      </c>
      <c r="AD569" s="832">
        <v>22</v>
      </c>
      <c r="AE569" s="832">
        <v>22</v>
      </c>
      <c r="AF569" s="832">
        <v>22</v>
      </c>
      <c r="AG569" s="832">
        <v>22</v>
      </c>
      <c r="AH569" s="832">
        <v>2</v>
      </c>
      <c r="AI569" s="832">
        <v>2</v>
      </c>
      <c r="AJ569" s="1030" t="str">
        <f t="shared" si="54"/>
        <v>H31600</v>
      </c>
      <c r="AK569" s="1030" t="str">
        <f t="shared" si="55"/>
        <v>VTE ASSURANCE</v>
      </c>
      <c r="AL569" s="1030">
        <f>IFERROR(INDEX(G569:R569,1,MATCH(Parametres!$B$3,G$1:R$1,0)-1)*IF(OR(F569="L",F569="S",F569="I"),-1,1),"")</f>
        <v>-5130.8900000000003</v>
      </c>
      <c r="AM569" s="1030">
        <f t="shared" si="50"/>
        <v>-7796.88</v>
      </c>
      <c r="AN569" s="1030">
        <f>INDEX(G569:R569,1,MATCH(Parametres!$B$3,G$1:R$1,0))*IF(OR(F569="L",F569="S",F569="I"),-1,1)</f>
        <v>-12927.77</v>
      </c>
      <c r="AO569" s="598" t="str">
        <f>+VLOOKUP($AJ569,Data_Validation!$A:$D,1,0)</f>
        <v>H31600</v>
      </c>
      <c r="AP569" s="598" t="str">
        <f>+VLOOKUP($AJ569,Data_Validation!$A:$D,3,0)</f>
        <v>Véhicules neufs</v>
      </c>
      <c r="AQ569" s="598" t="str">
        <f>+VLOOKUP($AJ569,Data_Validation!$A:$D,4,0)</f>
        <v>Rev. Protections</v>
      </c>
      <c r="AR569" s="598" t="s">
        <v>299</v>
      </c>
      <c r="AS569" s="598" t="str">
        <f>+VLOOKUP($AJ569,Data_Validation!$A:$E,5,0)</f>
        <v>Oui</v>
      </c>
      <c r="AT569" s="1036" t="str">
        <f t="shared" si="51"/>
        <v>H31600</v>
      </c>
      <c r="AU569" s="599" t="str">
        <f t="shared" si="52"/>
        <v>VTE ASSURANCE</v>
      </c>
      <c r="AV569" s="1030">
        <f>IFERROR(INDEX(V569:AG569,1,MATCH(Parametres!$B$3,V$1:AG$1,0)-1)*IF(OR(C569="L",C569="S",C569="I"),-1,1),"")</f>
        <v>2</v>
      </c>
      <c r="AW569" s="1030">
        <f t="shared" si="53"/>
        <v>3</v>
      </c>
      <c r="AX569" s="1030">
        <f>INDEX(V569:AG569,1,MATCH(Parametres!$B$3,V$1:AG$1,0))*IF(OR(C569="L",C569="S",C569="I"),-1,1)</f>
        <v>5</v>
      </c>
      <c r="AY569" s="598" t="s">
        <v>337</v>
      </c>
      <c r="AZ569" s="598" t="str">
        <f>+VLOOKUP($AJ569,Data_Validation!$A:$E,5,0)</f>
        <v>Oui</v>
      </c>
    </row>
    <row r="570" spans="1:52" ht="15" customHeight="1">
      <c r="A570" s="832" t="s">
        <v>1150</v>
      </c>
      <c r="B570" s="832">
        <v>2025</v>
      </c>
      <c r="C570" s="832" t="s">
        <v>2280</v>
      </c>
      <c r="D570" s="832" t="s">
        <v>2281</v>
      </c>
      <c r="E570" s="832" t="s">
        <v>333</v>
      </c>
      <c r="F570" s="832" t="s">
        <v>2222</v>
      </c>
      <c r="G570" s="832">
        <v>0</v>
      </c>
      <c r="H570" s="832">
        <v>0</v>
      </c>
      <c r="I570" s="832">
        <v>0</v>
      </c>
      <c r="J570" s="832">
        <v>0</v>
      </c>
      <c r="K570" s="832">
        <v>0</v>
      </c>
      <c r="L570" s="832">
        <v>0</v>
      </c>
      <c r="M570" s="832">
        <v>0</v>
      </c>
      <c r="N570" s="832">
        <v>0</v>
      </c>
      <c r="O570" s="832">
        <v>0</v>
      </c>
      <c r="P570" s="832">
        <v>0</v>
      </c>
      <c r="Q570" s="832">
        <v>0</v>
      </c>
      <c r="R570" s="832">
        <v>0</v>
      </c>
      <c r="S570" s="832">
        <v>0</v>
      </c>
      <c r="T570" s="832">
        <v>0</v>
      </c>
      <c r="U570" s="832">
        <v>0</v>
      </c>
      <c r="V570" s="832">
        <v>0</v>
      </c>
      <c r="W570" s="832">
        <v>0</v>
      </c>
      <c r="X570" s="832">
        <v>0</v>
      </c>
      <c r="Y570" s="832">
        <v>0</v>
      </c>
      <c r="Z570" s="832">
        <v>0</v>
      </c>
      <c r="AA570" s="832">
        <v>0</v>
      </c>
      <c r="AB570" s="832">
        <v>0</v>
      </c>
      <c r="AC570" s="832">
        <v>0</v>
      </c>
      <c r="AD570" s="832">
        <v>0</v>
      </c>
      <c r="AE570" s="832">
        <v>0</v>
      </c>
      <c r="AF570" s="832">
        <v>0</v>
      </c>
      <c r="AG570" s="832">
        <v>0</v>
      </c>
      <c r="AH570" s="832">
        <v>0</v>
      </c>
      <c r="AI570" s="832">
        <v>0</v>
      </c>
      <c r="AJ570" s="1030" t="str">
        <f t="shared" si="54"/>
        <v>H31610</v>
      </c>
      <c r="AK570" s="1030" t="str">
        <f t="shared" si="55"/>
        <v>VTE ASSURANCE ROUTIERE</v>
      </c>
      <c r="AL570" s="1030">
        <f>IFERROR(INDEX(G570:R570,1,MATCH(Parametres!$B$3,G$1:R$1,0)-1)*IF(OR(F570="L",F570="S",F570="I"),-1,1),"")</f>
        <v>0</v>
      </c>
      <c r="AM570" s="1030">
        <f t="shared" si="50"/>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t="str">
        <f t="shared" si="51"/>
        <v>H31610</v>
      </c>
      <c r="AU570" s="599" t="str">
        <f t="shared" si="52"/>
        <v>VTE ASSURANCE ROUTIERE</v>
      </c>
      <c r="AV570" s="1030">
        <f>IFERROR(INDEX(V570:AG570,1,MATCH(Parametres!$B$3,V$1:AG$1,0)-1)*IF(OR(C570="L",C570="S",C570="I"),-1,1),"")</f>
        <v>0</v>
      </c>
      <c r="AW570" s="1030">
        <f t="shared" si="53"/>
        <v>0</v>
      </c>
      <c r="AX570" s="1030">
        <f>INDEX(V570:AG570,1,MATCH(Parametres!$B$3,V$1:AG$1,0))*IF(OR(C570="L",C570="S",C570="I"),-1,1)</f>
        <v>0</v>
      </c>
      <c r="AY570" s="598" t="s">
        <v>337</v>
      </c>
      <c r="AZ570" s="598" t="e">
        <f>+VLOOKUP($AJ570,Data_Validation!$A:$E,5,0)</f>
        <v>#N/A</v>
      </c>
    </row>
    <row r="571" spans="1:52" ht="15" customHeight="1">
      <c r="A571" s="832" t="s">
        <v>1150</v>
      </c>
      <c r="B571" s="832">
        <v>2025</v>
      </c>
      <c r="C571" s="832" t="s">
        <v>2282</v>
      </c>
      <c r="D571" s="832" t="s">
        <v>2281</v>
      </c>
      <c r="E571" s="832" t="s">
        <v>333</v>
      </c>
      <c r="F571" s="832" t="s">
        <v>2222</v>
      </c>
      <c r="G571" s="832">
        <v>3500</v>
      </c>
      <c r="H571" s="832">
        <v>3500</v>
      </c>
      <c r="I571" s="832">
        <v>3500</v>
      </c>
      <c r="J571" s="832">
        <v>3500</v>
      </c>
      <c r="K571" s="832">
        <v>3500</v>
      </c>
      <c r="L571" s="832">
        <v>3500</v>
      </c>
      <c r="M571" s="832">
        <v>3500</v>
      </c>
      <c r="N571" s="832">
        <v>5644</v>
      </c>
      <c r="O571" s="832">
        <v>5644</v>
      </c>
      <c r="P571" s="832">
        <v>5644</v>
      </c>
      <c r="Q571" s="832">
        <v>5644</v>
      </c>
      <c r="R571" s="832">
        <v>11710</v>
      </c>
      <c r="S571" s="832">
        <v>513.09</v>
      </c>
      <c r="T571" s="832">
        <v>513.09</v>
      </c>
      <c r="U571" s="832">
        <v>0</v>
      </c>
      <c r="V571" s="832">
        <v>1</v>
      </c>
      <c r="W571" s="832">
        <v>1</v>
      </c>
      <c r="X571" s="832">
        <v>1</v>
      </c>
      <c r="Y571" s="832">
        <v>1</v>
      </c>
      <c r="Z571" s="832">
        <v>1</v>
      </c>
      <c r="AA571" s="832">
        <v>1</v>
      </c>
      <c r="AB571" s="832">
        <v>1</v>
      </c>
      <c r="AC571" s="832">
        <v>2</v>
      </c>
      <c r="AD571" s="832">
        <v>2</v>
      </c>
      <c r="AE571" s="832">
        <v>2</v>
      </c>
      <c r="AF571" s="832">
        <v>2</v>
      </c>
      <c r="AG571" s="832">
        <v>4</v>
      </c>
      <c r="AH571" s="832">
        <v>0</v>
      </c>
      <c r="AI571" s="832">
        <v>0</v>
      </c>
      <c r="AJ571" s="1030" t="str">
        <f t="shared" si="54"/>
        <v>H31640</v>
      </c>
      <c r="AK571" s="1030" t="str">
        <f t="shared" si="55"/>
        <v>VTE ASSURANCE ROUTIERE</v>
      </c>
      <c r="AL571" s="1030">
        <f>IFERROR(INDEX(G571:R571,1,MATCH(Parametres!$B$3,G$1:R$1,0)-1)*IF(OR(F571="L",F571="S",F571="I"),-1,1),"")</f>
        <v>-3500</v>
      </c>
      <c r="AM571" s="1030">
        <f t="shared" si="50"/>
        <v>0</v>
      </c>
      <c r="AN571" s="1030">
        <f>INDEX(G571:R571,1,MATCH(Parametres!$B$3,G$1:R$1,0))*IF(OR(F571="L",F571="S",F571="I"),-1,1)</f>
        <v>-3500</v>
      </c>
      <c r="AO571" s="598" t="str">
        <f>+VLOOKUP($AJ571,Data_Validation!$A:$D,1,0)</f>
        <v>H31640</v>
      </c>
      <c r="AP571" s="598" t="str">
        <f>+VLOOKUP($AJ571,Data_Validation!$A:$D,3,0)</f>
        <v>Véhicules neufs</v>
      </c>
      <c r="AQ571" s="598" t="str">
        <f>+VLOOKUP($AJ571,Data_Validation!$A:$D,4,0)</f>
        <v>Rev. Protections</v>
      </c>
      <c r="AR571" s="598" t="s">
        <v>299</v>
      </c>
      <c r="AS571" s="598" t="str">
        <f>+VLOOKUP($AJ571,Data_Validation!$A:$E,5,0)</f>
        <v>Oui</v>
      </c>
      <c r="AT571" s="1036" t="str">
        <f t="shared" si="51"/>
        <v>H31640</v>
      </c>
      <c r="AU571" s="599" t="str">
        <f t="shared" si="52"/>
        <v>VTE ASSURANCE ROUTIERE</v>
      </c>
      <c r="AV571" s="1030">
        <f>IFERROR(INDEX(V571:AG571,1,MATCH(Parametres!$B$3,V$1:AG$1,0)-1)*IF(OR(C571="L",C571="S",C571="I"),-1,1),"")</f>
        <v>1</v>
      </c>
      <c r="AW571" s="1030">
        <f t="shared" si="53"/>
        <v>0</v>
      </c>
      <c r="AX571" s="1030">
        <f>INDEX(V571:AG571,1,MATCH(Parametres!$B$3,V$1:AG$1,0))*IF(OR(C571="L",C571="S",C571="I"),-1,1)</f>
        <v>1</v>
      </c>
      <c r="AY571" s="598" t="s">
        <v>337</v>
      </c>
      <c r="AZ571" s="598" t="str">
        <f>+VLOOKUP($AJ571,Data_Validation!$A:$E,5,0)</f>
        <v>Oui</v>
      </c>
    </row>
    <row r="572" spans="1:52" ht="15" customHeight="1">
      <c r="A572" s="832" t="s">
        <v>1150</v>
      </c>
      <c r="B572" s="832">
        <v>2025</v>
      </c>
      <c r="C572" s="832" t="s">
        <v>2283</v>
      </c>
      <c r="D572" s="832" t="s">
        <v>2284</v>
      </c>
      <c r="E572" s="832" t="s">
        <v>333</v>
      </c>
      <c r="F572" s="832" t="s">
        <v>2222</v>
      </c>
      <c r="G572" s="832">
        <v>26.16</v>
      </c>
      <c r="H572" s="832">
        <v>626.16</v>
      </c>
      <c r="I572" s="832">
        <v>655.35</v>
      </c>
      <c r="J572" s="832">
        <v>685.97</v>
      </c>
      <c r="K572" s="832">
        <v>1980.69</v>
      </c>
      <c r="L572" s="832">
        <v>1980.69</v>
      </c>
      <c r="M572" s="832">
        <v>4881.41</v>
      </c>
      <c r="N572" s="832">
        <v>4881.41</v>
      </c>
      <c r="O572" s="832">
        <v>4881.41</v>
      </c>
      <c r="P572" s="832">
        <v>6055.49</v>
      </c>
      <c r="Q572" s="832">
        <v>6055.49</v>
      </c>
      <c r="R572" s="832">
        <v>6055.49</v>
      </c>
      <c r="S572" s="832">
        <v>550.5</v>
      </c>
      <c r="T572" s="832">
        <v>550.5</v>
      </c>
      <c r="U572" s="832">
        <v>0</v>
      </c>
      <c r="V572" s="832">
        <v>1</v>
      </c>
      <c r="W572" s="832">
        <v>2</v>
      </c>
      <c r="X572" s="832">
        <v>3</v>
      </c>
      <c r="Y572" s="832">
        <v>4</v>
      </c>
      <c r="Z572" s="832">
        <v>5</v>
      </c>
      <c r="AA572" s="832">
        <v>5</v>
      </c>
      <c r="AB572" s="832">
        <v>8</v>
      </c>
      <c r="AC572" s="832">
        <v>8</v>
      </c>
      <c r="AD572" s="832">
        <v>8</v>
      </c>
      <c r="AE572" s="832">
        <v>10</v>
      </c>
      <c r="AF572" s="832">
        <v>10</v>
      </c>
      <c r="AG572" s="832">
        <v>10</v>
      </c>
      <c r="AH572" s="832">
        <v>1</v>
      </c>
      <c r="AI572" s="832">
        <v>1</v>
      </c>
      <c r="AJ572" s="1030" t="str">
        <f t="shared" si="54"/>
        <v>H31700</v>
      </c>
      <c r="AK572" s="1030" t="str">
        <f t="shared" si="55"/>
        <v>VTE REVENUS FINANCE</v>
      </c>
      <c r="AL572" s="1030">
        <f>IFERROR(INDEX(G572:R572,1,MATCH(Parametres!$B$3,G$1:R$1,0)-1)*IF(OR(F572="L",F572="S",F572="I"),-1,1),"")</f>
        <v>-685.97</v>
      </c>
      <c r="AM572" s="1030">
        <f t="shared" si="50"/>
        <v>-1294.72</v>
      </c>
      <c r="AN572" s="1030">
        <f>INDEX(G572:R572,1,MATCH(Parametres!$B$3,G$1:R$1,0))*IF(OR(F572="L",F572="S",F572="I"),-1,1)</f>
        <v>-1980.69</v>
      </c>
      <c r="AO572" s="598" t="str">
        <f>+VLOOKUP($AJ572,Data_Validation!$A:$D,1,0)</f>
        <v>H31700</v>
      </c>
      <c r="AP572" s="598" t="str">
        <f>+VLOOKUP($AJ572,Data_Validation!$A:$D,3,0)</f>
        <v>Véhicules neufs</v>
      </c>
      <c r="AQ572" s="598" t="str">
        <f>+VLOOKUP($AJ572,Data_Validation!$A:$D,4,0)</f>
        <v>Rev. Finances</v>
      </c>
      <c r="AR572" s="598" t="s">
        <v>299</v>
      </c>
      <c r="AS572" s="598" t="str">
        <f>+VLOOKUP($AJ572,Data_Validation!$A:$E,5,0)</f>
        <v>Oui</v>
      </c>
      <c r="AT572" s="1036" t="str">
        <f t="shared" si="51"/>
        <v>H31700</v>
      </c>
      <c r="AU572" s="599" t="str">
        <f t="shared" si="52"/>
        <v>VTE REVENUS FINANCE</v>
      </c>
      <c r="AV572" s="1030">
        <f>IFERROR(INDEX(V572:AG572,1,MATCH(Parametres!$B$3,V$1:AG$1,0)-1)*IF(OR(C572="L",C572="S",C572="I"),-1,1),"")</f>
        <v>4</v>
      </c>
      <c r="AW572" s="1030">
        <f t="shared" si="53"/>
        <v>1</v>
      </c>
      <c r="AX572" s="1030">
        <f>INDEX(V572:AG572,1,MATCH(Parametres!$B$3,V$1:AG$1,0))*IF(OR(C572="L",C572="S",C572="I"),-1,1)</f>
        <v>5</v>
      </c>
      <c r="AY572" s="598" t="s">
        <v>337</v>
      </c>
      <c r="AZ572" s="598" t="str">
        <f>+VLOOKUP($AJ572,Data_Validation!$A:$E,5,0)</f>
        <v>Oui</v>
      </c>
    </row>
    <row r="573" spans="1:52" ht="15" customHeight="1">
      <c r="A573" s="832" t="s">
        <v>1150</v>
      </c>
      <c r="B573" s="832">
        <v>2025</v>
      </c>
      <c r="C573" s="832" t="s">
        <v>2285</v>
      </c>
      <c r="D573" s="832" t="s">
        <v>2286</v>
      </c>
      <c r="E573" s="832" t="s">
        <v>333</v>
      </c>
      <c r="F573" s="832" t="s">
        <v>2222</v>
      </c>
      <c r="G573" s="832">
        <v>53623</v>
      </c>
      <c r="H573" s="832">
        <v>95893</v>
      </c>
      <c r="I573" s="832">
        <v>137562</v>
      </c>
      <c r="J573" s="832">
        <v>200962</v>
      </c>
      <c r="K573" s="832">
        <v>279560</v>
      </c>
      <c r="L573" s="832">
        <v>336445</v>
      </c>
      <c r="M573" s="832">
        <v>384676</v>
      </c>
      <c r="N573" s="832">
        <v>457285</v>
      </c>
      <c r="O573" s="832">
        <v>498853.75</v>
      </c>
      <c r="P573" s="832">
        <v>571851.75</v>
      </c>
      <c r="Q573" s="832">
        <v>603296.75</v>
      </c>
      <c r="R573" s="832">
        <v>635744.75</v>
      </c>
      <c r="S573" s="832">
        <v>54845.16</v>
      </c>
      <c r="T573" s="832">
        <v>54845.16</v>
      </c>
      <c r="U573" s="832">
        <v>0</v>
      </c>
      <c r="V573" s="832">
        <v>43</v>
      </c>
      <c r="W573" s="832">
        <v>81</v>
      </c>
      <c r="X573" s="832">
        <v>123</v>
      </c>
      <c r="Y573" s="832">
        <v>184</v>
      </c>
      <c r="Z573" s="832">
        <v>254</v>
      </c>
      <c r="AA573" s="832">
        <v>309</v>
      </c>
      <c r="AB573" s="832">
        <v>349</v>
      </c>
      <c r="AC573" s="832">
        <v>415</v>
      </c>
      <c r="AD573" s="832">
        <v>455</v>
      </c>
      <c r="AE573" s="832">
        <v>528</v>
      </c>
      <c r="AF573" s="832">
        <v>565</v>
      </c>
      <c r="AG573" s="832">
        <v>600</v>
      </c>
      <c r="AH573" s="832">
        <v>51</v>
      </c>
      <c r="AI573" s="832">
        <v>51</v>
      </c>
      <c r="AJ573" s="1030" t="str">
        <f t="shared" si="54"/>
        <v>H31800</v>
      </c>
      <c r="AK573" s="1030" t="str">
        <f t="shared" si="55"/>
        <v>VTE CHIMIQUES</v>
      </c>
      <c r="AL573" s="1030">
        <f>IFERROR(INDEX(G573:R573,1,MATCH(Parametres!$B$3,G$1:R$1,0)-1)*IF(OR(F573="L",F573="S",F573="I"),-1,1),"")</f>
        <v>-200962</v>
      </c>
      <c r="AM573" s="1030">
        <f t="shared" si="50"/>
        <v>-78598</v>
      </c>
      <c r="AN573" s="1030">
        <f>INDEX(G573:R573,1,MATCH(Parametres!$B$3,G$1:R$1,0))*IF(OR(F573="L",F573="S",F573="I"),-1,1)</f>
        <v>-279560</v>
      </c>
      <c r="AO573" s="598" t="str">
        <f>+VLOOKUP($AJ573,Data_Validation!$A:$D,1,0)</f>
        <v>H31800</v>
      </c>
      <c r="AP573" s="598" t="str">
        <f>+VLOOKUP($AJ573,Data_Validation!$A:$D,3,0)</f>
        <v>Véhicules neufs</v>
      </c>
      <c r="AQ573" s="598" t="str">
        <f>+VLOOKUP($AJ573,Data_Validation!$A:$D,4,0)</f>
        <v>Rev. Protections</v>
      </c>
      <c r="AR573" s="598" t="s">
        <v>299</v>
      </c>
      <c r="AS573" s="598" t="str">
        <f>+VLOOKUP($AJ573,Data_Validation!$A:$E,5,0)</f>
        <v>Oui</v>
      </c>
      <c r="AT573" s="1036" t="str">
        <f t="shared" si="51"/>
        <v>H31800</v>
      </c>
      <c r="AU573" s="599" t="str">
        <f t="shared" si="52"/>
        <v>VTE CHIMIQUES</v>
      </c>
      <c r="AV573" s="1030">
        <f>IFERROR(INDEX(V573:AG573,1,MATCH(Parametres!$B$3,V$1:AG$1,0)-1)*IF(OR(C573="L",C573="S",C573="I"),-1,1),"")</f>
        <v>184</v>
      </c>
      <c r="AW573" s="1030">
        <f t="shared" si="53"/>
        <v>70</v>
      </c>
      <c r="AX573" s="1030">
        <f>INDEX(V573:AG573,1,MATCH(Parametres!$B$3,V$1:AG$1,0))*IF(OR(C573="L",C573="S",C573="I"),-1,1)</f>
        <v>254</v>
      </c>
      <c r="AY573" s="598" t="s">
        <v>337</v>
      </c>
      <c r="AZ573" s="598" t="str">
        <f>+VLOOKUP($AJ573,Data_Validation!$A:$E,5,0)</f>
        <v>Oui</v>
      </c>
    </row>
    <row r="574" spans="1:52" ht="15" customHeight="1">
      <c r="A574" s="832" t="s">
        <v>1150</v>
      </c>
      <c r="B574" s="832">
        <v>2025</v>
      </c>
      <c r="C574" s="832" t="s">
        <v>2287</v>
      </c>
      <c r="D574" s="832" t="s">
        <v>2288</v>
      </c>
      <c r="E574" s="832" t="s">
        <v>333</v>
      </c>
      <c r="F574" s="832" t="s">
        <v>2222</v>
      </c>
      <c r="G574" s="832">
        <v>0</v>
      </c>
      <c r="H574" s="832">
        <v>0</v>
      </c>
      <c r="I574" s="832">
        <v>0</v>
      </c>
      <c r="J574" s="832">
        <v>0</v>
      </c>
      <c r="K574" s="832">
        <v>0</v>
      </c>
      <c r="L574" s="832">
        <v>0</v>
      </c>
      <c r="M574" s="832">
        <v>0</v>
      </c>
      <c r="N574" s="832">
        <v>0</v>
      </c>
      <c r="O574" s="832">
        <v>0</v>
      </c>
      <c r="P574" s="832">
        <v>0</v>
      </c>
      <c r="Q574" s="832">
        <v>0</v>
      </c>
      <c r="R574" s="832">
        <v>0</v>
      </c>
      <c r="S574" s="832">
        <v>0</v>
      </c>
      <c r="T574" s="832">
        <v>0</v>
      </c>
      <c r="U574" s="832">
        <v>0</v>
      </c>
      <c r="V574" s="832">
        <v>0</v>
      </c>
      <c r="W574" s="832">
        <v>0</v>
      </c>
      <c r="X574" s="832">
        <v>0</v>
      </c>
      <c r="Y574" s="832">
        <v>0</v>
      </c>
      <c r="Z574" s="832">
        <v>0</v>
      </c>
      <c r="AA574" s="832">
        <v>0</v>
      </c>
      <c r="AB574" s="832">
        <v>0</v>
      </c>
      <c r="AC574" s="832">
        <v>0</v>
      </c>
      <c r="AD574" s="832">
        <v>0</v>
      </c>
      <c r="AE574" s="832">
        <v>0</v>
      </c>
      <c r="AF574" s="832">
        <v>0</v>
      </c>
      <c r="AG574" s="832">
        <v>0</v>
      </c>
      <c r="AH574" s="832">
        <v>0</v>
      </c>
      <c r="AI574" s="832">
        <v>0</v>
      </c>
      <c r="AJ574" s="1030" t="str">
        <f t="shared" si="54"/>
        <v>H31810</v>
      </c>
      <c r="AK574" s="1030" t="str">
        <f t="shared" si="55"/>
        <v>VTE ENREGISTR &amp; LICENSE</v>
      </c>
      <c r="AL574" s="1030">
        <f>IFERROR(INDEX(G574:R574,1,MATCH(Parametres!$B$3,G$1:R$1,0)-1)*IF(OR(F574="L",F574="S",F574="I"),-1,1),"")</f>
        <v>0</v>
      </c>
      <c r="AM574" s="1030">
        <f t="shared" si="50"/>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t="str">
        <f t="shared" si="51"/>
        <v>H31810</v>
      </c>
      <c r="AU574" s="599" t="str">
        <f t="shared" si="52"/>
        <v>VTE ENREGISTR &amp; LICENSE</v>
      </c>
      <c r="AV574" s="1030">
        <f>IFERROR(INDEX(V574:AG574,1,MATCH(Parametres!$B$3,V$1:AG$1,0)-1)*IF(OR(C574="L",C574="S",C574="I"),-1,1),"")</f>
        <v>0</v>
      </c>
      <c r="AW574" s="1030">
        <f t="shared" si="53"/>
        <v>0</v>
      </c>
      <c r="AX574" s="1030">
        <f>INDEX(V574:AG574,1,MATCH(Parametres!$B$3,V$1:AG$1,0))*IF(OR(C574="L",C574="S",C574="I"),-1,1)</f>
        <v>0</v>
      </c>
      <c r="AY574" s="598" t="s">
        <v>337</v>
      </c>
      <c r="AZ574" s="598" t="e">
        <f>+VLOOKUP($AJ574,Data_Validation!$A:$E,5,0)</f>
        <v>#N/A</v>
      </c>
    </row>
    <row r="575" spans="1:52" ht="15" customHeight="1">
      <c r="A575" s="832" t="s">
        <v>1150</v>
      </c>
      <c r="B575" s="832">
        <v>2025</v>
      </c>
      <c r="C575" s="832" t="s">
        <v>2289</v>
      </c>
      <c r="D575" s="832" t="s">
        <v>2290</v>
      </c>
      <c r="E575" s="832" t="s">
        <v>333</v>
      </c>
      <c r="F575" s="832" t="s">
        <v>2222</v>
      </c>
      <c r="G575" s="832">
        <v>0</v>
      </c>
      <c r="H575" s="832">
        <v>0</v>
      </c>
      <c r="I575" s="832">
        <v>0</v>
      </c>
      <c r="J575" s="832">
        <v>0</v>
      </c>
      <c r="K575" s="832">
        <v>0</v>
      </c>
      <c r="L575" s="832">
        <v>34573</v>
      </c>
      <c r="M575" s="832">
        <v>71612</v>
      </c>
      <c r="N575" s="832">
        <v>113631</v>
      </c>
      <c r="O575" s="832">
        <v>149253</v>
      </c>
      <c r="P575" s="832">
        <v>175541</v>
      </c>
      <c r="Q575" s="832">
        <v>204328</v>
      </c>
      <c r="R575" s="832">
        <v>220678</v>
      </c>
      <c r="S575" s="832">
        <v>18575.27</v>
      </c>
      <c r="T575" s="832">
        <v>18575.27</v>
      </c>
      <c r="U575" s="832">
        <v>0</v>
      </c>
      <c r="V575" s="832">
        <v>0</v>
      </c>
      <c r="W575" s="832">
        <v>0</v>
      </c>
      <c r="X575" s="832">
        <v>0</v>
      </c>
      <c r="Y575" s="832">
        <v>0</v>
      </c>
      <c r="Z575" s="832">
        <v>0</v>
      </c>
      <c r="AA575" s="832">
        <v>21</v>
      </c>
      <c r="AB575" s="832">
        <v>44</v>
      </c>
      <c r="AC575" s="832">
        <v>72</v>
      </c>
      <c r="AD575" s="832">
        <v>95</v>
      </c>
      <c r="AE575" s="832">
        <v>112</v>
      </c>
      <c r="AF575" s="832">
        <v>130</v>
      </c>
      <c r="AG575" s="832">
        <v>141</v>
      </c>
      <c r="AH575" s="832">
        <v>12</v>
      </c>
      <c r="AI575" s="832">
        <v>12</v>
      </c>
      <c r="AJ575" s="1030" t="str">
        <f t="shared" si="54"/>
        <v>H31811</v>
      </c>
      <c r="AK575" s="1030" t="str">
        <f t="shared" si="55"/>
        <v>VTE ASS. USURE</v>
      </c>
      <c r="AL575" s="1030">
        <f>IFERROR(INDEX(G575:R575,1,MATCH(Parametres!$B$3,G$1:R$1,0)-1)*IF(OR(F575="L",F575="S",F575="I"),-1,1),"")</f>
        <v>0</v>
      </c>
      <c r="AM575" s="1030">
        <f t="shared" si="50"/>
        <v>0</v>
      </c>
      <c r="AN575" s="1030">
        <f>INDEX(G575:R575,1,MATCH(Parametres!$B$3,G$1:R$1,0))*IF(OR(F575="L",F575="S",F575="I"),-1,1)</f>
        <v>0</v>
      </c>
      <c r="AO575" s="598" t="str">
        <f>+VLOOKUP($AJ575,Data_Validation!$A:$D,1,0)</f>
        <v>H31811</v>
      </c>
      <c r="AP575" s="598" t="str">
        <f>+VLOOKUP($AJ575,Data_Validation!$A:$D,3,0)</f>
        <v>Véhicules neufs</v>
      </c>
      <c r="AQ575" s="598" t="str">
        <f>+VLOOKUP($AJ575,Data_Validation!$A:$D,4,0)</f>
        <v>Rev. Protections</v>
      </c>
      <c r="AR575" s="598" t="s">
        <v>299</v>
      </c>
      <c r="AS575" s="598" t="str">
        <f>+VLOOKUP($AJ575,Data_Validation!$A:$E,5,0)</f>
        <v>Oui</v>
      </c>
      <c r="AT575" s="1036" t="str">
        <f t="shared" si="51"/>
        <v>H31811</v>
      </c>
      <c r="AU575" s="599" t="str">
        <f t="shared" si="52"/>
        <v>VTE ASS. USURE</v>
      </c>
      <c r="AV575" s="1030">
        <f>IFERROR(INDEX(V575:AG575,1,MATCH(Parametres!$B$3,V$1:AG$1,0)-1)*IF(OR(C575="L",C575="S",C575="I"),-1,1),"")</f>
        <v>0</v>
      </c>
      <c r="AW575" s="1030">
        <f t="shared" si="53"/>
        <v>0</v>
      </c>
      <c r="AX575" s="1030">
        <f>INDEX(V575:AG575,1,MATCH(Parametres!$B$3,V$1:AG$1,0))*IF(OR(C575="L",C575="S",C575="I"),-1,1)</f>
        <v>0</v>
      </c>
      <c r="AY575" s="598" t="s">
        <v>337</v>
      </c>
      <c r="AZ575" s="598" t="str">
        <f>+VLOOKUP($AJ575,Data_Validation!$A:$E,5,0)</f>
        <v>Oui</v>
      </c>
    </row>
    <row r="576" spans="1:52" ht="15" customHeight="1">
      <c r="A576" s="832" t="s">
        <v>1150</v>
      </c>
      <c r="B576" s="832">
        <v>2025</v>
      </c>
      <c r="C576" s="832" t="s">
        <v>2291</v>
      </c>
      <c r="D576" s="832" t="s">
        <v>2292</v>
      </c>
      <c r="E576" s="832" t="s">
        <v>2222</v>
      </c>
      <c r="F576" s="832" t="s">
        <v>2222</v>
      </c>
      <c r="G576" s="832">
        <v>0</v>
      </c>
      <c r="H576" s="832">
        <v>0</v>
      </c>
      <c r="I576" s="832">
        <v>0</v>
      </c>
      <c r="J576" s="832">
        <v>36711</v>
      </c>
      <c r="K576" s="832">
        <v>62084</v>
      </c>
      <c r="L576" s="832">
        <v>62084</v>
      </c>
      <c r="M576" s="832">
        <v>62084</v>
      </c>
      <c r="N576" s="832">
        <v>62084</v>
      </c>
      <c r="O576" s="832">
        <v>62084</v>
      </c>
      <c r="P576" s="832">
        <v>62084</v>
      </c>
      <c r="Q576" s="832">
        <v>62084</v>
      </c>
      <c r="R576" s="832">
        <v>62084</v>
      </c>
      <c r="S576" s="832">
        <v>5644</v>
      </c>
      <c r="T576" s="832">
        <v>5644</v>
      </c>
      <c r="U576" s="832">
        <v>0</v>
      </c>
      <c r="V576" s="832">
        <v>0</v>
      </c>
      <c r="W576" s="832">
        <v>0</v>
      </c>
      <c r="X576" s="832">
        <v>0</v>
      </c>
      <c r="Y576" s="832">
        <v>1</v>
      </c>
      <c r="Z576" s="832">
        <v>2</v>
      </c>
      <c r="AA576" s="832">
        <v>2</v>
      </c>
      <c r="AB576" s="832">
        <v>2</v>
      </c>
      <c r="AC576" s="832">
        <v>2</v>
      </c>
      <c r="AD576" s="832">
        <v>2</v>
      </c>
      <c r="AE576" s="832">
        <v>2</v>
      </c>
      <c r="AF576" s="832">
        <v>2</v>
      </c>
      <c r="AG576" s="832">
        <v>2</v>
      </c>
      <c r="AH576" s="832">
        <v>0</v>
      </c>
      <c r="AI576" s="832">
        <v>0</v>
      </c>
      <c r="AJ576" s="1030" t="str">
        <f t="shared" si="54"/>
        <v>H31900</v>
      </c>
      <c r="AK576" s="1030" t="str">
        <f t="shared" si="55"/>
        <v>VTE PARCS NEUF</v>
      </c>
      <c r="AL576" s="1030">
        <f>IFERROR(INDEX(G576:R576,1,MATCH(Parametres!$B$3,G$1:R$1,0)-1)*IF(OR(F576="L",F576="S",F576="I"),-1,1),"")</f>
        <v>-36711</v>
      </c>
      <c r="AM576" s="1030">
        <f t="shared" si="50"/>
        <v>-25373</v>
      </c>
      <c r="AN576" s="1030">
        <f>INDEX(G576:R576,1,MATCH(Parametres!$B$3,G$1:R$1,0))*IF(OR(F576="L",F576="S",F576="I"),-1,1)</f>
        <v>-62084</v>
      </c>
      <c r="AO576" s="598" t="str">
        <f>+VLOOKUP($AJ576,Data_Validation!$A:$D,1,0)</f>
        <v>H31900</v>
      </c>
      <c r="AP576" s="598" t="str">
        <f>+VLOOKUP($AJ576,Data_Validation!$A:$D,3,0)</f>
        <v>Véhicules neufs</v>
      </c>
      <c r="AQ576" s="598" t="str">
        <f>+VLOOKUP($AJ576,Data_Validation!$A:$D,4,0)</f>
        <v>Flottes</v>
      </c>
      <c r="AR576" s="598" t="s">
        <v>299</v>
      </c>
      <c r="AS576" s="598" t="str">
        <f>+VLOOKUP($AJ576,Data_Validation!$A:$E,5,0)</f>
        <v>Oui</v>
      </c>
      <c r="AT576" s="1036" t="str">
        <f t="shared" si="51"/>
        <v>H31900</v>
      </c>
      <c r="AU576" s="599" t="str">
        <f t="shared" si="52"/>
        <v>VTE PARCS NEUF</v>
      </c>
      <c r="AV576" s="1030">
        <f>IFERROR(INDEX(V576:AG576,1,MATCH(Parametres!$B$3,V$1:AG$1,0)-1)*IF(OR(C576="L",C576="S",C576="I"),-1,1),"")</f>
        <v>1</v>
      </c>
      <c r="AW576" s="1030">
        <f t="shared" si="53"/>
        <v>1</v>
      </c>
      <c r="AX576" s="1030">
        <f>INDEX(V576:AG576,1,MATCH(Parametres!$B$3,V$1:AG$1,0))*IF(OR(C576="L",C576="S",C576="I"),-1,1)</f>
        <v>2</v>
      </c>
      <c r="AY576" s="598" t="s">
        <v>337</v>
      </c>
      <c r="AZ576" s="598" t="str">
        <f>+VLOOKUP($AJ576,Data_Validation!$A:$E,5,0)</f>
        <v>Oui</v>
      </c>
    </row>
    <row r="577" spans="1:52" ht="15" customHeight="1">
      <c r="A577" s="832" t="s">
        <v>1150</v>
      </c>
      <c r="B577" s="832">
        <v>2025</v>
      </c>
      <c r="C577" s="832" t="s">
        <v>2293</v>
      </c>
      <c r="D577" s="832" t="s">
        <v>2294</v>
      </c>
      <c r="E577" s="832" t="s">
        <v>2222</v>
      </c>
      <c r="F577" s="832" t="s">
        <v>2222</v>
      </c>
      <c r="G577" s="832">
        <v>0</v>
      </c>
      <c r="H577" s="832">
        <v>46812.51</v>
      </c>
      <c r="I577" s="832">
        <v>46812.51</v>
      </c>
      <c r="J577" s="832">
        <v>46812.51</v>
      </c>
      <c r="K577" s="832">
        <v>46812.51</v>
      </c>
      <c r="L577" s="832">
        <v>46812.51</v>
      </c>
      <c r="M577" s="832">
        <v>46812.51</v>
      </c>
      <c r="N577" s="832">
        <v>46812.51</v>
      </c>
      <c r="O577" s="832">
        <v>87028.51</v>
      </c>
      <c r="P577" s="832">
        <v>362538.31</v>
      </c>
      <c r="Q577" s="832">
        <v>362538.31</v>
      </c>
      <c r="R577" s="832">
        <v>403948.31</v>
      </c>
      <c r="S577" s="832">
        <v>32958.03</v>
      </c>
      <c r="T577" s="832">
        <v>32958.03</v>
      </c>
      <c r="U577" s="832">
        <v>0</v>
      </c>
      <c r="V577" s="832">
        <v>0</v>
      </c>
      <c r="W577" s="832">
        <v>1</v>
      </c>
      <c r="X577" s="832">
        <v>1</v>
      </c>
      <c r="Y577" s="832">
        <v>1</v>
      </c>
      <c r="Z577" s="832">
        <v>1</v>
      </c>
      <c r="AA577" s="832">
        <v>1</v>
      </c>
      <c r="AB577" s="832">
        <v>1</v>
      </c>
      <c r="AC577" s="832">
        <v>1</v>
      </c>
      <c r="AD577" s="832">
        <v>2</v>
      </c>
      <c r="AE577" s="832">
        <v>9</v>
      </c>
      <c r="AF577" s="832">
        <v>9</v>
      </c>
      <c r="AG577" s="832">
        <v>10</v>
      </c>
      <c r="AH577" s="832">
        <v>1</v>
      </c>
      <c r="AI577" s="832">
        <v>1</v>
      </c>
      <c r="AJ577" s="1030" t="str">
        <f t="shared" si="54"/>
        <v>H31910</v>
      </c>
      <c r="AK577" s="1030" t="str">
        <f t="shared" si="55"/>
        <v>VTE PARC CAMIONS</v>
      </c>
      <c r="AL577" s="1030">
        <f>IFERROR(INDEX(G577:R577,1,MATCH(Parametres!$B$3,G$1:R$1,0)-1)*IF(OR(F577="L",F577="S",F577="I"),-1,1),"")</f>
        <v>-46812.51</v>
      </c>
      <c r="AM577" s="1030">
        <f t="shared" si="50"/>
        <v>0</v>
      </c>
      <c r="AN577" s="1030">
        <f>INDEX(G577:R577,1,MATCH(Parametres!$B$3,G$1:R$1,0))*IF(OR(F577="L",F577="S",F577="I"),-1,1)</f>
        <v>-46812.51</v>
      </c>
      <c r="AO577" s="598" t="str">
        <f>+VLOOKUP($AJ577,Data_Validation!$A:$D,1,0)</f>
        <v>H31910</v>
      </c>
      <c r="AP577" s="598" t="str">
        <f>+VLOOKUP($AJ577,Data_Validation!$A:$D,3,0)</f>
        <v>Véhicules neufs</v>
      </c>
      <c r="AQ577" s="598" t="str">
        <f>+VLOOKUP($AJ577,Data_Validation!$A:$D,4,0)</f>
        <v>Flottes</v>
      </c>
      <c r="AR577" s="598" t="s">
        <v>299</v>
      </c>
      <c r="AS577" s="598" t="str">
        <f>+VLOOKUP($AJ577,Data_Validation!$A:$E,5,0)</f>
        <v>Oui</v>
      </c>
      <c r="AT577" s="1036" t="str">
        <f t="shared" si="51"/>
        <v>H31910</v>
      </c>
      <c r="AU577" s="599" t="str">
        <f t="shared" si="52"/>
        <v>VTE PARC CAMIONS</v>
      </c>
      <c r="AV577" s="1030">
        <f>IFERROR(INDEX(V577:AG577,1,MATCH(Parametres!$B$3,V$1:AG$1,0)-1)*IF(OR(C577="L",C577="S",C577="I"),-1,1),"")</f>
        <v>1</v>
      </c>
      <c r="AW577" s="1030">
        <f t="shared" si="53"/>
        <v>0</v>
      </c>
      <c r="AX577" s="1030">
        <f>INDEX(V577:AG577,1,MATCH(Parametres!$B$3,V$1:AG$1,0))*IF(OR(C577="L",C577="S",C577="I"),-1,1)</f>
        <v>1</v>
      </c>
      <c r="AY577" s="598" t="s">
        <v>337</v>
      </c>
      <c r="AZ577" s="598" t="str">
        <f>+VLOOKUP($AJ577,Data_Validation!$A:$E,5,0)</f>
        <v>Oui</v>
      </c>
    </row>
    <row r="578" spans="1:52" ht="15" customHeight="1">
      <c r="A578" s="832" t="s">
        <v>1150</v>
      </c>
      <c r="B578" s="832">
        <v>2025</v>
      </c>
      <c r="C578" s="832" t="s">
        <v>2295</v>
      </c>
      <c r="D578" s="832" t="s">
        <v>2296</v>
      </c>
      <c r="E578" s="832" t="s">
        <v>2222</v>
      </c>
      <c r="F578" s="832" t="s">
        <v>2222</v>
      </c>
      <c r="G578" s="832">
        <v>189533.03</v>
      </c>
      <c r="H578" s="832">
        <v>248422.53</v>
      </c>
      <c r="I578" s="832">
        <v>315865.46999999997</v>
      </c>
      <c r="J578" s="832">
        <v>448297.64</v>
      </c>
      <c r="K578" s="832">
        <v>534014.51</v>
      </c>
      <c r="L578" s="832">
        <v>662472.28</v>
      </c>
      <c r="M578" s="832">
        <v>738832.26</v>
      </c>
      <c r="N578" s="832">
        <v>817304.95</v>
      </c>
      <c r="O578" s="832">
        <v>1007181.42</v>
      </c>
      <c r="P578" s="832">
        <v>1107874.98</v>
      </c>
      <c r="Q578" s="832">
        <v>1141306.67</v>
      </c>
      <c r="R578" s="832">
        <v>1215520.03</v>
      </c>
      <c r="S578" s="832">
        <v>103755.15</v>
      </c>
      <c r="T578" s="832">
        <v>103755.15</v>
      </c>
      <c r="U578" s="832">
        <v>0</v>
      </c>
      <c r="V578" s="832">
        <v>11</v>
      </c>
      <c r="W578" s="832">
        <v>16</v>
      </c>
      <c r="X578" s="832">
        <v>21</v>
      </c>
      <c r="Y578" s="832">
        <v>29</v>
      </c>
      <c r="Z578" s="832">
        <v>34</v>
      </c>
      <c r="AA578" s="832">
        <v>41</v>
      </c>
      <c r="AB578" s="832">
        <v>46</v>
      </c>
      <c r="AC578" s="832">
        <v>53</v>
      </c>
      <c r="AD578" s="832">
        <v>61</v>
      </c>
      <c r="AE578" s="832">
        <v>66</v>
      </c>
      <c r="AF578" s="832">
        <v>67</v>
      </c>
      <c r="AG578" s="832">
        <v>73</v>
      </c>
      <c r="AH578" s="832">
        <v>6</v>
      </c>
      <c r="AI578" s="832">
        <v>6</v>
      </c>
      <c r="AJ578" s="1030" t="str">
        <f t="shared" si="54"/>
        <v>H32000</v>
      </c>
      <c r="AK578" s="1030" t="str">
        <f t="shared" si="55"/>
        <v>VTE RACHAT LOCATION</v>
      </c>
      <c r="AL578" s="1030">
        <f>IFERROR(INDEX(G578:R578,1,MATCH(Parametres!$B$3,G$1:R$1,0)-1)*IF(OR(F578="L",F578="S",F578="I"),-1,1),"")</f>
        <v>-448297.64</v>
      </c>
      <c r="AM578" s="1030">
        <f t="shared" si="50"/>
        <v>-85716.87</v>
      </c>
      <c r="AN578" s="1030">
        <f>INDEX(G578:R578,1,MATCH(Parametres!$B$3,G$1:R$1,0))*IF(OR(F578="L",F578="S",F578="I"),-1,1)</f>
        <v>-534014.51</v>
      </c>
      <c r="AO578" s="598" t="str">
        <f>+VLOOKUP($AJ578,Data_Validation!$A:$D,1,0)</f>
        <v>H32000</v>
      </c>
      <c r="AP578" s="598" t="str">
        <f>+VLOOKUP($AJ578,Data_Validation!$A:$D,3,0)</f>
        <v>Véhicules usagés</v>
      </c>
      <c r="AQ578" s="598" t="str">
        <f>+VLOOKUP($AJ578,Data_Validation!$A:$D,4,0)</f>
        <v>Rachat bail</v>
      </c>
      <c r="AR578" s="598" t="s">
        <v>299</v>
      </c>
      <c r="AS578" s="598" t="str">
        <f>+VLOOKUP($AJ578,Data_Validation!$A:$E,5,0)</f>
        <v>Oui</v>
      </c>
      <c r="AT578" s="1036" t="str">
        <f t="shared" si="51"/>
        <v>H32000</v>
      </c>
      <c r="AU578" s="599" t="str">
        <f t="shared" si="52"/>
        <v>VTE RACHAT LOCATION</v>
      </c>
      <c r="AV578" s="1030">
        <f>IFERROR(INDEX(V578:AG578,1,MATCH(Parametres!$B$3,V$1:AG$1,0)-1)*IF(OR(C578="L",C578="S",C578="I"),-1,1),"")</f>
        <v>29</v>
      </c>
      <c r="AW578" s="1030">
        <f t="shared" si="53"/>
        <v>5</v>
      </c>
      <c r="AX578" s="1030">
        <f>INDEX(V578:AG578,1,MATCH(Parametres!$B$3,V$1:AG$1,0))*IF(OR(C578="L",C578="S",C578="I"),-1,1)</f>
        <v>34</v>
      </c>
      <c r="AY578" s="598" t="s">
        <v>337</v>
      </c>
      <c r="AZ578" s="598" t="str">
        <f>+VLOOKUP($AJ578,Data_Validation!$A:$E,5,0)</f>
        <v>Oui</v>
      </c>
    </row>
    <row r="579" spans="1:52" ht="15" customHeight="1">
      <c r="A579" s="832" t="s">
        <v>1150</v>
      </c>
      <c r="B579" s="832">
        <v>2025</v>
      </c>
      <c r="C579" s="832" t="s">
        <v>2297</v>
      </c>
      <c r="D579" s="832" t="s">
        <v>2298</v>
      </c>
      <c r="E579" s="832" t="s">
        <v>2222</v>
      </c>
      <c r="F579" s="832" t="s">
        <v>2222</v>
      </c>
      <c r="G579" s="832">
        <v>0</v>
      </c>
      <c r="H579" s="832">
        <v>63705.19</v>
      </c>
      <c r="I579" s="832">
        <v>250512.73</v>
      </c>
      <c r="J579" s="832">
        <v>250512.73</v>
      </c>
      <c r="K579" s="832">
        <v>311360.96999999997</v>
      </c>
      <c r="L579" s="832">
        <v>311360.96999999997</v>
      </c>
      <c r="M579" s="832">
        <v>375868.18</v>
      </c>
      <c r="N579" s="832">
        <v>502014.18</v>
      </c>
      <c r="O579" s="832">
        <v>502014.18</v>
      </c>
      <c r="P579" s="832">
        <v>502014.18</v>
      </c>
      <c r="Q579" s="832">
        <v>633847.18999999994</v>
      </c>
      <c r="R579" s="832">
        <v>700185.16</v>
      </c>
      <c r="S579" s="832">
        <v>57622.47</v>
      </c>
      <c r="T579" s="832">
        <v>57622.47</v>
      </c>
      <c r="U579" s="832">
        <v>0</v>
      </c>
      <c r="V579" s="832">
        <v>0</v>
      </c>
      <c r="W579" s="832">
        <v>1</v>
      </c>
      <c r="X579" s="832">
        <v>4</v>
      </c>
      <c r="Y579" s="832">
        <v>4</v>
      </c>
      <c r="Z579" s="832">
        <v>5</v>
      </c>
      <c r="AA579" s="832">
        <v>5</v>
      </c>
      <c r="AB579" s="832">
        <v>6</v>
      </c>
      <c r="AC579" s="832">
        <v>8</v>
      </c>
      <c r="AD579" s="832">
        <v>8</v>
      </c>
      <c r="AE579" s="832">
        <v>8</v>
      </c>
      <c r="AF579" s="832">
        <v>10</v>
      </c>
      <c r="AG579" s="832">
        <v>11</v>
      </c>
      <c r="AH579" s="832">
        <v>1</v>
      </c>
      <c r="AI579" s="832">
        <v>1</v>
      </c>
      <c r="AJ579" s="1030" t="str">
        <f t="shared" si="54"/>
        <v>H32100</v>
      </c>
      <c r="AK579" s="1030" t="str">
        <f t="shared" si="55"/>
        <v>VTE PALISADE</v>
      </c>
      <c r="AL579" s="1030">
        <f>IFERROR(INDEX(G579:R579,1,MATCH(Parametres!$B$3,G$1:R$1,0)-1)*IF(OR(F579="L",F579="S",F579="I"),-1,1),"")</f>
        <v>-250512.73</v>
      </c>
      <c r="AM579" s="1030">
        <f t="shared" si="50"/>
        <v>-60848.239999999962</v>
      </c>
      <c r="AN579" s="1030">
        <f>INDEX(G579:R579,1,MATCH(Parametres!$B$3,G$1:R$1,0))*IF(OR(F579="L",F579="S",F579="I"),-1,1)</f>
        <v>-311360.96999999997</v>
      </c>
      <c r="AO579" s="598" t="str">
        <f>+VLOOKUP($AJ579,Data_Validation!$A:$D,1,0)</f>
        <v>H32100</v>
      </c>
      <c r="AP579" s="598" t="str">
        <f>+VLOOKUP($AJ579,Data_Validation!$A:$D,3,0)</f>
        <v>Véhicules neufs</v>
      </c>
      <c r="AQ579" s="598" t="str">
        <f>+VLOOKUP($AJ579,Data_Validation!$A:$D,4,0)</f>
        <v>Camions détail</v>
      </c>
      <c r="AR579" s="598" t="s">
        <v>299</v>
      </c>
      <c r="AS579" s="598" t="str">
        <f>+VLOOKUP($AJ579,Data_Validation!$A:$E,5,0)</f>
        <v>Oui</v>
      </c>
      <c r="AT579" s="1036" t="str">
        <f t="shared" si="51"/>
        <v>H32100</v>
      </c>
      <c r="AU579" s="599" t="str">
        <f t="shared" si="52"/>
        <v>VTE PALISADE</v>
      </c>
      <c r="AV579" s="1030">
        <f>IFERROR(INDEX(V579:AG579,1,MATCH(Parametres!$B$3,V$1:AG$1,0)-1)*IF(OR(C579="L",C579="S",C579="I"),-1,1),"")</f>
        <v>4</v>
      </c>
      <c r="AW579" s="1030">
        <f t="shared" si="53"/>
        <v>1</v>
      </c>
      <c r="AX579" s="1030">
        <f>INDEX(V579:AG579,1,MATCH(Parametres!$B$3,V$1:AG$1,0))*IF(OR(C579="L",C579="S",C579="I"),-1,1)</f>
        <v>5</v>
      </c>
      <c r="AY579" s="598" t="s">
        <v>337</v>
      </c>
      <c r="AZ579" s="598" t="str">
        <f>+VLOOKUP($AJ579,Data_Validation!$A:$E,5,0)</f>
        <v>Oui</v>
      </c>
    </row>
    <row r="580" spans="1:52" ht="15" customHeight="1">
      <c r="A580" s="832" t="s">
        <v>1150</v>
      </c>
      <c r="B580" s="832">
        <v>2025</v>
      </c>
      <c r="C580" s="832" t="s">
        <v>2299</v>
      </c>
      <c r="D580" s="832" t="s">
        <v>2300</v>
      </c>
      <c r="E580" s="832" t="s">
        <v>2222</v>
      </c>
      <c r="F580" s="832" t="s">
        <v>2222</v>
      </c>
      <c r="G580" s="832">
        <v>235155.62</v>
      </c>
      <c r="H580" s="832">
        <v>343825.54</v>
      </c>
      <c r="I580" s="832">
        <v>474272.18</v>
      </c>
      <c r="J580" s="832">
        <v>626559.02</v>
      </c>
      <c r="K580" s="832">
        <v>961985.94</v>
      </c>
      <c r="L580" s="832">
        <v>1373021.45</v>
      </c>
      <c r="M580" s="832">
        <v>1714748.21</v>
      </c>
      <c r="N580" s="832">
        <v>2319545.19</v>
      </c>
      <c r="O580" s="832">
        <v>2719401.47</v>
      </c>
      <c r="P580" s="832">
        <v>3022561.41</v>
      </c>
      <c r="Q580" s="832">
        <v>3292011.77</v>
      </c>
      <c r="R580" s="832">
        <v>3346581.53</v>
      </c>
      <c r="S580" s="832">
        <v>299273.8</v>
      </c>
      <c r="T580" s="832">
        <v>299273.8</v>
      </c>
      <c r="U580" s="832">
        <v>0</v>
      </c>
      <c r="V580" s="832">
        <v>9</v>
      </c>
      <c r="W580" s="832">
        <v>13</v>
      </c>
      <c r="X580" s="832">
        <v>18</v>
      </c>
      <c r="Y580" s="832">
        <v>24</v>
      </c>
      <c r="Z580" s="832">
        <v>37</v>
      </c>
      <c r="AA580" s="832">
        <v>53</v>
      </c>
      <c r="AB580" s="832">
        <v>66</v>
      </c>
      <c r="AC580" s="832">
        <v>89</v>
      </c>
      <c r="AD580" s="832">
        <v>104</v>
      </c>
      <c r="AE580" s="832">
        <v>115</v>
      </c>
      <c r="AF580" s="832">
        <v>125</v>
      </c>
      <c r="AG580" s="832">
        <v>127</v>
      </c>
      <c r="AH580" s="832">
        <v>11</v>
      </c>
      <c r="AI580" s="832">
        <v>11</v>
      </c>
      <c r="AJ580" s="1030" t="str">
        <f t="shared" si="54"/>
        <v>H32200</v>
      </c>
      <c r="AK580" s="1030" t="str">
        <f t="shared" si="55"/>
        <v>VTE VENUE</v>
      </c>
      <c r="AL580" s="1030">
        <f>IFERROR(INDEX(G580:R580,1,MATCH(Parametres!$B$3,G$1:R$1,0)-1)*IF(OR(F580="L",F580="S",F580="I"),-1,1),"")</f>
        <v>-626559.02</v>
      </c>
      <c r="AM580" s="1030">
        <f t="shared" ref="AM580:AM643" si="56">AN580-N(AL580)</f>
        <v>-335426.91999999993</v>
      </c>
      <c r="AN580" s="1030">
        <f>INDEX(G580:R580,1,MATCH(Parametres!$B$3,G$1:R$1,0))*IF(OR(F580="L",F580="S",F580="I"),-1,1)</f>
        <v>-961985.94</v>
      </c>
      <c r="AO580" s="598" t="str">
        <f>+VLOOKUP($AJ580,Data_Validation!$A:$D,1,0)</f>
        <v>H32200</v>
      </c>
      <c r="AP580" s="598" t="str">
        <f>+VLOOKUP($AJ580,Data_Validation!$A:$D,3,0)</f>
        <v>Véhicules neufs</v>
      </c>
      <c r="AQ580" s="598" t="str">
        <f>+VLOOKUP($AJ580,Data_Validation!$A:$D,4,0)</f>
        <v>Camions détail</v>
      </c>
      <c r="AR580" s="598" t="s">
        <v>299</v>
      </c>
      <c r="AS580" s="598" t="str">
        <f>+VLOOKUP($AJ580,Data_Validation!$A:$E,5,0)</f>
        <v>Oui</v>
      </c>
      <c r="AT580" s="1036" t="str">
        <f t="shared" ref="AT580:AT643" si="57">C580</f>
        <v>H32200</v>
      </c>
      <c r="AU580" s="599" t="str">
        <f t="shared" ref="AU580:AU643" si="58">D580</f>
        <v>VTE VENUE</v>
      </c>
      <c r="AV580" s="1030">
        <f>IFERROR(INDEX(V580:AG580,1,MATCH(Parametres!$B$3,V$1:AG$1,0)-1)*IF(OR(C580="L",C580="S",C580="I"),-1,1),"")</f>
        <v>24</v>
      </c>
      <c r="AW580" s="1030">
        <f t="shared" ref="AW580:AW643" si="59">AX580-N(AV580)</f>
        <v>13</v>
      </c>
      <c r="AX580" s="1030">
        <f>INDEX(V580:AG580,1,MATCH(Parametres!$B$3,V$1:AG$1,0))*IF(OR(C580="L",C580="S",C580="I"),-1,1)</f>
        <v>37</v>
      </c>
      <c r="AY580" s="598" t="s">
        <v>337</v>
      </c>
      <c r="AZ580" s="598" t="str">
        <f>+VLOOKUP($AJ580,Data_Validation!$A:$E,5,0)</f>
        <v>Oui</v>
      </c>
    </row>
    <row r="581" spans="1:52" ht="15" customHeight="1">
      <c r="A581" s="832" t="s">
        <v>1150</v>
      </c>
      <c r="B581" s="832">
        <v>2025</v>
      </c>
      <c r="C581" s="832" t="s">
        <v>2301</v>
      </c>
      <c r="D581" s="832" t="s">
        <v>2302</v>
      </c>
      <c r="E581" s="832" t="s">
        <v>2222</v>
      </c>
      <c r="F581" s="832" t="s">
        <v>2222</v>
      </c>
      <c r="G581" s="832">
        <v>101131.51</v>
      </c>
      <c r="H581" s="832">
        <v>176460.46</v>
      </c>
      <c r="I581" s="832">
        <v>246709.21</v>
      </c>
      <c r="J581" s="832">
        <v>269796.82</v>
      </c>
      <c r="K581" s="832">
        <v>322895.82</v>
      </c>
      <c r="L581" s="832">
        <v>322895.82</v>
      </c>
      <c r="M581" s="832">
        <v>322895.82</v>
      </c>
      <c r="N581" s="832">
        <v>365023.16</v>
      </c>
      <c r="O581" s="832">
        <v>442305.38</v>
      </c>
      <c r="P581" s="832">
        <v>554440.35</v>
      </c>
      <c r="Q581" s="832">
        <v>770351.33</v>
      </c>
      <c r="R581" s="832">
        <v>953129.46</v>
      </c>
      <c r="S581" s="832">
        <v>70031.94</v>
      </c>
      <c r="T581" s="832">
        <v>70031.94</v>
      </c>
      <c r="U581" s="832">
        <v>0</v>
      </c>
      <c r="V581" s="832">
        <v>5</v>
      </c>
      <c r="W581" s="832">
        <v>8</v>
      </c>
      <c r="X581" s="832">
        <v>10</v>
      </c>
      <c r="Y581" s="832">
        <v>11</v>
      </c>
      <c r="Z581" s="832">
        <v>13</v>
      </c>
      <c r="AA581" s="832">
        <v>13</v>
      </c>
      <c r="AB581" s="832">
        <v>13</v>
      </c>
      <c r="AC581" s="832">
        <v>15</v>
      </c>
      <c r="AD581" s="832">
        <v>18</v>
      </c>
      <c r="AE581" s="832">
        <v>23</v>
      </c>
      <c r="AF581" s="832">
        <v>31</v>
      </c>
      <c r="AG581" s="832">
        <v>39</v>
      </c>
      <c r="AH581" s="832">
        <v>3</v>
      </c>
      <c r="AI581" s="832">
        <v>3</v>
      </c>
      <c r="AJ581" s="1030" t="str">
        <f t="shared" si="54"/>
        <v>H32300</v>
      </c>
      <c r="AK581" s="1030" t="str">
        <f t="shared" si="55"/>
        <v>VTE USAGES CERTIFIES</v>
      </c>
      <c r="AL581" s="1030">
        <f>IFERROR(INDEX(G581:R581,1,MATCH(Parametres!$B$3,G$1:R$1,0)-1)*IF(OR(F581="L",F581="S",F581="I"),-1,1),"")</f>
        <v>-269796.82</v>
      </c>
      <c r="AM581" s="1030">
        <f t="shared" si="56"/>
        <v>-53099</v>
      </c>
      <c r="AN581" s="1030">
        <f>INDEX(G581:R581,1,MATCH(Parametres!$B$3,G$1:R$1,0))*IF(OR(F581="L",F581="S",F581="I"),-1,1)</f>
        <v>-322895.82</v>
      </c>
      <c r="AO581" s="598" t="str">
        <f>+VLOOKUP($AJ581,Data_Validation!$A:$D,1,0)</f>
        <v>H32300</v>
      </c>
      <c r="AP581" s="598" t="str">
        <f>+VLOOKUP($AJ581,Data_Validation!$A:$D,3,0)</f>
        <v>Véhicules usagés</v>
      </c>
      <c r="AQ581" s="598" t="str">
        <f>+VLOOKUP($AJ581,Data_Validation!$A:$D,4,0)</f>
        <v>Certifié</v>
      </c>
      <c r="AR581" s="598" t="s">
        <v>299</v>
      </c>
      <c r="AS581" s="598" t="str">
        <f>+VLOOKUP($AJ581,Data_Validation!$A:$E,5,0)</f>
        <v>Oui</v>
      </c>
      <c r="AT581" s="1036" t="str">
        <f t="shared" si="57"/>
        <v>H32300</v>
      </c>
      <c r="AU581" s="599" t="str">
        <f t="shared" si="58"/>
        <v>VTE USAGES CERTIFIES</v>
      </c>
      <c r="AV581" s="1030">
        <f>IFERROR(INDEX(V581:AG581,1,MATCH(Parametres!$B$3,V$1:AG$1,0)-1)*IF(OR(C581="L",C581="S",C581="I"),-1,1),"")</f>
        <v>11</v>
      </c>
      <c r="AW581" s="1030">
        <f t="shared" si="59"/>
        <v>2</v>
      </c>
      <c r="AX581" s="1030">
        <f>INDEX(V581:AG581,1,MATCH(Parametres!$B$3,V$1:AG$1,0))*IF(OR(C581="L",C581="S",C581="I"),-1,1)</f>
        <v>13</v>
      </c>
      <c r="AY581" s="598" t="s">
        <v>337</v>
      </c>
      <c r="AZ581" s="598" t="str">
        <f>+VLOOKUP($AJ581,Data_Validation!$A:$E,5,0)</f>
        <v>Oui</v>
      </c>
    </row>
    <row r="582" spans="1:52" ht="15" customHeight="1">
      <c r="A582" s="832" t="s">
        <v>1150</v>
      </c>
      <c r="B582" s="832">
        <v>2025</v>
      </c>
      <c r="C582" s="832" t="s">
        <v>2303</v>
      </c>
      <c r="D582" s="832" t="s">
        <v>2304</v>
      </c>
      <c r="E582" s="832" t="s">
        <v>333</v>
      </c>
      <c r="F582" s="832" t="s">
        <v>2222</v>
      </c>
      <c r="G582" s="832">
        <v>0</v>
      </c>
      <c r="H582" s="832">
        <v>0</v>
      </c>
      <c r="I582" s="832">
        <v>0</v>
      </c>
      <c r="J582" s="832">
        <v>0</v>
      </c>
      <c r="K582" s="832">
        <v>0</v>
      </c>
      <c r="L582" s="832">
        <v>0</v>
      </c>
      <c r="M582" s="832">
        <v>0</v>
      </c>
      <c r="N582" s="832">
        <v>0</v>
      </c>
      <c r="O582" s="832">
        <v>0</v>
      </c>
      <c r="P582" s="832">
        <v>0</v>
      </c>
      <c r="Q582" s="832">
        <v>0</v>
      </c>
      <c r="R582" s="832">
        <v>0</v>
      </c>
      <c r="S582" s="832">
        <v>0</v>
      </c>
      <c r="T582" s="832">
        <v>0</v>
      </c>
      <c r="U582" s="832">
        <v>0</v>
      </c>
      <c r="V582" s="832">
        <v>0</v>
      </c>
      <c r="W582" s="832">
        <v>0</v>
      </c>
      <c r="X582" s="832">
        <v>0</v>
      </c>
      <c r="Y582" s="832">
        <v>0</v>
      </c>
      <c r="Z582" s="832">
        <v>0</v>
      </c>
      <c r="AA582" s="832">
        <v>0</v>
      </c>
      <c r="AB582" s="832">
        <v>0</v>
      </c>
      <c r="AC582" s="832">
        <v>0</v>
      </c>
      <c r="AD582" s="832">
        <v>0</v>
      </c>
      <c r="AE582" s="832">
        <v>0</v>
      </c>
      <c r="AF582" s="832">
        <v>0</v>
      </c>
      <c r="AG582" s="832">
        <v>0</v>
      </c>
      <c r="AH582" s="832">
        <v>0</v>
      </c>
      <c r="AI582" s="832">
        <v>0</v>
      </c>
      <c r="AJ582" s="1030" t="str">
        <f t="shared" si="54"/>
        <v>H32400</v>
      </c>
      <c r="AK582" s="1030" t="str">
        <f t="shared" si="55"/>
        <v>VTE OCC CERTIF HYUNDAI</v>
      </c>
      <c r="AL582" s="1030">
        <f>IFERROR(INDEX(G582:R582,1,MATCH(Parametres!$B$3,G$1:R$1,0)-1)*IF(OR(F582="L",F582="S",F582="I"),-1,1),"")</f>
        <v>0</v>
      </c>
      <c r="AM582" s="1030">
        <f t="shared" si="56"/>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t="str">
        <f t="shared" si="57"/>
        <v>H32400</v>
      </c>
      <c r="AU582" s="599" t="str">
        <f t="shared" si="58"/>
        <v>VTE OCC CERTIF HYUNDAI</v>
      </c>
      <c r="AV582" s="1030">
        <f>IFERROR(INDEX(V582:AG582,1,MATCH(Parametres!$B$3,V$1:AG$1,0)-1)*IF(OR(C582="L",C582="S",C582="I"),-1,1),"")</f>
        <v>0</v>
      </c>
      <c r="AW582" s="1030">
        <f t="shared" si="59"/>
        <v>0</v>
      </c>
      <c r="AX582" s="1030">
        <f>INDEX(V582:AG582,1,MATCH(Parametres!$B$3,V$1:AG$1,0))*IF(OR(C582="L",C582="S",C582="I"),-1,1)</f>
        <v>0</v>
      </c>
      <c r="AY582" s="598" t="s">
        <v>337</v>
      </c>
      <c r="AZ582" s="598" t="e">
        <f>+VLOOKUP($AJ582,Data_Validation!$A:$E,5,0)</f>
        <v>#N/A</v>
      </c>
    </row>
    <row r="583" spans="1:52" ht="15" customHeight="1">
      <c r="A583" s="832" t="s">
        <v>1150</v>
      </c>
      <c r="B583" s="832">
        <v>2025</v>
      </c>
      <c r="C583" s="832" t="s">
        <v>2305</v>
      </c>
      <c r="D583" s="832" t="s">
        <v>2306</v>
      </c>
      <c r="E583" s="832" t="s">
        <v>2222</v>
      </c>
      <c r="F583" s="832" t="s">
        <v>2222</v>
      </c>
      <c r="G583" s="832">
        <v>19084.95</v>
      </c>
      <c r="H583" s="832">
        <v>68311.47</v>
      </c>
      <c r="I583" s="832">
        <v>89311.47</v>
      </c>
      <c r="J583" s="832">
        <v>89311.47</v>
      </c>
      <c r="K583" s="832">
        <v>120811.47</v>
      </c>
      <c r="L583" s="832">
        <v>120811.47</v>
      </c>
      <c r="M583" s="832">
        <v>120811.47</v>
      </c>
      <c r="N583" s="832">
        <v>140311.47</v>
      </c>
      <c r="O583" s="832">
        <v>196151.61</v>
      </c>
      <c r="P583" s="832">
        <v>312722.51</v>
      </c>
      <c r="Q583" s="832">
        <v>353391.56</v>
      </c>
      <c r="R583" s="832">
        <v>394391.56</v>
      </c>
      <c r="S583" s="832">
        <v>32126.51</v>
      </c>
      <c r="T583" s="832">
        <v>32126.51</v>
      </c>
      <c r="U583" s="832">
        <v>0</v>
      </c>
      <c r="V583" s="832">
        <v>1</v>
      </c>
      <c r="W583" s="832">
        <v>3</v>
      </c>
      <c r="X583" s="832">
        <v>4</v>
      </c>
      <c r="Y583" s="832">
        <v>4</v>
      </c>
      <c r="Z583" s="832">
        <v>5</v>
      </c>
      <c r="AA583" s="832">
        <v>5</v>
      </c>
      <c r="AB583" s="832">
        <v>5</v>
      </c>
      <c r="AC583" s="832">
        <v>6</v>
      </c>
      <c r="AD583" s="832">
        <v>8</v>
      </c>
      <c r="AE583" s="832">
        <v>12</v>
      </c>
      <c r="AF583" s="832">
        <v>14</v>
      </c>
      <c r="AG583" s="832">
        <v>16</v>
      </c>
      <c r="AH583" s="832">
        <v>1</v>
      </c>
      <c r="AI583" s="832">
        <v>1</v>
      </c>
      <c r="AJ583" s="1030" t="str">
        <f t="shared" si="54"/>
        <v>H32500</v>
      </c>
      <c r="AK583" s="1030" t="str">
        <f t="shared" si="55"/>
        <v>VTE OCC DETAIL</v>
      </c>
      <c r="AL583" s="1030">
        <f>IFERROR(INDEX(G583:R583,1,MATCH(Parametres!$B$3,G$1:R$1,0)-1)*IF(OR(F583="L",F583="S",F583="I"),-1,1),"")</f>
        <v>-89311.47</v>
      </c>
      <c r="AM583" s="1030">
        <f t="shared" si="56"/>
        <v>-31500</v>
      </c>
      <c r="AN583" s="1030">
        <f>INDEX(G583:R583,1,MATCH(Parametres!$B$3,G$1:R$1,0))*IF(OR(F583="L",F583="S",F583="I"),-1,1)</f>
        <v>-120811.47</v>
      </c>
      <c r="AO583" s="598" t="str">
        <f>+VLOOKUP($AJ583,Data_Validation!$A:$D,1,0)</f>
        <v>H32500</v>
      </c>
      <c r="AP583" s="598" t="str">
        <f>+VLOOKUP($AJ583,Data_Validation!$A:$D,3,0)</f>
        <v>Véhicules usagés</v>
      </c>
      <c r="AQ583" s="598" t="str">
        <f>+VLOOKUP($AJ583,Data_Validation!$A:$D,4,0)</f>
        <v>Non Certifié</v>
      </c>
      <c r="AR583" s="598" t="s">
        <v>299</v>
      </c>
      <c r="AS583" s="598" t="str">
        <f>+VLOOKUP($AJ583,Data_Validation!$A:$E,5,0)</f>
        <v>Oui</v>
      </c>
      <c r="AT583" s="1036" t="str">
        <f t="shared" si="57"/>
        <v>H32500</v>
      </c>
      <c r="AU583" s="599" t="str">
        <f t="shared" si="58"/>
        <v>VTE OCC DETAIL</v>
      </c>
      <c r="AV583" s="1030">
        <f>IFERROR(INDEX(V583:AG583,1,MATCH(Parametres!$B$3,V$1:AG$1,0)-1)*IF(OR(C583="L",C583="S",C583="I"),-1,1),"")</f>
        <v>4</v>
      </c>
      <c r="AW583" s="1030">
        <f t="shared" si="59"/>
        <v>1</v>
      </c>
      <c r="AX583" s="1030">
        <f>INDEX(V583:AG583,1,MATCH(Parametres!$B$3,V$1:AG$1,0))*IF(OR(C583="L",C583="S",C583="I"),-1,1)</f>
        <v>5</v>
      </c>
      <c r="AY583" s="598" t="s">
        <v>337</v>
      </c>
      <c r="AZ583" s="598" t="str">
        <f>+VLOOKUP($AJ583,Data_Validation!$A:$E,5,0)</f>
        <v>Oui</v>
      </c>
    </row>
    <row r="584" spans="1:52" ht="15" customHeight="1">
      <c r="A584" s="832" t="s">
        <v>1150</v>
      </c>
      <c r="B584" s="832">
        <v>2025</v>
      </c>
      <c r="C584" s="832" t="s">
        <v>2307</v>
      </c>
      <c r="D584" s="832" t="s">
        <v>2308</v>
      </c>
      <c r="E584" s="832" t="s">
        <v>333</v>
      </c>
      <c r="F584" s="832" t="s">
        <v>2222</v>
      </c>
      <c r="G584" s="832">
        <v>0</v>
      </c>
      <c r="H584" s="832">
        <v>0</v>
      </c>
      <c r="I584" s="832">
        <v>0</v>
      </c>
      <c r="J584" s="832">
        <v>0</v>
      </c>
      <c r="K584" s="832">
        <v>0</v>
      </c>
      <c r="L584" s="832">
        <v>0</v>
      </c>
      <c r="M584" s="832">
        <v>0</v>
      </c>
      <c r="N584" s="832">
        <v>0</v>
      </c>
      <c r="O584" s="832">
        <v>0</v>
      </c>
      <c r="P584" s="832">
        <v>0</v>
      </c>
      <c r="Q584" s="832">
        <v>0</v>
      </c>
      <c r="R584" s="832">
        <v>0</v>
      </c>
      <c r="S584" s="832">
        <v>0</v>
      </c>
      <c r="T584" s="832">
        <v>0</v>
      </c>
      <c r="U584" s="832">
        <v>0</v>
      </c>
      <c r="V584" s="832">
        <v>0</v>
      </c>
      <c r="W584" s="832">
        <v>0</v>
      </c>
      <c r="X584" s="832">
        <v>0</v>
      </c>
      <c r="Y584" s="832">
        <v>0</v>
      </c>
      <c r="Z584" s="832">
        <v>0</v>
      </c>
      <c r="AA584" s="832">
        <v>0</v>
      </c>
      <c r="AB584" s="832">
        <v>0</v>
      </c>
      <c r="AC584" s="832">
        <v>0</v>
      </c>
      <c r="AD584" s="832">
        <v>0</v>
      </c>
      <c r="AE584" s="832">
        <v>0</v>
      </c>
      <c r="AF584" s="832">
        <v>0</v>
      </c>
      <c r="AG584" s="832">
        <v>0</v>
      </c>
      <c r="AH584" s="832">
        <v>0</v>
      </c>
      <c r="AI584" s="832">
        <v>0</v>
      </c>
      <c r="AJ584" s="1030" t="str">
        <f t="shared" si="54"/>
        <v>H32600</v>
      </c>
      <c r="AK584" s="1030" t="str">
        <f t="shared" si="55"/>
        <v>REMISE EN ETAT VEH OCCASS</v>
      </c>
      <c r="AL584" s="1030">
        <f>IFERROR(INDEX(G584:R584,1,MATCH(Parametres!$B$3,G$1:R$1,0)-1)*IF(OR(F584="L",F584="S",F584="I"),-1,1),"")</f>
        <v>0</v>
      </c>
      <c r="AM584" s="1030">
        <f t="shared" si="56"/>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t="str">
        <f t="shared" si="57"/>
        <v>H32600</v>
      </c>
      <c r="AU584" s="599" t="str">
        <f t="shared" si="58"/>
        <v>REMISE EN ETAT VEH OCCASS</v>
      </c>
      <c r="AV584" s="1030">
        <f>IFERROR(INDEX(V584:AG584,1,MATCH(Parametres!$B$3,V$1:AG$1,0)-1)*IF(OR(C584="L",C584="S",C584="I"),-1,1),"")</f>
        <v>0</v>
      </c>
      <c r="AW584" s="1030">
        <f t="shared" si="59"/>
        <v>0</v>
      </c>
      <c r="AX584" s="1030">
        <f>INDEX(V584:AG584,1,MATCH(Parametres!$B$3,V$1:AG$1,0))*IF(OR(C584="L",C584="S",C584="I"),-1,1)</f>
        <v>0</v>
      </c>
      <c r="AY584" s="598" t="s">
        <v>337</v>
      </c>
      <c r="AZ584" s="598" t="e">
        <f>+VLOOKUP($AJ584,Data_Validation!$A:$E,5,0)</f>
        <v>#N/A</v>
      </c>
    </row>
    <row r="585" spans="1:52" ht="15" customHeight="1">
      <c r="A585" s="832" t="s">
        <v>1150</v>
      </c>
      <c r="B585" s="832">
        <v>2025</v>
      </c>
      <c r="C585" s="832" t="s">
        <v>2309</v>
      </c>
      <c r="D585" s="832" t="s">
        <v>2310</v>
      </c>
      <c r="E585" s="832" t="s">
        <v>2222</v>
      </c>
      <c r="F585" s="832" t="s">
        <v>2222</v>
      </c>
      <c r="G585" s="832">
        <v>0</v>
      </c>
      <c r="H585" s="832">
        <v>0</v>
      </c>
      <c r="I585" s="832">
        <v>0</v>
      </c>
      <c r="J585" s="832">
        <v>0</v>
      </c>
      <c r="K585" s="832">
        <v>0</v>
      </c>
      <c r="L585" s="832">
        <v>0</v>
      </c>
      <c r="M585" s="832">
        <v>0</v>
      </c>
      <c r="N585" s="832">
        <v>37400</v>
      </c>
      <c r="O585" s="832">
        <v>37400</v>
      </c>
      <c r="P585" s="832">
        <v>68978.39</v>
      </c>
      <c r="Q585" s="832">
        <v>68978.39</v>
      </c>
      <c r="R585" s="832">
        <v>68978.39</v>
      </c>
      <c r="S585" s="832">
        <v>6270.76</v>
      </c>
      <c r="T585" s="832">
        <v>6270.76</v>
      </c>
      <c r="U585" s="832">
        <v>0</v>
      </c>
      <c r="V585" s="832">
        <v>0</v>
      </c>
      <c r="W585" s="832">
        <v>0</v>
      </c>
      <c r="X585" s="832">
        <v>0</v>
      </c>
      <c r="Y585" s="832">
        <v>0</v>
      </c>
      <c r="Z585" s="832">
        <v>0</v>
      </c>
      <c r="AA585" s="832">
        <v>0</v>
      </c>
      <c r="AB585" s="832">
        <v>0</v>
      </c>
      <c r="AC585" s="832">
        <v>1</v>
      </c>
      <c r="AD585" s="832">
        <v>1</v>
      </c>
      <c r="AE585" s="832">
        <v>2</v>
      </c>
      <c r="AF585" s="832">
        <v>2</v>
      </c>
      <c r="AG585" s="832">
        <v>2</v>
      </c>
      <c r="AH585" s="832">
        <v>0</v>
      </c>
      <c r="AI585" s="832">
        <v>0</v>
      </c>
      <c r="AJ585" s="1030" t="str">
        <f t="shared" si="54"/>
        <v>H32700</v>
      </c>
      <c r="AK585" s="1030" t="str">
        <f t="shared" si="55"/>
        <v>VTE OCC AUTRE DETAIL</v>
      </c>
      <c r="AL585" s="1030">
        <f>IFERROR(INDEX(G585:R585,1,MATCH(Parametres!$B$3,G$1:R$1,0)-1)*IF(OR(F585="L",F585="S",F585="I"),-1,1),"")</f>
        <v>0</v>
      </c>
      <c r="AM585" s="1030">
        <f t="shared" si="56"/>
        <v>0</v>
      </c>
      <c r="AN585" s="1030">
        <f>INDEX(G585:R585,1,MATCH(Parametres!$B$3,G$1:R$1,0))*IF(OR(F585="L",F585="S",F585="I"),-1,1)</f>
        <v>0</v>
      </c>
      <c r="AO585" s="598" t="str">
        <f>+VLOOKUP($AJ585,Data_Validation!$A:$D,1,0)</f>
        <v>H32700</v>
      </c>
      <c r="AP585" s="598" t="str">
        <f>+VLOOKUP($AJ585,Data_Validation!$A:$D,3,0)</f>
        <v>Véhicules usagés</v>
      </c>
      <c r="AQ585" s="598" t="str">
        <f>+VLOOKUP($AJ585,Data_Validation!$A:$D,4,0)</f>
        <v>Autres Marques</v>
      </c>
      <c r="AR585" s="598" t="s">
        <v>299</v>
      </c>
      <c r="AS585" s="598" t="str">
        <f>+VLOOKUP($AJ585,Data_Validation!$A:$E,5,0)</f>
        <v>Oui</v>
      </c>
      <c r="AT585" s="1036" t="str">
        <f t="shared" si="57"/>
        <v>H32700</v>
      </c>
      <c r="AU585" s="599" t="str">
        <f t="shared" si="58"/>
        <v>VTE OCC AUTRE DETAIL</v>
      </c>
      <c r="AV585" s="1030">
        <f>IFERROR(INDEX(V585:AG585,1,MATCH(Parametres!$B$3,V$1:AG$1,0)-1)*IF(OR(C585="L",C585="S",C585="I"),-1,1),"")</f>
        <v>0</v>
      </c>
      <c r="AW585" s="1030">
        <f t="shared" si="59"/>
        <v>0</v>
      </c>
      <c r="AX585" s="1030">
        <f>INDEX(V585:AG585,1,MATCH(Parametres!$B$3,V$1:AG$1,0))*IF(OR(C585="L",C585="S",C585="I"),-1,1)</f>
        <v>0</v>
      </c>
      <c r="AY585" s="598" t="s">
        <v>337</v>
      </c>
      <c r="AZ585" s="598" t="str">
        <f>+VLOOKUP($AJ585,Data_Validation!$A:$E,5,0)</f>
        <v>Oui</v>
      </c>
    </row>
    <row r="586" spans="1:52" ht="15" customHeight="1">
      <c r="A586" s="832" t="s">
        <v>1150</v>
      </c>
      <c r="B586" s="832">
        <v>2025</v>
      </c>
      <c r="C586" s="832" t="s">
        <v>2311</v>
      </c>
      <c r="D586" s="832" t="s">
        <v>2312</v>
      </c>
      <c r="E586" s="832" t="s">
        <v>333</v>
      </c>
      <c r="F586" s="832" t="s">
        <v>2222</v>
      </c>
      <c r="G586" s="832">
        <v>0</v>
      </c>
      <c r="H586" s="832">
        <v>0</v>
      </c>
      <c r="I586" s="832">
        <v>0</v>
      </c>
      <c r="J586" s="832">
        <v>0</v>
      </c>
      <c r="K586" s="832">
        <v>0</v>
      </c>
      <c r="L586" s="832">
        <v>0</v>
      </c>
      <c r="M586" s="832">
        <v>0</v>
      </c>
      <c r="N586" s="832">
        <v>0</v>
      </c>
      <c r="O586" s="832">
        <v>0</v>
      </c>
      <c r="P586" s="832">
        <v>0</v>
      </c>
      <c r="Q586" s="832">
        <v>0</v>
      </c>
      <c r="R586" s="832">
        <v>0</v>
      </c>
      <c r="S586" s="832">
        <v>0</v>
      </c>
      <c r="T586" s="832">
        <v>0</v>
      </c>
      <c r="U586" s="832">
        <v>0</v>
      </c>
      <c r="V586" s="832">
        <v>0</v>
      </c>
      <c r="W586" s="832">
        <v>0</v>
      </c>
      <c r="X586" s="832">
        <v>0</v>
      </c>
      <c r="Y586" s="832">
        <v>0</v>
      </c>
      <c r="Z586" s="832">
        <v>0</v>
      </c>
      <c r="AA586" s="832">
        <v>0</v>
      </c>
      <c r="AB586" s="832">
        <v>0</v>
      </c>
      <c r="AC586" s="832">
        <v>0</v>
      </c>
      <c r="AD586" s="832">
        <v>0</v>
      </c>
      <c r="AE586" s="832">
        <v>0</v>
      </c>
      <c r="AF586" s="832">
        <v>0</v>
      </c>
      <c r="AG586" s="832">
        <v>0</v>
      </c>
      <c r="AH586" s="832">
        <v>0</v>
      </c>
      <c r="AI586" s="832">
        <v>0</v>
      </c>
      <c r="AJ586" s="1030" t="str">
        <f t="shared" si="54"/>
        <v>H32800</v>
      </c>
      <c r="AK586" s="1030" t="str">
        <f t="shared" si="55"/>
        <v>REMISE ETAT VEH OCC AUTRE</v>
      </c>
      <c r="AL586" s="1030">
        <f>IFERROR(INDEX(G586:R586,1,MATCH(Parametres!$B$3,G$1:R$1,0)-1)*IF(OR(F586="L",F586="S",F586="I"),-1,1),"")</f>
        <v>0</v>
      </c>
      <c r="AM586" s="1030">
        <f t="shared" si="56"/>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t="str">
        <f t="shared" si="57"/>
        <v>H32800</v>
      </c>
      <c r="AU586" s="599" t="str">
        <f t="shared" si="58"/>
        <v>REMISE ETAT VEH OCC AUTRE</v>
      </c>
      <c r="AV586" s="1030">
        <f>IFERROR(INDEX(V586:AG586,1,MATCH(Parametres!$B$3,V$1:AG$1,0)-1)*IF(OR(C586="L",C586="S",C586="I"),-1,1),"")</f>
        <v>0</v>
      </c>
      <c r="AW586" s="1030">
        <f t="shared" si="59"/>
        <v>0</v>
      </c>
      <c r="AX586" s="1030">
        <f>INDEX(V586:AG586,1,MATCH(Parametres!$B$3,V$1:AG$1,0))*IF(OR(C586="L",C586="S",C586="I"),-1,1)</f>
        <v>0</v>
      </c>
      <c r="AY586" s="598" t="s">
        <v>337</v>
      </c>
      <c r="AZ586" s="598" t="e">
        <f>+VLOOKUP($AJ586,Data_Validation!$A:$E,5,0)</f>
        <v>#N/A</v>
      </c>
    </row>
    <row r="587" spans="1:52" ht="15" customHeight="1">
      <c r="A587" s="832" t="s">
        <v>1150</v>
      </c>
      <c r="B587" s="832">
        <v>2025</v>
      </c>
      <c r="C587" s="832" t="s">
        <v>2313</v>
      </c>
      <c r="D587" s="832" t="s">
        <v>2314</v>
      </c>
      <c r="E587" s="832" t="s">
        <v>2222</v>
      </c>
      <c r="F587" s="832" t="s">
        <v>2222</v>
      </c>
      <c r="G587" s="832">
        <v>89200</v>
      </c>
      <c r="H587" s="832">
        <v>95200</v>
      </c>
      <c r="I587" s="832">
        <v>146700</v>
      </c>
      <c r="J587" s="832">
        <v>146700</v>
      </c>
      <c r="K587" s="832">
        <v>209348.77</v>
      </c>
      <c r="L587" s="832">
        <v>264498.77</v>
      </c>
      <c r="M587" s="832">
        <v>264498.77</v>
      </c>
      <c r="N587" s="832">
        <v>349498.77</v>
      </c>
      <c r="O587" s="832">
        <v>374998.77</v>
      </c>
      <c r="P587" s="832">
        <v>415248.77</v>
      </c>
      <c r="Q587" s="832">
        <v>420248.77</v>
      </c>
      <c r="R587" s="832">
        <v>420248.77</v>
      </c>
      <c r="S587" s="832">
        <v>38204.43</v>
      </c>
      <c r="T587" s="832">
        <v>38204.43</v>
      </c>
      <c r="U587" s="832">
        <v>0</v>
      </c>
      <c r="V587" s="832">
        <v>4</v>
      </c>
      <c r="W587" s="832">
        <v>5</v>
      </c>
      <c r="X587" s="832">
        <v>7</v>
      </c>
      <c r="Y587" s="832">
        <v>7</v>
      </c>
      <c r="Z587" s="832">
        <v>11</v>
      </c>
      <c r="AA587" s="832">
        <v>14</v>
      </c>
      <c r="AB587" s="832">
        <v>14</v>
      </c>
      <c r="AC587" s="832">
        <v>17</v>
      </c>
      <c r="AD587" s="832">
        <v>18</v>
      </c>
      <c r="AE587" s="832">
        <v>21</v>
      </c>
      <c r="AF587" s="832">
        <v>22</v>
      </c>
      <c r="AG587" s="832">
        <v>22</v>
      </c>
      <c r="AH587" s="832">
        <v>2</v>
      </c>
      <c r="AI587" s="832">
        <v>2</v>
      </c>
      <c r="AJ587" s="1030" t="str">
        <f t="shared" si="54"/>
        <v>H32900</v>
      </c>
      <c r="AK587" s="1030" t="str">
        <f t="shared" si="55"/>
        <v>VTE ACCOMODATION</v>
      </c>
      <c r="AL587" s="1030">
        <f>IFERROR(INDEX(G587:R587,1,MATCH(Parametres!$B$3,G$1:R$1,0)-1)*IF(OR(F587="L",F587="S",F587="I"),-1,1),"")</f>
        <v>-146700</v>
      </c>
      <c r="AM587" s="1030">
        <f t="shared" si="56"/>
        <v>-62648.76999999999</v>
      </c>
      <c r="AN587" s="1030">
        <f>INDEX(G587:R587,1,MATCH(Parametres!$B$3,G$1:R$1,0))*IF(OR(F587="L",F587="S",F587="I"),-1,1)</f>
        <v>-209348.77</v>
      </c>
      <c r="AO587" s="598" t="str">
        <f>+VLOOKUP($AJ587,Data_Validation!$A:$D,1,0)</f>
        <v>H32900</v>
      </c>
      <c r="AP587" s="598" t="str">
        <f>+VLOOKUP($AJ587,Data_Validation!$A:$D,3,0)</f>
        <v>Véhicules usagés</v>
      </c>
      <c r="AQ587" s="598" t="str">
        <f>+VLOOKUP($AJ587,Data_Validation!$A:$D,4,0)</f>
        <v>Non Certifié</v>
      </c>
      <c r="AR587" s="598" t="s">
        <v>299</v>
      </c>
      <c r="AS587" s="598" t="str">
        <f>+VLOOKUP($AJ587,Data_Validation!$A:$E,5,0)</f>
        <v>Oui</v>
      </c>
      <c r="AT587" s="1036" t="str">
        <f t="shared" si="57"/>
        <v>H32900</v>
      </c>
      <c r="AU587" s="599" t="str">
        <f t="shared" si="58"/>
        <v>VTE ACCOMODATION</v>
      </c>
      <c r="AV587" s="1030">
        <f>IFERROR(INDEX(V587:AG587,1,MATCH(Parametres!$B$3,V$1:AG$1,0)-1)*IF(OR(C587="L",C587="S",C587="I"),-1,1),"")</f>
        <v>7</v>
      </c>
      <c r="AW587" s="1030">
        <f t="shared" si="59"/>
        <v>4</v>
      </c>
      <c r="AX587" s="1030">
        <f>INDEX(V587:AG587,1,MATCH(Parametres!$B$3,V$1:AG$1,0))*IF(OR(C587="L",C587="S",C587="I"),-1,1)</f>
        <v>11</v>
      </c>
      <c r="AY587" s="598" t="s">
        <v>337</v>
      </c>
      <c r="AZ587" s="598" t="str">
        <f>+VLOOKUP($AJ587,Data_Validation!$A:$E,5,0)</f>
        <v>Oui</v>
      </c>
    </row>
    <row r="588" spans="1:52" ht="15" customHeight="1">
      <c r="A588" s="832" t="s">
        <v>1150</v>
      </c>
      <c r="B588" s="832">
        <v>2025</v>
      </c>
      <c r="C588" s="832" t="s">
        <v>2315</v>
      </c>
      <c r="D588" s="832" t="s">
        <v>2316</v>
      </c>
      <c r="E588" s="832" t="s">
        <v>333</v>
      </c>
      <c r="F588" s="832" t="s">
        <v>2317</v>
      </c>
      <c r="G588" s="832">
        <v>0</v>
      </c>
      <c r="H588" s="832">
        <v>0</v>
      </c>
      <c r="I588" s="832">
        <v>0</v>
      </c>
      <c r="J588" s="832">
        <v>0</v>
      </c>
      <c r="K588" s="832">
        <v>0</v>
      </c>
      <c r="L588" s="832">
        <v>0</v>
      </c>
      <c r="M588" s="832">
        <v>0</v>
      </c>
      <c r="N588" s="832">
        <v>0</v>
      </c>
      <c r="O588" s="832">
        <v>0</v>
      </c>
      <c r="P588" s="832">
        <v>0</v>
      </c>
      <c r="Q588" s="832">
        <v>0</v>
      </c>
      <c r="R588" s="832">
        <v>0</v>
      </c>
      <c r="S588" s="832">
        <v>0</v>
      </c>
      <c r="T588" s="832">
        <v>0</v>
      </c>
      <c r="U588" s="832">
        <v>0</v>
      </c>
      <c r="V588" s="832">
        <v>0</v>
      </c>
      <c r="W588" s="832">
        <v>0</v>
      </c>
      <c r="X588" s="832">
        <v>0</v>
      </c>
      <c r="Y588" s="832">
        <v>0</v>
      </c>
      <c r="Z588" s="832">
        <v>0</v>
      </c>
      <c r="AA588" s="832">
        <v>0</v>
      </c>
      <c r="AB588" s="832">
        <v>0</v>
      </c>
      <c r="AC588" s="832">
        <v>0</v>
      </c>
      <c r="AD588" s="832">
        <v>0</v>
      </c>
      <c r="AE588" s="832">
        <v>0</v>
      </c>
      <c r="AF588" s="832">
        <v>0</v>
      </c>
      <c r="AG588" s="832">
        <v>0</v>
      </c>
      <c r="AH588" s="832">
        <v>0</v>
      </c>
      <c r="AI588" s="832">
        <v>0</v>
      </c>
      <c r="AJ588" s="1030" t="str">
        <f t="shared" si="54"/>
        <v>H32950</v>
      </c>
      <c r="AK588" s="1030" t="str">
        <f t="shared" si="55"/>
        <v>DIS INC GENESIS SUV</v>
      </c>
      <c r="AL588" s="1030">
        <f>IFERROR(INDEX(G588:R588,1,MATCH(Parametres!$B$3,G$1:R$1,0)-1)*IF(OR(F588="L",F588="S",F588="I"),-1,1),"")</f>
        <v>0</v>
      </c>
      <c r="AM588" s="1030">
        <f t="shared" si="56"/>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t="str">
        <f t="shared" si="57"/>
        <v>H32950</v>
      </c>
      <c r="AU588" s="599" t="str">
        <f t="shared" si="58"/>
        <v>DIS INC GENESIS SUV</v>
      </c>
      <c r="AV588" s="1030">
        <f>IFERROR(INDEX(V588:AG588,1,MATCH(Parametres!$B$3,V$1:AG$1,0)-1)*IF(OR(C588="L",C588="S",C588="I"),-1,1),"")</f>
        <v>0</v>
      </c>
      <c r="AW588" s="1030">
        <f t="shared" si="59"/>
        <v>0</v>
      </c>
      <c r="AX588" s="1030">
        <f>INDEX(V588:AG588,1,MATCH(Parametres!$B$3,V$1:AG$1,0))*IF(OR(C588="L",C588="S",C588="I"),-1,1)</f>
        <v>0</v>
      </c>
      <c r="AY588" s="598" t="s">
        <v>337</v>
      </c>
      <c r="AZ588" s="598" t="e">
        <f>+VLOOKUP($AJ588,Data_Validation!$A:$E,5,0)</f>
        <v>#N/A</v>
      </c>
    </row>
    <row r="589" spans="1:52" ht="15" customHeight="1">
      <c r="A589" s="832" t="s">
        <v>1150</v>
      </c>
      <c r="B589" s="832">
        <v>2025</v>
      </c>
      <c r="C589" s="832" t="s">
        <v>2318</v>
      </c>
      <c r="D589" s="832" t="s">
        <v>2319</v>
      </c>
      <c r="E589" s="832" t="s">
        <v>2222</v>
      </c>
      <c r="F589" s="832" t="s">
        <v>2222</v>
      </c>
      <c r="G589" s="832">
        <v>106106</v>
      </c>
      <c r="H589" s="832">
        <v>106106</v>
      </c>
      <c r="I589" s="832">
        <v>446134</v>
      </c>
      <c r="J589" s="832">
        <v>889723</v>
      </c>
      <c r="K589" s="832">
        <v>1527456</v>
      </c>
      <c r="L589" s="832">
        <v>1707114</v>
      </c>
      <c r="M589" s="832">
        <v>2623710.61</v>
      </c>
      <c r="N589" s="832">
        <v>3086602.27</v>
      </c>
      <c r="O589" s="832">
        <v>4154447.58</v>
      </c>
      <c r="P589" s="832">
        <v>4580306.58</v>
      </c>
      <c r="Q589" s="832">
        <v>4798625.24</v>
      </c>
      <c r="R589" s="832">
        <v>5338557.24</v>
      </c>
      <c r="S589" s="832">
        <v>436238.66</v>
      </c>
      <c r="T589" s="832">
        <v>436238.66</v>
      </c>
      <c r="U589" s="832">
        <v>0</v>
      </c>
      <c r="V589" s="832">
        <v>2</v>
      </c>
      <c r="W589" s="832">
        <v>2</v>
      </c>
      <c r="X589" s="832">
        <v>9</v>
      </c>
      <c r="Y589" s="832">
        <v>20</v>
      </c>
      <c r="Z589" s="832">
        <v>35</v>
      </c>
      <c r="AA589" s="832">
        <v>40</v>
      </c>
      <c r="AB589" s="832">
        <v>63</v>
      </c>
      <c r="AC589" s="832">
        <v>72</v>
      </c>
      <c r="AD589" s="832">
        <v>99</v>
      </c>
      <c r="AE589" s="832">
        <v>106</v>
      </c>
      <c r="AF589" s="832">
        <v>110</v>
      </c>
      <c r="AG589" s="832">
        <v>121</v>
      </c>
      <c r="AH589" s="832">
        <v>10</v>
      </c>
      <c r="AI589" s="832">
        <v>10</v>
      </c>
      <c r="AJ589" s="1030" t="str">
        <f t="shared" si="54"/>
        <v>H32999</v>
      </c>
      <c r="AK589" s="1030" t="str">
        <f t="shared" si="55"/>
        <v>ECHANGE CONCESSIONNAIRE</v>
      </c>
      <c r="AL589" s="1030">
        <f>IFERROR(INDEX(G589:R589,1,MATCH(Parametres!$B$3,G$1:R$1,0)-1)*IF(OR(F589="L",F589="S",F589="I"),-1,1),"")</f>
        <v>-889723</v>
      </c>
      <c r="AM589" s="1030">
        <f t="shared" si="56"/>
        <v>-637733</v>
      </c>
      <c r="AN589" s="1030">
        <f>INDEX(G589:R589,1,MATCH(Parametres!$B$3,G$1:R$1,0))*IF(OR(F589="L",F589="S",F589="I"),-1,1)</f>
        <v>-1527456</v>
      </c>
      <c r="AO589" s="598" t="str">
        <f>+VLOOKUP($AJ589,Data_Validation!$A:$D,1,0)</f>
        <v>H32999</v>
      </c>
      <c r="AP589" s="598" t="str">
        <f>+VLOOKUP($AJ589,Data_Validation!$A:$D,3,0)</f>
        <v>Véhicules neufs</v>
      </c>
      <c r="AQ589" s="598" t="str">
        <f>+VLOOKUP($AJ589,Data_Validation!$A:$D,4,0)</f>
        <v>Dealer trade</v>
      </c>
      <c r="AR589" s="598" t="s">
        <v>299</v>
      </c>
      <c r="AS589" s="598">
        <f>+VLOOKUP($AJ589,Data_Validation!$A:$E,5,0)</f>
        <v>0</v>
      </c>
      <c r="AT589" s="1036" t="str">
        <f t="shared" si="57"/>
        <v>H32999</v>
      </c>
      <c r="AU589" s="599" t="str">
        <f t="shared" si="58"/>
        <v>ECHANGE CONCESSIONNAIRE</v>
      </c>
      <c r="AV589" s="1030">
        <f>IFERROR(INDEX(V589:AG589,1,MATCH(Parametres!$B$3,V$1:AG$1,0)-1)*IF(OR(C589="L",C589="S",C589="I"),-1,1),"")</f>
        <v>20</v>
      </c>
      <c r="AW589" s="1030">
        <f t="shared" si="59"/>
        <v>15</v>
      </c>
      <c r="AX589" s="1030">
        <f>INDEX(V589:AG589,1,MATCH(Parametres!$B$3,V$1:AG$1,0))*IF(OR(C589="L",C589="S",C589="I"),-1,1)</f>
        <v>35</v>
      </c>
      <c r="AY589" s="598" t="s">
        <v>337</v>
      </c>
      <c r="AZ589" s="598">
        <f>+VLOOKUP($AJ589,Data_Validation!$A:$E,5,0)</f>
        <v>0</v>
      </c>
    </row>
    <row r="590" spans="1:52" ht="15" customHeight="1">
      <c r="A590" s="832" t="s">
        <v>1150</v>
      </c>
      <c r="B590" s="832">
        <v>2025</v>
      </c>
      <c r="C590" s="832" t="s">
        <v>2320</v>
      </c>
      <c r="D590" s="832" t="s">
        <v>2244</v>
      </c>
      <c r="E590" s="832" t="s">
        <v>2222</v>
      </c>
      <c r="F590" s="832" t="s">
        <v>2222</v>
      </c>
      <c r="G590" s="832">
        <v>0</v>
      </c>
      <c r="H590" s="832">
        <v>0</v>
      </c>
      <c r="I590" s="832">
        <v>0</v>
      </c>
      <c r="J590" s="832">
        <v>0</v>
      </c>
      <c r="K590" s="832">
        <v>0</v>
      </c>
      <c r="L590" s="832">
        <v>0</v>
      </c>
      <c r="M590" s="832">
        <v>0</v>
      </c>
      <c r="N590" s="832">
        <v>0</v>
      </c>
      <c r="O590" s="832">
        <v>0</v>
      </c>
      <c r="P590" s="832">
        <v>0</v>
      </c>
      <c r="Q590" s="832">
        <v>0</v>
      </c>
      <c r="R590" s="832">
        <v>0</v>
      </c>
      <c r="S590" s="832">
        <v>0</v>
      </c>
      <c r="T590" s="832">
        <v>0</v>
      </c>
      <c r="U590" s="832">
        <v>0</v>
      </c>
      <c r="V590" s="832">
        <v>0</v>
      </c>
      <c r="W590" s="832">
        <v>0</v>
      </c>
      <c r="X590" s="832">
        <v>0</v>
      </c>
      <c r="Y590" s="832">
        <v>0</v>
      </c>
      <c r="Z590" s="832">
        <v>0</v>
      </c>
      <c r="AA590" s="832">
        <v>0</v>
      </c>
      <c r="AB590" s="832">
        <v>0</v>
      </c>
      <c r="AC590" s="832">
        <v>0</v>
      </c>
      <c r="AD590" s="832">
        <v>0</v>
      </c>
      <c r="AE590" s="832">
        <v>0</v>
      </c>
      <c r="AF590" s="832">
        <v>0</v>
      </c>
      <c r="AG590" s="832">
        <v>0</v>
      </c>
      <c r="AH590" s="832">
        <v>0</v>
      </c>
      <c r="AI590" s="832">
        <v>0</v>
      </c>
      <c r="AJ590" s="1030" t="str">
        <f t="shared" si="54"/>
        <v>H33000</v>
      </c>
      <c r="AK590" s="1030" t="str">
        <f t="shared" si="55"/>
        <v>VTE ELANTRA</v>
      </c>
      <c r="AL590" s="1030">
        <f>IFERROR(INDEX(G590:R590,1,MATCH(Parametres!$B$3,G$1:R$1,0)-1)*IF(OR(F590="L",F590="S",F590="I"),-1,1),"")</f>
        <v>0</v>
      </c>
      <c r="AM590" s="1030">
        <f t="shared" si="56"/>
        <v>0</v>
      </c>
      <c r="AN590" s="1030">
        <f>INDEX(G590:R590,1,MATCH(Parametres!$B$3,G$1:R$1,0))*IF(OR(F590="L",F590="S",F590="I"),-1,1)</f>
        <v>0</v>
      </c>
      <c r="AO590" s="598" t="str">
        <f>+VLOOKUP($AJ590,Data_Validation!$A:$D,1,0)</f>
        <v>H33000</v>
      </c>
      <c r="AP590" s="598" t="str">
        <f>+VLOOKUP($AJ590,Data_Validation!$A:$D,3,0)</f>
        <v>Véhicules neufs</v>
      </c>
      <c r="AQ590" s="598" t="str">
        <f>+VLOOKUP($AJ590,Data_Validation!$A:$D,4,0)</f>
        <v>Autos détail</v>
      </c>
      <c r="AR590" s="598" t="s">
        <v>299</v>
      </c>
      <c r="AS590" s="598" t="str">
        <f>+VLOOKUP($AJ590,Data_Validation!$A:$E,5,0)</f>
        <v>Oui</v>
      </c>
      <c r="AT590" s="1036" t="str">
        <f t="shared" si="57"/>
        <v>H33000</v>
      </c>
      <c r="AU590" s="599" t="str">
        <f t="shared" si="58"/>
        <v>VTE ELANTRA</v>
      </c>
      <c r="AV590" s="1030">
        <f>IFERROR(INDEX(V590:AG590,1,MATCH(Parametres!$B$3,V$1:AG$1,0)-1)*IF(OR(C590="L",C590="S",C590="I"),-1,1),"")</f>
        <v>0</v>
      </c>
      <c r="AW590" s="1030">
        <f t="shared" si="59"/>
        <v>0</v>
      </c>
      <c r="AX590" s="1030">
        <f>INDEX(V590:AG590,1,MATCH(Parametres!$B$3,V$1:AG$1,0))*IF(OR(C590="L",C590="S",C590="I"),-1,1)</f>
        <v>0</v>
      </c>
      <c r="AY590" s="598" t="s">
        <v>337</v>
      </c>
      <c r="AZ590" s="598" t="str">
        <f>+VLOOKUP($AJ590,Data_Validation!$A:$E,5,0)</f>
        <v>Oui</v>
      </c>
    </row>
    <row r="591" spans="1:52" ht="15" customHeight="1">
      <c r="A591" s="832" t="s">
        <v>1150</v>
      </c>
      <c r="B591" s="832">
        <v>2025</v>
      </c>
      <c r="C591" s="832" t="s">
        <v>2321</v>
      </c>
      <c r="D591" s="832" t="s">
        <v>2322</v>
      </c>
      <c r="E591" s="832" t="s">
        <v>2222</v>
      </c>
      <c r="F591" s="832" t="s">
        <v>2222</v>
      </c>
      <c r="G591" s="832">
        <v>552623</v>
      </c>
      <c r="H591" s="832">
        <v>582623</v>
      </c>
      <c r="I591" s="832">
        <v>582623</v>
      </c>
      <c r="J591" s="832">
        <v>582623</v>
      </c>
      <c r="K591" s="832">
        <v>607230</v>
      </c>
      <c r="L591" s="832">
        <v>667154</v>
      </c>
      <c r="M591" s="832">
        <v>667154</v>
      </c>
      <c r="N591" s="832">
        <v>667154</v>
      </c>
      <c r="O591" s="832">
        <v>667154</v>
      </c>
      <c r="P591" s="832">
        <v>692054</v>
      </c>
      <c r="Q591" s="832">
        <v>692054</v>
      </c>
      <c r="R591" s="832">
        <v>692054</v>
      </c>
      <c r="S591" s="832">
        <v>62914</v>
      </c>
      <c r="T591" s="832">
        <v>62914</v>
      </c>
      <c r="U591" s="832">
        <v>0</v>
      </c>
      <c r="V591" s="832">
        <v>39</v>
      </c>
      <c r="W591" s="832">
        <v>40</v>
      </c>
      <c r="X591" s="832">
        <v>40</v>
      </c>
      <c r="Y591" s="832">
        <v>40</v>
      </c>
      <c r="Z591" s="832">
        <v>41</v>
      </c>
      <c r="AA591" s="832">
        <v>43</v>
      </c>
      <c r="AB591" s="832">
        <v>43</v>
      </c>
      <c r="AC591" s="832">
        <v>43</v>
      </c>
      <c r="AD591" s="832">
        <v>43</v>
      </c>
      <c r="AE591" s="832">
        <v>44</v>
      </c>
      <c r="AF591" s="832">
        <v>44</v>
      </c>
      <c r="AG591" s="832">
        <v>44</v>
      </c>
      <c r="AH591" s="832">
        <v>4</v>
      </c>
      <c r="AI591" s="832">
        <v>4</v>
      </c>
      <c r="AJ591" s="1030" t="str">
        <f t="shared" si="54"/>
        <v>H33200</v>
      </c>
      <c r="AK591" s="1030" t="str">
        <f t="shared" si="55"/>
        <v>VTE OCC EN GROS</v>
      </c>
      <c r="AL591" s="1030">
        <f>IFERROR(INDEX(G591:R591,1,MATCH(Parametres!$B$3,G$1:R$1,0)-1)*IF(OR(F591="L",F591="S",F591="I"),-1,1),"")</f>
        <v>-582623</v>
      </c>
      <c r="AM591" s="1030">
        <f t="shared" si="56"/>
        <v>-24607</v>
      </c>
      <c r="AN591" s="1030">
        <f>INDEX(G591:R591,1,MATCH(Parametres!$B$3,G$1:R$1,0))*IF(OR(F591="L",F591="S",F591="I"),-1,1)</f>
        <v>-607230</v>
      </c>
      <c r="AO591" s="598" t="str">
        <f>+VLOOKUP($AJ591,Data_Validation!$A:$D,1,0)</f>
        <v>H33200</v>
      </c>
      <c r="AP591" s="598" t="str">
        <f>+VLOOKUP($AJ591,Data_Validation!$A:$D,3,0)</f>
        <v>Véhicules usagés</v>
      </c>
      <c r="AQ591" s="598" t="str">
        <f>+VLOOKUP($AJ591,Data_Validation!$A:$D,4,0)</f>
        <v>Ventes au Gros</v>
      </c>
      <c r="AR591" s="598" t="s">
        <v>299</v>
      </c>
      <c r="AS591" s="598" t="str">
        <f>+VLOOKUP($AJ591,Data_Validation!$A:$E,5,0)</f>
        <v>Oui</v>
      </c>
      <c r="AT591" s="1036" t="str">
        <f t="shared" si="57"/>
        <v>H33200</v>
      </c>
      <c r="AU591" s="599" t="str">
        <f t="shared" si="58"/>
        <v>VTE OCC EN GROS</v>
      </c>
      <c r="AV591" s="1030">
        <f>IFERROR(INDEX(V591:AG591,1,MATCH(Parametres!$B$3,V$1:AG$1,0)-1)*IF(OR(C591="L",C591="S",C591="I"),-1,1),"")</f>
        <v>40</v>
      </c>
      <c r="AW591" s="1030">
        <f t="shared" si="59"/>
        <v>1</v>
      </c>
      <c r="AX591" s="1030">
        <f>INDEX(V591:AG591,1,MATCH(Parametres!$B$3,V$1:AG$1,0))*IF(OR(C591="L",C591="S",C591="I"),-1,1)</f>
        <v>41</v>
      </c>
      <c r="AY591" s="598" t="s">
        <v>337</v>
      </c>
      <c r="AZ591" s="598" t="str">
        <f>+VLOOKUP($AJ591,Data_Validation!$A:$E,5,0)</f>
        <v>Oui</v>
      </c>
    </row>
    <row r="592" spans="1:52" ht="15" customHeight="1">
      <c r="A592" s="832" t="s">
        <v>1150</v>
      </c>
      <c r="B592" s="832">
        <v>2025</v>
      </c>
      <c r="C592" s="832" t="s">
        <v>2323</v>
      </c>
      <c r="D592" s="832" t="s">
        <v>2324</v>
      </c>
      <c r="E592" s="832" t="s">
        <v>2222</v>
      </c>
      <c r="F592" s="832" t="s">
        <v>2222</v>
      </c>
      <c r="G592" s="832">
        <v>290728</v>
      </c>
      <c r="H592" s="832">
        <v>700302</v>
      </c>
      <c r="I592" s="832">
        <v>1281124</v>
      </c>
      <c r="J592" s="832">
        <v>2467017</v>
      </c>
      <c r="K592" s="832">
        <v>3549572.84</v>
      </c>
      <c r="L592" s="832">
        <v>4454018.84</v>
      </c>
      <c r="M592" s="832">
        <v>5079474.84</v>
      </c>
      <c r="N592" s="832">
        <v>5717347.8399999999</v>
      </c>
      <c r="O592" s="832">
        <v>6334522.8399999999</v>
      </c>
      <c r="P592" s="832">
        <v>6700240.8399999999</v>
      </c>
      <c r="Q592" s="832">
        <v>7056095.8399999999</v>
      </c>
      <c r="R592" s="832">
        <v>7165275.8399999999</v>
      </c>
      <c r="S592" s="832">
        <v>641463.26</v>
      </c>
      <c r="T592" s="832">
        <v>641463.26</v>
      </c>
      <c r="U592" s="832">
        <v>0</v>
      </c>
      <c r="V592" s="832">
        <v>15</v>
      </c>
      <c r="W592" s="832">
        <v>46</v>
      </c>
      <c r="X592" s="832">
        <v>79</v>
      </c>
      <c r="Y592" s="832">
        <v>141</v>
      </c>
      <c r="Z592" s="832">
        <v>199</v>
      </c>
      <c r="AA592" s="832">
        <v>249</v>
      </c>
      <c r="AB592" s="832">
        <v>294</v>
      </c>
      <c r="AC592" s="832">
        <v>338</v>
      </c>
      <c r="AD592" s="832">
        <v>384</v>
      </c>
      <c r="AE592" s="832">
        <v>413</v>
      </c>
      <c r="AF592" s="832">
        <v>441</v>
      </c>
      <c r="AG592" s="832">
        <v>453</v>
      </c>
      <c r="AH592" s="832">
        <v>40</v>
      </c>
      <c r="AI592" s="832">
        <v>40</v>
      </c>
      <c r="AJ592" s="1030" t="str">
        <f t="shared" si="54"/>
        <v>H33201</v>
      </c>
      <c r="AK592" s="1030" t="str">
        <f t="shared" si="55"/>
        <v>VTE EBLOCK - EN GROS</v>
      </c>
      <c r="AL592" s="1030">
        <f>IFERROR(INDEX(G592:R592,1,MATCH(Parametres!$B$3,G$1:R$1,0)-1)*IF(OR(F592="L",F592="S",F592="I"),-1,1),"")</f>
        <v>-2467017</v>
      </c>
      <c r="AM592" s="1030">
        <f t="shared" si="56"/>
        <v>-1082555.8399999999</v>
      </c>
      <c r="AN592" s="1030">
        <f>INDEX(G592:R592,1,MATCH(Parametres!$B$3,G$1:R$1,0))*IF(OR(F592="L",F592="S",F592="I"),-1,1)</f>
        <v>-3549572.84</v>
      </c>
      <c r="AO592" s="598" t="str">
        <f>+VLOOKUP($AJ592,Data_Validation!$A:$D,1,0)</f>
        <v>H33201</v>
      </c>
      <c r="AP592" s="598" t="str">
        <f>+VLOOKUP($AJ592,Data_Validation!$A:$D,3,0)</f>
        <v>Véhicules usagés</v>
      </c>
      <c r="AQ592" s="598" t="str">
        <f>+VLOOKUP($AJ592,Data_Validation!$A:$D,4,0)</f>
        <v>Ventes au Gros</v>
      </c>
      <c r="AR592" s="598" t="s">
        <v>299</v>
      </c>
      <c r="AS592" s="598" t="str">
        <f>+VLOOKUP($AJ592,Data_Validation!$A:$E,5,0)</f>
        <v>Oui</v>
      </c>
      <c r="AT592" s="1036" t="str">
        <f t="shared" si="57"/>
        <v>H33201</v>
      </c>
      <c r="AU592" s="599" t="str">
        <f t="shared" si="58"/>
        <v>VTE EBLOCK - EN GROS</v>
      </c>
      <c r="AV592" s="1030">
        <f>IFERROR(INDEX(V592:AG592,1,MATCH(Parametres!$B$3,V$1:AG$1,0)-1)*IF(OR(C592="L",C592="S",C592="I"),-1,1),"")</f>
        <v>141</v>
      </c>
      <c r="AW592" s="1030">
        <f t="shared" si="59"/>
        <v>58</v>
      </c>
      <c r="AX592" s="1030">
        <f>INDEX(V592:AG592,1,MATCH(Parametres!$B$3,V$1:AG$1,0))*IF(OR(C592="L",C592="S",C592="I"),-1,1)</f>
        <v>199</v>
      </c>
      <c r="AY592" s="598" t="s">
        <v>337</v>
      </c>
      <c r="AZ592" s="598" t="str">
        <f>+VLOOKUP($AJ592,Data_Validation!$A:$E,5,0)</f>
        <v>Oui</v>
      </c>
    </row>
    <row r="593" spans="1:52" ht="15" customHeight="1">
      <c r="A593" s="832" t="s">
        <v>1150</v>
      </c>
      <c r="B593" s="832">
        <v>2025</v>
      </c>
      <c r="C593" s="832" t="s">
        <v>2325</v>
      </c>
      <c r="D593" s="832" t="s">
        <v>2716</v>
      </c>
      <c r="E593" s="832" t="s">
        <v>2222</v>
      </c>
      <c r="F593" s="832" t="s">
        <v>2222</v>
      </c>
      <c r="G593" s="832">
        <v>0</v>
      </c>
      <c r="H593" s="832">
        <v>0</v>
      </c>
      <c r="I593" s="832">
        <v>0</v>
      </c>
      <c r="J593" s="832">
        <v>0</v>
      </c>
      <c r="K593" s="832">
        <v>0</v>
      </c>
      <c r="L593" s="832">
        <v>0</v>
      </c>
      <c r="M593" s="832">
        <v>0</v>
      </c>
      <c r="N593" s="832">
        <v>0</v>
      </c>
      <c r="O593" s="832">
        <v>0</v>
      </c>
      <c r="P593" s="832">
        <v>0</v>
      </c>
      <c r="Q593" s="832">
        <v>0</v>
      </c>
      <c r="R593" s="832">
        <v>0</v>
      </c>
      <c r="S593" s="832">
        <v>0</v>
      </c>
      <c r="T593" s="832">
        <v>0</v>
      </c>
      <c r="U593" s="832">
        <v>0</v>
      </c>
      <c r="V593" s="832">
        <v>0</v>
      </c>
      <c r="W593" s="832">
        <v>0</v>
      </c>
      <c r="X593" s="832">
        <v>0</v>
      </c>
      <c r="Y593" s="832">
        <v>0</v>
      </c>
      <c r="Z593" s="832">
        <v>0</v>
      </c>
      <c r="AA593" s="832">
        <v>0</v>
      </c>
      <c r="AB593" s="832">
        <v>0</v>
      </c>
      <c r="AC593" s="832">
        <v>0</v>
      </c>
      <c r="AD593" s="832">
        <v>0</v>
      </c>
      <c r="AE593" s="832">
        <v>0</v>
      </c>
      <c r="AF593" s="832">
        <v>0</v>
      </c>
      <c r="AG593" s="832">
        <v>0</v>
      </c>
      <c r="AH593" s="832">
        <v>0</v>
      </c>
      <c r="AI593" s="832">
        <v>0</v>
      </c>
      <c r="AJ593" s="1030" t="str">
        <f t="shared" si="54"/>
        <v>H33202</v>
      </c>
      <c r="AK593" s="1030" t="str">
        <f t="shared" si="55"/>
        <v>WHOLESALE PAT</v>
      </c>
      <c r="AL593" s="1030">
        <f>IFERROR(INDEX(G593:R593,1,MATCH(Parametres!$B$3,G$1:R$1,0)-1)*IF(OR(F593="L",F593="S",F593="I"),-1,1),"")</f>
        <v>0</v>
      </c>
      <c r="AM593" s="1030">
        <f t="shared" si="56"/>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t="str">
        <f t="shared" si="57"/>
        <v>H33202</v>
      </c>
      <c r="AU593" s="599" t="str">
        <f t="shared" si="58"/>
        <v>WHOLESALE PAT</v>
      </c>
      <c r="AV593" s="1030">
        <f>IFERROR(INDEX(V593:AG593,1,MATCH(Parametres!$B$3,V$1:AG$1,0)-1)*IF(OR(C593="L",C593="S",C593="I"),-1,1),"")</f>
        <v>0</v>
      </c>
      <c r="AW593" s="1030">
        <f t="shared" si="59"/>
        <v>0</v>
      </c>
      <c r="AX593" s="1030">
        <f>INDEX(V593:AG593,1,MATCH(Parametres!$B$3,V$1:AG$1,0))*IF(OR(C593="L",C593="S",C593="I"),-1,1)</f>
        <v>0</v>
      </c>
      <c r="AY593" s="598" t="s">
        <v>337</v>
      </c>
      <c r="AZ593" s="598" t="e">
        <f>+VLOOKUP($AJ593,Data_Validation!$A:$E,5,0)</f>
        <v>#N/A</v>
      </c>
    </row>
    <row r="594" spans="1:52" ht="15" customHeight="1">
      <c r="A594" s="832" t="s">
        <v>1150</v>
      </c>
      <c r="B594" s="832">
        <v>2025</v>
      </c>
      <c r="C594" s="832" t="s">
        <v>2326</v>
      </c>
      <c r="D594" s="832" t="s">
        <v>2327</v>
      </c>
      <c r="E594" s="832" t="s">
        <v>2222</v>
      </c>
      <c r="F594" s="832" t="s">
        <v>2222</v>
      </c>
      <c r="G594" s="832">
        <v>0</v>
      </c>
      <c r="H594" s="832">
        <v>0</v>
      </c>
      <c r="I594" s="832">
        <v>0</v>
      </c>
      <c r="J594" s="832">
        <v>0</v>
      </c>
      <c r="K594" s="832">
        <v>0</v>
      </c>
      <c r="L594" s="832">
        <v>0</v>
      </c>
      <c r="M594" s="832">
        <v>0</v>
      </c>
      <c r="N594" s="832">
        <v>0</v>
      </c>
      <c r="O594" s="832">
        <v>0</v>
      </c>
      <c r="P594" s="832">
        <v>0</v>
      </c>
      <c r="Q594" s="832">
        <v>0</v>
      </c>
      <c r="R594" s="832">
        <v>0</v>
      </c>
      <c r="S594" s="832">
        <v>0</v>
      </c>
      <c r="T594" s="832">
        <v>0</v>
      </c>
      <c r="U594" s="832">
        <v>0</v>
      </c>
      <c r="V594" s="832">
        <v>0</v>
      </c>
      <c r="W594" s="832">
        <v>0</v>
      </c>
      <c r="X594" s="832">
        <v>0</v>
      </c>
      <c r="Y594" s="832">
        <v>0</v>
      </c>
      <c r="Z594" s="832">
        <v>0</v>
      </c>
      <c r="AA594" s="832">
        <v>0</v>
      </c>
      <c r="AB594" s="832">
        <v>0</v>
      </c>
      <c r="AC594" s="832">
        <v>0</v>
      </c>
      <c r="AD594" s="832">
        <v>0</v>
      </c>
      <c r="AE594" s="832">
        <v>0</v>
      </c>
      <c r="AF594" s="832">
        <v>0</v>
      </c>
      <c r="AG594" s="832">
        <v>0</v>
      </c>
      <c r="AH594" s="832">
        <v>0</v>
      </c>
      <c r="AI594" s="832">
        <v>0</v>
      </c>
      <c r="AJ594" s="1030" t="str">
        <f t="shared" si="54"/>
        <v>H33300</v>
      </c>
      <c r="AK594" s="1030" t="str">
        <f t="shared" si="55"/>
        <v>VTE USAGE RACHAT LOCATION</v>
      </c>
      <c r="AL594" s="1030">
        <f>IFERROR(INDEX(G594:R594,1,MATCH(Parametres!$B$3,G$1:R$1,0)-1)*IF(OR(F594="L",F594="S",F594="I"),-1,1),"")</f>
        <v>0</v>
      </c>
      <c r="AM594" s="1030">
        <f t="shared" si="56"/>
        <v>0</v>
      </c>
      <c r="AN594" s="1030">
        <f>INDEX(G594:R594,1,MATCH(Parametres!$B$3,G$1:R$1,0))*IF(OR(F594="L",F594="S",F594="I"),-1,1)</f>
        <v>0</v>
      </c>
      <c r="AO594" s="598" t="str">
        <f>+VLOOKUP($AJ594,Data_Validation!$A:$D,1,0)</f>
        <v>H33300</v>
      </c>
      <c r="AP594" s="598" t="str">
        <f>+VLOOKUP($AJ594,Data_Validation!$A:$D,3,0)</f>
        <v>Véhicules usagés</v>
      </c>
      <c r="AQ594" s="598" t="str">
        <f>+VLOOKUP($AJ594,Data_Validation!$A:$D,4,0)</f>
        <v>Rachat bail</v>
      </c>
      <c r="AR594" s="598" t="s">
        <v>299</v>
      </c>
      <c r="AS594" s="598" t="str">
        <f>+VLOOKUP($AJ594,Data_Validation!$A:$E,5,0)</f>
        <v>Oui</v>
      </c>
      <c r="AT594" s="1036" t="str">
        <f t="shared" si="57"/>
        <v>H33300</v>
      </c>
      <c r="AU594" s="599" t="str">
        <f t="shared" si="58"/>
        <v>VTE USAGE RACHAT LOCATION</v>
      </c>
      <c r="AV594" s="1030">
        <f>IFERROR(INDEX(V594:AG594,1,MATCH(Parametres!$B$3,V$1:AG$1,0)-1)*IF(OR(C594="L",C594="S",C594="I"),-1,1),"")</f>
        <v>0</v>
      </c>
      <c r="AW594" s="1030">
        <f t="shared" si="59"/>
        <v>0</v>
      </c>
      <c r="AX594" s="1030">
        <f>INDEX(V594:AG594,1,MATCH(Parametres!$B$3,V$1:AG$1,0))*IF(OR(C594="L",C594="S",C594="I"),-1,1)</f>
        <v>0</v>
      </c>
      <c r="AY594" s="598" t="s">
        <v>337</v>
      </c>
      <c r="AZ594" s="598" t="str">
        <f>+VLOOKUP($AJ594,Data_Validation!$A:$E,5,0)</f>
        <v>Oui</v>
      </c>
    </row>
    <row r="595" spans="1:52" ht="15" customHeight="1">
      <c r="A595" s="832" t="s">
        <v>1150</v>
      </c>
      <c r="B595" s="832">
        <v>2025</v>
      </c>
      <c r="C595" s="832" t="s">
        <v>2328</v>
      </c>
      <c r="D595" s="832" t="s">
        <v>2329</v>
      </c>
      <c r="E595" s="832" t="s">
        <v>333</v>
      </c>
      <c r="F595" s="832" t="s">
        <v>2222</v>
      </c>
      <c r="G595" s="832">
        <v>0</v>
      </c>
      <c r="H595" s="832">
        <v>0</v>
      </c>
      <c r="I595" s="832">
        <v>0</v>
      </c>
      <c r="J595" s="832">
        <v>0</v>
      </c>
      <c r="K595" s="832">
        <v>0</v>
      </c>
      <c r="L595" s="832">
        <v>0</v>
      </c>
      <c r="M595" s="832">
        <v>0</v>
      </c>
      <c r="N595" s="832">
        <v>0</v>
      </c>
      <c r="O595" s="832">
        <v>0</v>
      </c>
      <c r="P595" s="832">
        <v>0</v>
      </c>
      <c r="Q595" s="832">
        <v>0</v>
      </c>
      <c r="R595" s="832">
        <v>0</v>
      </c>
      <c r="S595" s="832">
        <v>0</v>
      </c>
      <c r="T595" s="832">
        <v>0</v>
      </c>
      <c r="U595" s="832">
        <v>0</v>
      </c>
      <c r="V595" s="832">
        <v>0</v>
      </c>
      <c r="W595" s="832">
        <v>0</v>
      </c>
      <c r="X595" s="832">
        <v>0</v>
      </c>
      <c r="Y595" s="832">
        <v>0</v>
      </c>
      <c r="Z595" s="832">
        <v>0</v>
      </c>
      <c r="AA595" s="832">
        <v>0</v>
      </c>
      <c r="AB595" s="832">
        <v>0</v>
      </c>
      <c r="AC595" s="832">
        <v>0</v>
      </c>
      <c r="AD595" s="832">
        <v>0</v>
      </c>
      <c r="AE595" s="832">
        <v>0</v>
      </c>
      <c r="AF595" s="832">
        <v>0</v>
      </c>
      <c r="AG595" s="832">
        <v>0</v>
      </c>
      <c r="AH595" s="832">
        <v>0</v>
      </c>
      <c r="AI595" s="832">
        <v>0</v>
      </c>
      <c r="AJ595" s="1030" t="str">
        <f t="shared" ref="AJ595:AJ658" si="60">C595</f>
        <v>H33310</v>
      </c>
      <c r="AK595" s="1030" t="str">
        <f t="shared" ref="AK595:AK658" si="61">D595</f>
        <v>VTE P.P.H./REVENU FINANCE</v>
      </c>
      <c r="AL595" s="1030">
        <f>IFERROR(INDEX(G595:R595,1,MATCH(Parametres!$B$3,G$1:R$1,0)-1)*IF(OR(F595="L",F595="S",F595="I"),-1,1),"")</f>
        <v>0</v>
      </c>
      <c r="AM595" s="1030">
        <f t="shared" si="56"/>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t="str">
        <f t="shared" si="57"/>
        <v>H33310</v>
      </c>
      <c r="AU595" s="599" t="str">
        <f t="shared" si="58"/>
        <v>VTE P.P.H./REVENU FINANCE</v>
      </c>
      <c r="AV595" s="1030">
        <f>IFERROR(INDEX(V595:AG595,1,MATCH(Parametres!$B$3,V$1:AG$1,0)-1)*IF(OR(C595="L",C595="S",C595="I"),-1,1),"")</f>
        <v>0</v>
      </c>
      <c r="AW595" s="1030">
        <f t="shared" si="59"/>
        <v>0</v>
      </c>
      <c r="AX595" s="1030">
        <f>INDEX(V595:AG595,1,MATCH(Parametres!$B$3,V$1:AG$1,0))*IF(OR(C595="L",C595="S",C595="I"),-1,1)</f>
        <v>0</v>
      </c>
      <c r="AY595" s="598" t="s">
        <v>337</v>
      </c>
      <c r="AZ595" s="598" t="e">
        <f>+VLOOKUP($AJ595,Data_Validation!$A:$E,5,0)</f>
        <v>#N/A</v>
      </c>
    </row>
    <row r="596" spans="1:52" ht="15" customHeight="1">
      <c r="A596" s="832" t="s">
        <v>1150</v>
      </c>
      <c r="B596" s="832">
        <v>2025</v>
      </c>
      <c r="C596" s="832" t="s">
        <v>2330</v>
      </c>
      <c r="D596" s="832" t="s">
        <v>2331</v>
      </c>
      <c r="E596" s="832" t="s">
        <v>333</v>
      </c>
      <c r="F596" s="832" t="s">
        <v>2222</v>
      </c>
      <c r="G596" s="832">
        <v>0</v>
      </c>
      <c r="H596" s="832">
        <v>0</v>
      </c>
      <c r="I596" s="832">
        <v>0</v>
      </c>
      <c r="J596" s="832">
        <v>0</v>
      </c>
      <c r="K596" s="832">
        <v>0</v>
      </c>
      <c r="L596" s="832">
        <v>0</v>
      </c>
      <c r="M596" s="832">
        <v>0</v>
      </c>
      <c r="N596" s="832">
        <v>0</v>
      </c>
      <c r="O596" s="832">
        <v>0</v>
      </c>
      <c r="P596" s="832">
        <v>0</v>
      </c>
      <c r="Q596" s="832">
        <v>0</v>
      </c>
      <c r="R596" s="832">
        <v>0</v>
      </c>
      <c r="S596" s="832">
        <v>0</v>
      </c>
      <c r="T596" s="832">
        <v>0</v>
      </c>
      <c r="U596" s="832">
        <v>0</v>
      </c>
      <c r="V596" s="832">
        <v>0</v>
      </c>
      <c r="W596" s="832">
        <v>0</v>
      </c>
      <c r="X596" s="832">
        <v>0</v>
      </c>
      <c r="Y596" s="832">
        <v>0</v>
      </c>
      <c r="Z596" s="832">
        <v>0</v>
      </c>
      <c r="AA596" s="832">
        <v>0</v>
      </c>
      <c r="AB596" s="832">
        <v>0</v>
      </c>
      <c r="AC596" s="832">
        <v>0</v>
      </c>
      <c r="AD596" s="832">
        <v>0</v>
      </c>
      <c r="AE596" s="832">
        <v>0</v>
      </c>
      <c r="AF596" s="832">
        <v>0</v>
      </c>
      <c r="AG596" s="832">
        <v>0</v>
      </c>
      <c r="AH596" s="832">
        <v>0</v>
      </c>
      <c r="AI596" s="832">
        <v>0</v>
      </c>
      <c r="AJ596" s="1030" t="str">
        <f t="shared" si="60"/>
        <v>H33320</v>
      </c>
      <c r="AK596" s="1030" t="str">
        <f t="shared" si="61"/>
        <v>VTE ASSURANCE USAGES</v>
      </c>
      <c r="AL596" s="1030">
        <f>IFERROR(INDEX(G596:R596,1,MATCH(Parametres!$B$3,G$1:R$1,0)-1)*IF(OR(F596="L",F596="S",F596="I"),-1,1),"")</f>
        <v>0</v>
      </c>
      <c r="AM596" s="1030">
        <f t="shared" si="56"/>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t="str">
        <f t="shared" si="57"/>
        <v>H33320</v>
      </c>
      <c r="AU596" s="599" t="str">
        <f t="shared" si="58"/>
        <v>VTE ASSURANCE USAGES</v>
      </c>
      <c r="AV596" s="1030">
        <f>IFERROR(INDEX(V596:AG596,1,MATCH(Parametres!$B$3,V$1:AG$1,0)-1)*IF(OR(C596="L",C596="S",C596="I"),-1,1),"")</f>
        <v>0</v>
      </c>
      <c r="AW596" s="1030">
        <f t="shared" si="59"/>
        <v>0</v>
      </c>
      <c r="AX596" s="1030">
        <f>INDEX(V596:AG596,1,MATCH(Parametres!$B$3,V$1:AG$1,0))*IF(OR(C596="L",C596="S",C596="I"),-1,1)</f>
        <v>0</v>
      </c>
      <c r="AY596" s="598" t="s">
        <v>337</v>
      </c>
      <c r="AZ596" s="598" t="e">
        <f>+VLOOKUP($AJ596,Data_Validation!$A:$E,5,0)</f>
        <v>#N/A</v>
      </c>
    </row>
    <row r="597" spans="1:52" ht="15" customHeight="1">
      <c r="A597" s="832" t="s">
        <v>1150</v>
      </c>
      <c r="B597" s="832">
        <v>2025</v>
      </c>
      <c r="C597" s="832" t="s">
        <v>2332</v>
      </c>
      <c r="D597" s="832" t="s">
        <v>2333</v>
      </c>
      <c r="E597" s="832" t="s">
        <v>333</v>
      </c>
      <c r="F597" s="832" t="s">
        <v>2222</v>
      </c>
      <c r="G597" s="832">
        <v>0</v>
      </c>
      <c r="H597" s="832">
        <v>0</v>
      </c>
      <c r="I597" s="832">
        <v>0</v>
      </c>
      <c r="J597" s="832">
        <v>0</v>
      </c>
      <c r="K597" s="832">
        <v>0</v>
      </c>
      <c r="L597" s="832">
        <v>0</v>
      </c>
      <c r="M597" s="832">
        <v>0</v>
      </c>
      <c r="N597" s="832">
        <v>0</v>
      </c>
      <c r="O597" s="832">
        <v>0</v>
      </c>
      <c r="P597" s="832">
        <v>0</v>
      </c>
      <c r="Q597" s="832">
        <v>0</v>
      </c>
      <c r="R597" s="832">
        <v>0</v>
      </c>
      <c r="S597" s="832">
        <v>0</v>
      </c>
      <c r="T597" s="832">
        <v>0</v>
      </c>
      <c r="U597" s="832">
        <v>0</v>
      </c>
      <c r="V597" s="832">
        <v>0</v>
      </c>
      <c r="W597" s="832">
        <v>0</v>
      </c>
      <c r="X597" s="832">
        <v>0</v>
      </c>
      <c r="Y597" s="832">
        <v>0</v>
      </c>
      <c r="Z597" s="832">
        <v>0</v>
      </c>
      <c r="AA597" s="832">
        <v>0</v>
      </c>
      <c r="AB597" s="832">
        <v>0</v>
      </c>
      <c r="AC597" s="832">
        <v>0</v>
      </c>
      <c r="AD597" s="832">
        <v>0</v>
      </c>
      <c r="AE597" s="832">
        <v>0</v>
      </c>
      <c r="AF597" s="832">
        <v>0</v>
      </c>
      <c r="AG597" s="832">
        <v>0</v>
      </c>
      <c r="AH597" s="832">
        <v>0</v>
      </c>
      <c r="AI597" s="832">
        <v>0</v>
      </c>
      <c r="AJ597" s="1030" t="str">
        <f t="shared" si="60"/>
        <v>H33330</v>
      </c>
      <c r="AK597" s="1030" t="str">
        <f t="shared" si="61"/>
        <v>VTE OCC REVENU FINANCE</v>
      </c>
      <c r="AL597" s="1030">
        <f>IFERROR(INDEX(G597:R597,1,MATCH(Parametres!$B$3,G$1:R$1,0)-1)*IF(OR(F597="L",F597="S",F597="I"),-1,1),"")</f>
        <v>0</v>
      </c>
      <c r="AM597" s="1030">
        <f t="shared" si="56"/>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t="str">
        <f t="shared" si="57"/>
        <v>H33330</v>
      </c>
      <c r="AU597" s="599" t="str">
        <f t="shared" si="58"/>
        <v>VTE OCC REVENU FINANCE</v>
      </c>
      <c r="AV597" s="1030">
        <f>IFERROR(INDEX(V597:AG597,1,MATCH(Parametres!$B$3,V$1:AG$1,0)-1)*IF(OR(C597="L",C597="S",C597="I"),-1,1),"")</f>
        <v>0</v>
      </c>
      <c r="AW597" s="1030">
        <f t="shared" si="59"/>
        <v>0</v>
      </c>
      <c r="AX597" s="1030">
        <f>INDEX(V597:AG597,1,MATCH(Parametres!$B$3,V$1:AG$1,0))*IF(OR(C597="L",C597="S",C597="I"),-1,1)</f>
        <v>0</v>
      </c>
      <c r="AY597" s="598" t="s">
        <v>337</v>
      </c>
      <c r="AZ597" s="598" t="e">
        <f>+VLOOKUP($AJ597,Data_Validation!$A:$E,5,0)</f>
        <v>#N/A</v>
      </c>
    </row>
    <row r="598" spans="1:52" ht="15" customHeight="1">
      <c r="A598" s="832" t="s">
        <v>1150</v>
      </c>
      <c r="B598" s="832">
        <v>2025</v>
      </c>
      <c r="C598" s="832" t="s">
        <v>2334</v>
      </c>
      <c r="D598" s="832" t="s">
        <v>2335</v>
      </c>
      <c r="E598" s="832" t="s">
        <v>333</v>
      </c>
      <c r="F598" s="832" t="s">
        <v>2222</v>
      </c>
      <c r="G598" s="832">
        <v>0</v>
      </c>
      <c r="H598" s="832">
        <v>0</v>
      </c>
      <c r="I598" s="832">
        <v>0</v>
      </c>
      <c r="J598" s="832">
        <v>0</v>
      </c>
      <c r="K598" s="832">
        <v>0</v>
      </c>
      <c r="L598" s="832">
        <v>0</v>
      </c>
      <c r="M598" s="832">
        <v>0</v>
      </c>
      <c r="N598" s="832">
        <v>0</v>
      </c>
      <c r="O598" s="832">
        <v>0</v>
      </c>
      <c r="P598" s="832">
        <v>0</v>
      </c>
      <c r="Q598" s="832">
        <v>0</v>
      </c>
      <c r="R598" s="832">
        <v>0</v>
      </c>
      <c r="S598" s="832">
        <v>0</v>
      </c>
      <c r="T598" s="832">
        <v>0</v>
      </c>
      <c r="U598" s="832">
        <v>0</v>
      </c>
      <c r="V598" s="832">
        <v>0</v>
      </c>
      <c r="W598" s="832">
        <v>0</v>
      </c>
      <c r="X598" s="832">
        <v>0</v>
      </c>
      <c r="Y598" s="832">
        <v>0</v>
      </c>
      <c r="Z598" s="832">
        <v>0</v>
      </c>
      <c r="AA598" s="832">
        <v>0</v>
      </c>
      <c r="AB598" s="832">
        <v>0</v>
      </c>
      <c r="AC598" s="832">
        <v>0</v>
      </c>
      <c r="AD598" s="832">
        <v>0</v>
      </c>
      <c r="AE598" s="832">
        <v>0</v>
      </c>
      <c r="AF598" s="832">
        <v>0</v>
      </c>
      <c r="AG598" s="832">
        <v>0</v>
      </c>
      <c r="AH598" s="832">
        <v>0</v>
      </c>
      <c r="AI598" s="832">
        <v>0</v>
      </c>
      <c r="AJ598" s="1030" t="str">
        <f t="shared" si="60"/>
        <v>H33340</v>
      </c>
      <c r="AK598" s="1030" t="str">
        <f t="shared" si="61"/>
        <v>VTE OCC CHIMIQUES</v>
      </c>
      <c r="AL598" s="1030">
        <f>IFERROR(INDEX(G598:R598,1,MATCH(Parametres!$B$3,G$1:R$1,0)-1)*IF(OR(F598="L",F598="S",F598="I"),-1,1),"")</f>
        <v>0</v>
      </c>
      <c r="AM598" s="1030">
        <f t="shared" si="56"/>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t="str">
        <f t="shared" si="57"/>
        <v>H33340</v>
      </c>
      <c r="AU598" s="599" t="str">
        <f t="shared" si="58"/>
        <v>VTE OCC CHIMIQUES</v>
      </c>
      <c r="AV598" s="1030">
        <f>IFERROR(INDEX(V598:AG598,1,MATCH(Parametres!$B$3,V$1:AG$1,0)-1)*IF(OR(C598="L",C598="S",C598="I"),-1,1),"")</f>
        <v>0</v>
      </c>
      <c r="AW598" s="1030">
        <f t="shared" si="59"/>
        <v>0</v>
      </c>
      <c r="AX598" s="1030">
        <f>INDEX(V598:AG598,1,MATCH(Parametres!$B$3,V$1:AG$1,0))*IF(OR(C598="L",C598="S",C598="I"),-1,1)</f>
        <v>0</v>
      </c>
      <c r="AY598" s="598" t="s">
        <v>337</v>
      </c>
      <c r="AZ598" s="598" t="e">
        <f>+VLOOKUP($AJ598,Data_Validation!$A:$E,5,0)</f>
        <v>#N/A</v>
      </c>
    </row>
    <row r="599" spans="1:52" ht="15" customHeight="1">
      <c r="A599" s="832" t="s">
        <v>1150</v>
      </c>
      <c r="B599" s="832">
        <v>2025</v>
      </c>
      <c r="C599" s="832" t="s">
        <v>2336</v>
      </c>
      <c r="D599" s="832" t="s">
        <v>2337</v>
      </c>
      <c r="E599" s="832" t="s">
        <v>333</v>
      </c>
      <c r="F599" s="832" t="s">
        <v>2222</v>
      </c>
      <c r="G599" s="832">
        <v>0</v>
      </c>
      <c r="H599" s="832">
        <v>0</v>
      </c>
      <c r="I599" s="832">
        <v>0</v>
      </c>
      <c r="J599" s="832">
        <v>0</v>
      </c>
      <c r="K599" s="832">
        <v>0</v>
      </c>
      <c r="L599" s="832">
        <v>0</v>
      </c>
      <c r="M599" s="832">
        <v>0</v>
      </c>
      <c r="N599" s="832">
        <v>0</v>
      </c>
      <c r="O599" s="832">
        <v>0</v>
      </c>
      <c r="P599" s="832">
        <v>0</v>
      </c>
      <c r="Q599" s="832">
        <v>0</v>
      </c>
      <c r="R599" s="832">
        <v>0</v>
      </c>
      <c r="S599" s="832">
        <v>0</v>
      </c>
      <c r="T599" s="832">
        <v>0</v>
      </c>
      <c r="U599" s="832">
        <v>0</v>
      </c>
      <c r="V599" s="832">
        <v>0</v>
      </c>
      <c r="W599" s="832">
        <v>0</v>
      </c>
      <c r="X599" s="832">
        <v>0</v>
      </c>
      <c r="Y599" s="832">
        <v>0</v>
      </c>
      <c r="Z599" s="832">
        <v>0</v>
      </c>
      <c r="AA599" s="832">
        <v>0</v>
      </c>
      <c r="AB599" s="832">
        <v>0</v>
      </c>
      <c r="AC599" s="832">
        <v>0</v>
      </c>
      <c r="AD599" s="832">
        <v>0</v>
      </c>
      <c r="AE599" s="832">
        <v>0</v>
      </c>
      <c r="AF599" s="832">
        <v>0</v>
      </c>
      <c r="AG599" s="832">
        <v>0</v>
      </c>
      <c r="AH599" s="832">
        <v>0</v>
      </c>
      <c r="AI599" s="832">
        <v>0</v>
      </c>
      <c r="AJ599" s="1030" t="str">
        <f t="shared" si="60"/>
        <v>H33350</v>
      </c>
      <c r="AK599" s="1030" t="str">
        <f t="shared" si="61"/>
        <v>VTE OCC ANTIVOL</v>
      </c>
      <c r="AL599" s="1030">
        <f>IFERROR(INDEX(G599:R599,1,MATCH(Parametres!$B$3,G$1:R$1,0)-1)*IF(OR(F599="L",F599="S",F599="I"),-1,1),"")</f>
        <v>0</v>
      </c>
      <c r="AM599" s="1030">
        <f t="shared" si="56"/>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t="str">
        <f t="shared" si="57"/>
        <v>H33350</v>
      </c>
      <c r="AU599" s="599" t="str">
        <f t="shared" si="58"/>
        <v>VTE OCC ANTIVOL</v>
      </c>
      <c r="AV599" s="1030">
        <f>IFERROR(INDEX(V599:AG599,1,MATCH(Parametres!$B$3,V$1:AG$1,0)-1)*IF(OR(C599="L",C599="S",C599="I"),-1,1),"")</f>
        <v>0</v>
      </c>
      <c r="AW599" s="1030">
        <f t="shared" si="59"/>
        <v>0</v>
      </c>
      <c r="AX599" s="1030">
        <f>INDEX(V599:AG599,1,MATCH(Parametres!$B$3,V$1:AG$1,0))*IF(OR(C599="L",C599="S",C599="I"),-1,1)</f>
        <v>0</v>
      </c>
      <c r="AY599" s="598" t="s">
        <v>337</v>
      </c>
      <c r="AZ599" s="598" t="e">
        <f>+VLOOKUP($AJ599,Data_Validation!$A:$E,5,0)</f>
        <v>#N/A</v>
      </c>
    </row>
    <row r="600" spans="1:52" ht="15" customHeight="1">
      <c r="A600" s="832" t="s">
        <v>1150</v>
      </c>
      <c r="B600" s="832">
        <v>2025</v>
      </c>
      <c r="C600" s="832" t="s">
        <v>2338</v>
      </c>
      <c r="D600" s="832" t="s">
        <v>2339</v>
      </c>
      <c r="E600" s="832" t="s">
        <v>333</v>
      </c>
      <c r="F600" s="832" t="s">
        <v>2222</v>
      </c>
      <c r="G600" s="832">
        <v>0</v>
      </c>
      <c r="H600" s="832">
        <v>0</v>
      </c>
      <c r="I600" s="832">
        <v>0</v>
      </c>
      <c r="J600" s="832">
        <v>0</v>
      </c>
      <c r="K600" s="832">
        <v>0</v>
      </c>
      <c r="L600" s="832">
        <v>0</v>
      </c>
      <c r="M600" s="832">
        <v>0</v>
      </c>
      <c r="N600" s="832">
        <v>0</v>
      </c>
      <c r="O600" s="832">
        <v>0</v>
      </c>
      <c r="P600" s="832">
        <v>0</v>
      </c>
      <c r="Q600" s="832">
        <v>0</v>
      </c>
      <c r="R600" s="832">
        <v>0</v>
      </c>
      <c r="S600" s="832">
        <v>0</v>
      </c>
      <c r="T600" s="832">
        <v>0</v>
      </c>
      <c r="U600" s="832">
        <v>0</v>
      </c>
      <c r="V600" s="832">
        <v>0</v>
      </c>
      <c r="W600" s="832">
        <v>0</v>
      </c>
      <c r="X600" s="832">
        <v>0</v>
      </c>
      <c r="Y600" s="832">
        <v>0</v>
      </c>
      <c r="Z600" s="832">
        <v>0</v>
      </c>
      <c r="AA600" s="832">
        <v>0</v>
      </c>
      <c r="AB600" s="832">
        <v>0</v>
      </c>
      <c r="AC600" s="832">
        <v>0</v>
      </c>
      <c r="AD600" s="832">
        <v>0</v>
      </c>
      <c r="AE600" s="832">
        <v>0</v>
      </c>
      <c r="AF600" s="832">
        <v>0</v>
      </c>
      <c r="AG600" s="832">
        <v>0</v>
      </c>
      <c r="AH600" s="832">
        <v>0</v>
      </c>
      <c r="AI600" s="832">
        <v>0</v>
      </c>
      <c r="AJ600" s="1030" t="str">
        <f t="shared" si="60"/>
        <v>H33360</v>
      </c>
      <c r="AK600" s="1030" t="str">
        <f t="shared" si="61"/>
        <v>VTE OCC AUTRE PRODUIT</v>
      </c>
      <c r="AL600" s="1030">
        <f>IFERROR(INDEX(G600:R600,1,MATCH(Parametres!$B$3,G$1:R$1,0)-1)*IF(OR(F600="L",F600="S",F600="I"),-1,1),"")</f>
        <v>0</v>
      </c>
      <c r="AM600" s="1030">
        <f t="shared" si="56"/>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t="str">
        <f t="shared" si="57"/>
        <v>H33360</v>
      </c>
      <c r="AU600" s="599" t="str">
        <f t="shared" si="58"/>
        <v>VTE OCC AUTRE PRODUIT</v>
      </c>
      <c r="AV600" s="1030">
        <f>IFERROR(INDEX(V600:AG600,1,MATCH(Parametres!$B$3,V$1:AG$1,0)-1)*IF(OR(C600="L",C600="S",C600="I"),-1,1),"")</f>
        <v>0</v>
      </c>
      <c r="AW600" s="1030">
        <f t="shared" si="59"/>
        <v>0</v>
      </c>
      <c r="AX600" s="1030">
        <f>INDEX(V600:AG600,1,MATCH(Parametres!$B$3,V$1:AG$1,0))*IF(OR(C600="L",C600="S",C600="I"),-1,1)</f>
        <v>0</v>
      </c>
      <c r="AY600" s="598" t="s">
        <v>337</v>
      </c>
      <c r="AZ600" s="598" t="e">
        <f>+VLOOKUP($AJ600,Data_Validation!$A:$E,5,0)</f>
        <v>#N/A</v>
      </c>
    </row>
    <row r="601" spans="1:52" ht="15" customHeight="1">
      <c r="A601" s="832" t="s">
        <v>1150</v>
      </c>
      <c r="B601" s="832">
        <v>2025</v>
      </c>
      <c r="C601" s="832" t="s">
        <v>2340</v>
      </c>
      <c r="D601" s="832" t="s">
        <v>2341</v>
      </c>
      <c r="E601" s="832" t="s">
        <v>2222</v>
      </c>
      <c r="F601" s="832" t="s">
        <v>2222</v>
      </c>
      <c r="G601" s="832">
        <v>0</v>
      </c>
      <c r="H601" s="832">
        <v>0</v>
      </c>
      <c r="I601" s="832">
        <v>0</v>
      </c>
      <c r="J601" s="832">
        <v>0</v>
      </c>
      <c r="K601" s="832">
        <v>0</v>
      </c>
      <c r="L601" s="832">
        <v>0</v>
      </c>
      <c r="M601" s="832">
        <v>0</v>
      </c>
      <c r="N601" s="832">
        <v>0</v>
      </c>
      <c r="O601" s="832">
        <v>0</v>
      </c>
      <c r="P601" s="832">
        <v>0</v>
      </c>
      <c r="Q601" s="832">
        <v>0</v>
      </c>
      <c r="R601" s="832">
        <v>0</v>
      </c>
      <c r="S601" s="832">
        <v>0</v>
      </c>
      <c r="T601" s="832">
        <v>0</v>
      </c>
      <c r="U601" s="832">
        <v>0</v>
      </c>
      <c r="V601" s="832">
        <v>0</v>
      </c>
      <c r="W601" s="832">
        <v>0</v>
      </c>
      <c r="X601" s="832">
        <v>0</v>
      </c>
      <c r="Y601" s="832">
        <v>0</v>
      </c>
      <c r="Z601" s="832">
        <v>0</v>
      </c>
      <c r="AA601" s="832">
        <v>0</v>
      </c>
      <c r="AB601" s="832">
        <v>0</v>
      </c>
      <c r="AC601" s="832">
        <v>0</v>
      </c>
      <c r="AD601" s="832">
        <v>0</v>
      </c>
      <c r="AE601" s="832">
        <v>0</v>
      </c>
      <c r="AF601" s="832">
        <v>0</v>
      </c>
      <c r="AG601" s="832">
        <v>0</v>
      </c>
      <c r="AH601" s="832">
        <v>0</v>
      </c>
      <c r="AI601" s="832">
        <v>0</v>
      </c>
      <c r="AJ601" s="1030" t="str">
        <f t="shared" si="60"/>
        <v>H33390</v>
      </c>
      <c r="AK601" s="1030" t="str">
        <f t="shared" si="61"/>
        <v>VTE OCC RACHAT CONT LOC</v>
      </c>
      <c r="AL601" s="1030">
        <f>IFERROR(INDEX(G601:R601,1,MATCH(Parametres!$B$3,G$1:R$1,0)-1)*IF(OR(F601="L",F601="S",F601="I"),-1,1),"")</f>
        <v>0</v>
      </c>
      <c r="AM601" s="1030">
        <f t="shared" si="56"/>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t="str">
        <f t="shared" si="57"/>
        <v>H33390</v>
      </c>
      <c r="AU601" s="599" t="str">
        <f t="shared" si="58"/>
        <v>VTE OCC RACHAT CONT LOC</v>
      </c>
      <c r="AV601" s="1030">
        <f>IFERROR(INDEX(V601:AG601,1,MATCH(Parametres!$B$3,V$1:AG$1,0)-1)*IF(OR(C601="L",C601="S",C601="I"),-1,1),"")</f>
        <v>0</v>
      </c>
      <c r="AW601" s="1030">
        <f t="shared" si="59"/>
        <v>0</v>
      </c>
      <c r="AX601" s="1030">
        <f>INDEX(V601:AG601,1,MATCH(Parametres!$B$3,V$1:AG$1,0))*IF(OR(C601="L",C601="S",C601="I"),-1,1)</f>
        <v>0</v>
      </c>
      <c r="AY601" s="598" t="s">
        <v>337</v>
      </c>
      <c r="AZ601" s="598" t="e">
        <f>+VLOOKUP($AJ601,Data_Validation!$A:$E,5,0)</f>
        <v>#N/A</v>
      </c>
    </row>
    <row r="602" spans="1:52" ht="15" customHeight="1">
      <c r="A602" s="832" t="s">
        <v>1150</v>
      </c>
      <c r="B602" s="832">
        <v>2025</v>
      </c>
      <c r="C602" s="832" t="s">
        <v>2342</v>
      </c>
      <c r="D602" s="832" t="s">
        <v>2343</v>
      </c>
      <c r="E602" s="832" t="s">
        <v>333</v>
      </c>
      <c r="F602" s="832" t="s">
        <v>2222</v>
      </c>
      <c r="G602" s="832">
        <v>26515</v>
      </c>
      <c r="H602" s="832">
        <v>41590</v>
      </c>
      <c r="I602" s="832">
        <v>54770</v>
      </c>
      <c r="J602" s="832">
        <v>67625</v>
      </c>
      <c r="K602" s="832">
        <v>73115</v>
      </c>
      <c r="L602" s="832">
        <v>73115</v>
      </c>
      <c r="M602" s="832">
        <v>76675</v>
      </c>
      <c r="N602" s="832">
        <v>91926</v>
      </c>
      <c r="O602" s="832">
        <v>106171</v>
      </c>
      <c r="P602" s="832">
        <v>127751</v>
      </c>
      <c r="Q602" s="832">
        <v>152466</v>
      </c>
      <c r="R602" s="832">
        <v>188978</v>
      </c>
      <c r="S602" s="832">
        <v>13860.55</v>
      </c>
      <c r="T602" s="832">
        <v>13860.55</v>
      </c>
      <c r="U602" s="832">
        <v>0</v>
      </c>
      <c r="V602" s="832">
        <v>9</v>
      </c>
      <c r="W602" s="832">
        <v>14</v>
      </c>
      <c r="X602" s="832">
        <v>18</v>
      </c>
      <c r="Y602" s="832">
        <v>22</v>
      </c>
      <c r="Z602" s="832">
        <v>24</v>
      </c>
      <c r="AA602" s="832">
        <v>24</v>
      </c>
      <c r="AB602" s="832">
        <v>25</v>
      </c>
      <c r="AC602" s="832">
        <v>30</v>
      </c>
      <c r="AD602" s="832">
        <v>34</v>
      </c>
      <c r="AE602" s="832">
        <v>41</v>
      </c>
      <c r="AF602" s="832">
        <v>50</v>
      </c>
      <c r="AG602" s="832">
        <v>62</v>
      </c>
      <c r="AH602" s="832">
        <v>5</v>
      </c>
      <c r="AI602" s="832">
        <v>5</v>
      </c>
      <c r="AJ602" s="1030" t="str">
        <f t="shared" si="60"/>
        <v>H33400</v>
      </c>
      <c r="AK602" s="1030" t="str">
        <f t="shared" si="61"/>
        <v>VTE OCC MARQUG-ANTVOL-HPP</v>
      </c>
      <c r="AL602" s="1030">
        <f>IFERROR(INDEX(G602:R602,1,MATCH(Parametres!$B$3,G$1:R$1,0)-1)*IF(OR(F602="L",F602="S",F602="I"),-1,1),"")</f>
        <v>-67625</v>
      </c>
      <c r="AM602" s="1030">
        <f t="shared" si="56"/>
        <v>-5490</v>
      </c>
      <c r="AN602" s="1030">
        <f>INDEX(G602:R602,1,MATCH(Parametres!$B$3,G$1:R$1,0))*IF(OR(F602="L",F602="S",F602="I"),-1,1)</f>
        <v>-73115</v>
      </c>
      <c r="AO602" s="598" t="str">
        <f>+VLOOKUP($AJ602,Data_Validation!$A:$D,1,0)</f>
        <v>H33400</v>
      </c>
      <c r="AP602" s="598" t="str">
        <f>+VLOOKUP($AJ602,Data_Validation!$A:$D,3,0)</f>
        <v>Véhicules usagés</v>
      </c>
      <c r="AQ602" s="598" t="str">
        <f>+VLOOKUP($AJ602,Data_Validation!$A:$D,4,0)</f>
        <v>Rev. Protections</v>
      </c>
      <c r="AR602" s="598" t="s">
        <v>299</v>
      </c>
      <c r="AS602" s="598" t="str">
        <f>+VLOOKUP($AJ602,Data_Validation!$A:$E,5,0)</f>
        <v>Oui</v>
      </c>
      <c r="AT602" s="1036" t="str">
        <f t="shared" si="57"/>
        <v>H33400</v>
      </c>
      <c r="AU602" s="599" t="str">
        <f t="shared" si="58"/>
        <v>VTE OCC MARQUG-ANTVOL-HPP</v>
      </c>
      <c r="AV602" s="1030">
        <f>IFERROR(INDEX(V602:AG602,1,MATCH(Parametres!$B$3,V$1:AG$1,0)-1)*IF(OR(C602="L",C602="S",C602="I"),-1,1),"")</f>
        <v>22</v>
      </c>
      <c r="AW602" s="1030">
        <f t="shared" si="59"/>
        <v>2</v>
      </c>
      <c r="AX602" s="1030">
        <f>INDEX(V602:AG602,1,MATCH(Parametres!$B$3,V$1:AG$1,0))*IF(OR(C602="L",C602="S",C602="I"),-1,1)</f>
        <v>24</v>
      </c>
      <c r="AY602" s="598" t="s">
        <v>337</v>
      </c>
      <c r="AZ602" s="598" t="str">
        <f>+VLOOKUP($AJ602,Data_Validation!$A:$E,5,0)</f>
        <v>Oui</v>
      </c>
    </row>
    <row r="603" spans="1:52" ht="15" customHeight="1">
      <c r="A603" s="832" t="s">
        <v>1150</v>
      </c>
      <c r="B603" s="832">
        <v>2025</v>
      </c>
      <c r="C603" s="832" t="s">
        <v>2344</v>
      </c>
      <c r="D603" s="832" t="s">
        <v>2345</v>
      </c>
      <c r="E603" s="832" t="s">
        <v>333</v>
      </c>
      <c r="F603" s="832" t="s">
        <v>2222</v>
      </c>
      <c r="G603" s="832">
        <v>0</v>
      </c>
      <c r="H603" s="832">
        <v>0</v>
      </c>
      <c r="I603" s="832">
        <v>4685.6400000000003</v>
      </c>
      <c r="J603" s="832">
        <v>8770.64</v>
      </c>
      <c r="K603" s="832">
        <v>8770.64</v>
      </c>
      <c r="L603" s="832">
        <v>8770.64</v>
      </c>
      <c r="M603" s="832">
        <v>8770.64</v>
      </c>
      <c r="N603" s="832">
        <v>15397.64</v>
      </c>
      <c r="O603" s="832">
        <v>22188.14</v>
      </c>
      <c r="P603" s="832">
        <v>32693.279999999999</v>
      </c>
      <c r="Q603" s="832">
        <v>44538.28</v>
      </c>
      <c r="R603" s="832">
        <v>55201.78</v>
      </c>
      <c r="S603" s="832">
        <v>4048.93</v>
      </c>
      <c r="T603" s="832">
        <v>4048.93</v>
      </c>
      <c r="U603" s="832">
        <v>0</v>
      </c>
      <c r="V603" s="832">
        <v>0</v>
      </c>
      <c r="W603" s="832">
        <v>0</v>
      </c>
      <c r="X603" s="832">
        <v>2</v>
      </c>
      <c r="Y603" s="832">
        <v>4</v>
      </c>
      <c r="Z603" s="832">
        <v>4</v>
      </c>
      <c r="AA603" s="832">
        <v>4</v>
      </c>
      <c r="AB603" s="832">
        <v>4</v>
      </c>
      <c r="AC603" s="832">
        <v>7</v>
      </c>
      <c r="AD603" s="832">
        <v>9</v>
      </c>
      <c r="AE603" s="832">
        <v>14</v>
      </c>
      <c r="AF603" s="832">
        <v>18</v>
      </c>
      <c r="AG603" s="832">
        <v>23</v>
      </c>
      <c r="AH603" s="832">
        <v>2</v>
      </c>
      <c r="AI603" s="832">
        <v>2</v>
      </c>
      <c r="AJ603" s="1030" t="str">
        <f t="shared" si="60"/>
        <v>H33410</v>
      </c>
      <c r="AK603" s="1030" t="str">
        <f t="shared" si="61"/>
        <v>VTE OCC ASSURANCE</v>
      </c>
      <c r="AL603" s="1030">
        <f>IFERROR(INDEX(G603:R603,1,MATCH(Parametres!$B$3,G$1:R$1,0)-1)*IF(OR(F603="L",F603="S",F603="I"),-1,1),"")</f>
        <v>-8770.64</v>
      </c>
      <c r="AM603" s="1030">
        <f t="shared" si="56"/>
        <v>0</v>
      </c>
      <c r="AN603" s="1030">
        <f>INDEX(G603:R603,1,MATCH(Parametres!$B$3,G$1:R$1,0))*IF(OR(F603="L",F603="S",F603="I"),-1,1)</f>
        <v>-8770.64</v>
      </c>
      <c r="AO603" s="598" t="str">
        <f>+VLOOKUP($AJ603,Data_Validation!$A:$D,1,0)</f>
        <v>H33410</v>
      </c>
      <c r="AP603" s="598" t="str">
        <f>+VLOOKUP($AJ603,Data_Validation!$A:$D,3,0)</f>
        <v>Véhicules usagés</v>
      </c>
      <c r="AQ603" s="598" t="str">
        <f>+VLOOKUP($AJ603,Data_Validation!$A:$D,4,0)</f>
        <v>Rev. Protections</v>
      </c>
      <c r="AR603" s="598" t="s">
        <v>299</v>
      </c>
      <c r="AS603" s="598" t="str">
        <f>+VLOOKUP($AJ603,Data_Validation!$A:$E,5,0)</f>
        <v>Oui</v>
      </c>
      <c r="AT603" s="1036" t="str">
        <f t="shared" si="57"/>
        <v>H33410</v>
      </c>
      <c r="AU603" s="599" t="str">
        <f t="shared" si="58"/>
        <v>VTE OCC ASSURANCE</v>
      </c>
      <c r="AV603" s="1030">
        <f>IFERROR(INDEX(V603:AG603,1,MATCH(Parametres!$B$3,V$1:AG$1,0)-1)*IF(OR(C603="L",C603="S",C603="I"),-1,1),"")</f>
        <v>4</v>
      </c>
      <c r="AW603" s="1030">
        <f t="shared" si="59"/>
        <v>0</v>
      </c>
      <c r="AX603" s="1030">
        <f>INDEX(V603:AG603,1,MATCH(Parametres!$B$3,V$1:AG$1,0))*IF(OR(C603="L",C603="S",C603="I"),-1,1)</f>
        <v>4</v>
      </c>
      <c r="AY603" s="598" t="s">
        <v>337</v>
      </c>
      <c r="AZ603" s="598" t="str">
        <f>+VLOOKUP($AJ603,Data_Validation!$A:$E,5,0)</f>
        <v>Oui</v>
      </c>
    </row>
    <row r="604" spans="1:52" ht="15" customHeight="1">
      <c r="A604" s="832" t="s">
        <v>1150</v>
      </c>
      <c r="B604" s="832">
        <v>2025</v>
      </c>
      <c r="C604" s="832" t="s">
        <v>2346</v>
      </c>
      <c r="D604" s="832" t="s">
        <v>2333</v>
      </c>
      <c r="E604" s="832" t="s">
        <v>333</v>
      </c>
      <c r="F604" s="832" t="s">
        <v>2222</v>
      </c>
      <c r="G604" s="832">
        <v>4181.67</v>
      </c>
      <c r="H604" s="832">
        <v>5955.23</v>
      </c>
      <c r="I604" s="832">
        <v>9192.43</v>
      </c>
      <c r="J604" s="832">
        <v>11173.43</v>
      </c>
      <c r="K604" s="832">
        <v>12200.8</v>
      </c>
      <c r="L604" s="832">
        <v>12200.8</v>
      </c>
      <c r="M604" s="832">
        <v>12200.8</v>
      </c>
      <c r="N604" s="832">
        <v>15664.04</v>
      </c>
      <c r="O604" s="832">
        <v>17693.48</v>
      </c>
      <c r="P604" s="832">
        <v>24494.87</v>
      </c>
      <c r="Q604" s="832">
        <v>33054.54</v>
      </c>
      <c r="R604" s="832">
        <v>40899.17</v>
      </c>
      <c r="S604" s="832">
        <v>3004.96</v>
      </c>
      <c r="T604" s="832">
        <v>3004.96</v>
      </c>
      <c r="U604" s="832">
        <v>0</v>
      </c>
      <c r="V604" s="832">
        <v>7</v>
      </c>
      <c r="W604" s="832">
        <v>12</v>
      </c>
      <c r="X604" s="832">
        <v>17</v>
      </c>
      <c r="Y604" s="832">
        <v>21</v>
      </c>
      <c r="Z604" s="832">
        <v>23</v>
      </c>
      <c r="AA604" s="832">
        <v>23</v>
      </c>
      <c r="AB604" s="832">
        <v>23</v>
      </c>
      <c r="AC604" s="832">
        <v>28</v>
      </c>
      <c r="AD604" s="832">
        <v>30</v>
      </c>
      <c r="AE604" s="832">
        <v>38</v>
      </c>
      <c r="AF604" s="832">
        <v>48</v>
      </c>
      <c r="AG604" s="832">
        <v>59</v>
      </c>
      <c r="AH604" s="832">
        <v>4</v>
      </c>
      <c r="AI604" s="832">
        <v>4</v>
      </c>
      <c r="AJ604" s="1030" t="str">
        <f t="shared" si="60"/>
        <v>H33420</v>
      </c>
      <c r="AK604" s="1030" t="str">
        <f t="shared" si="61"/>
        <v>VTE OCC REVENU FINANCE</v>
      </c>
      <c r="AL604" s="1030">
        <f>IFERROR(INDEX(G604:R604,1,MATCH(Parametres!$B$3,G$1:R$1,0)-1)*IF(OR(F604="L",F604="S",F604="I"),-1,1),"")</f>
        <v>-11173.43</v>
      </c>
      <c r="AM604" s="1030">
        <f t="shared" si="56"/>
        <v>-1027.369999999999</v>
      </c>
      <c r="AN604" s="1030">
        <f>INDEX(G604:R604,1,MATCH(Parametres!$B$3,G$1:R$1,0))*IF(OR(F604="L",F604="S",F604="I"),-1,1)</f>
        <v>-12200.8</v>
      </c>
      <c r="AO604" s="598" t="str">
        <f>+VLOOKUP($AJ604,Data_Validation!$A:$D,1,0)</f>
        <v>H33420</v>
      </c>
      <c r="AP604" s="598" t="str">
        <f>+VLOOKUP($AJ604,Data_Validation!$A:$D,3,0)</f>
        <v>Véhicules usagés</v>
      </c>
      <c r="AQ604" s="598" t="str">
        <f>+VLOOKUP($AJ604,Data_Validation!$A:$D,4,0)</f>
        <v>Rev. Finances</v>
      </c>
      <c r="AR604" s="598" t="s">
        <v>299</v>
      </c>
      <c r="AS604" s="598" t="str">
        <f>+VLOOKUP($AJ604,Data_Validation!$A:$E,5,0)</f>
        <v>Oui</v>
      </c>
      <c r="AT604" s="1036" t="str">
        <f t="shared" si="57"/>
        <v>H33420</v>
      </c>
      <c r="AU604" s="599" t="str">
        <f t="shared" si="58"/>
        <v>VTE OCC REVENU FINANCE</v>
      </c>
      <c r="AV604" s="1030">
        <f>IFERROR(INDEX(V604:AG604,1,MATCH(Parametres!$B$3,V$1:AG$1,0)-1)*IF(OR(C604="L",C604="S",C604="I"),-1,1),"")</f>
        <v>21</v>
      </c>
      <c r="AW604" s="1030">
        <f t="shared" si="59"/>
        <v>2</v>
      </c>
      <c r="AX604" s="1030">
        <f>INDEX(V604:AG604,1,MATCH(Parametres!$B$3,V$1:AG$1,0))*IF(OR(C604="L",C604="S",C604="I"),-1,1)</f>
        <v>23</v>
      </c>
      <c r="AY604" s="598" t="s">
        <v>337</v>
      </c>
      <c r="AZ604" s="598" t="str">
        <f>+VLOOKUP($AJ604,Data_Validation!$A:$E,5,0)</f>
        <v>Oui</v>
      </c>
    </row>
    <row r="605" spans="1:52" ht="15" customHeight="1">
      <c r="A605" s="832" t="s">
        <v>1150</v>
      </c>
      <c r="B605" s="832">
        <v>2025</v>
      </c>
      <c r="C605" s="832" t="s">
        <v>2347</v>
      </c>
      <c r="D605" s="832" t="s">
        <v>2348</v>
      </c>
      <c r="E605" s="832" t="s">
        <v>333</v>
      </c>
      <c r="F605" s="832" t="s">
        <v>2222</v>
      </c>
      <c r="G605" s="832">
        <v>0</v>
      </c>
      <c r="H605" s="832">
        <v>949</v>
      </c>
      <c r="I605" s="832">
        <v>949</v>
      </c>
      <c r="J605" s="832">
        <v>949</v>
      </c>
      <c r="K605" s="832">
        <v>1648</v>
      </c>
      <c r="L605" s="832">
        <v>1648</v>
      </c>
      <c r="M605" s="832">
        <v>1648</v>
      </c>
      <c r="N605" s="832">
        <v>2247</v>
      </c>
      <c r="O605" s="832">
        <v>2868</v>
      </c>
      <c r="P605" s="832">
        <v>10137</v>
      </c>
      <c r="Q605" s="832">
        <v>17315</v>
      </c>
      <c r="R605" s="832">
        <v>20194</v>
      </c>
      <c r="S605" s="832">
        <v>1574.09</v>
      </c>
      <c r="T605" s="832">
        <v>1574.09</v>
      </c>
      <c r="U605" s="832">
        <v>0</v>
      </c>
      <c r="V605" s="832">
        <v>0</v>
      </c>
      <c r="W605" s="832">
        <v>1</v>
      </c>
      <c r="X605" s="832">
        <v>1</v>
      </c>
      <c r="Y605" s="832">
        <v>1</v>
      </c>
      <c r="Z605" s="832">
        <v>2</v>
      </c>
      <c r="AA605" s="832">
        <v>2</v>
      </c>
      <c r="AB605" s="832">
        <v>2</v>
      </c>
      <c r="AC605" s="832">
        <v>3</v>
      </c>
      <c r="AD605" s="832">
        <v>4</v>
      </c>
      <c r="AE605" s="832">
        <v>13</v>
      </c>
      <c r="AF605" s="832">
        <v>20</v>
      </c>
      <c r="AG605" s="832">
        <v>23</v>
      </c>
      <c r="AH605" s="832">
        <v>2</v>
      </c>
      <c r="AI605" s="832">
        <v>2</v>
      </c>
      <c r="AJ605" s="1030" t="str">
        <f t="shared" si="60"/>
        <v>H33430</v>
      </c>
      <c r="AK605" s="1030" t="str">
        <f t="shared" si="61"/>
        <v>VTE OCC PRODUIT CHIMIQUE</v>
      </c>
      <c r="AL605" s="1030">
        <f>IFERROR(INDEX(G605:R605,1,MATCH(Parametres!$B$3,G$1:R$1,0)-1)*IF(OR(F605="L",F605="S",F605="I"),-1,1),"")</f>
        <v>-949</v>
      </c>
      <c r="AM605" s="1030">
        <f t="shared" si="56"/>
        <v>-699</v>
      </c>
      <c r="AN605" s="1030">
        <f>INDEX(G605:R605,1,MATCH(Parametres!$B$3,G$1:R$1,0))*IF(OR(F605="L",F605="S",F605="I"),-1,1)</f>
        <v>-1648</v>
      </c>
      <c r="AO605" s="598" t="str">
        <f>+VLOOKUP($AJ605,Data_Validation!$A:$D,1,0)</f>
        <v>H33430</v>
      </c>
      <c r="AP605" s="598" t="str">
        <f>+VLOOKUP($AJ605,Data_Validation!$A:$D,3,0)</f>
        <v>Véhicules usagés</v>
      </c>
      <c r="AQ605" s="598" t="str">
        <f>+VLOOKUP($AJ605,Data_Validation!$A:$D,4,0)</f>
        <v>Rev. Protections</v>
      </c>
      <c r="AR605" s="598" t="s">
        <v>299</v>
      </c>
      <c r="AS605" s="598" t="str">
        <f>+VLOOKUP($AJ605,Data_Validation!$A:$E,5,0)</f>
        <v>Oui</v>
      </c>
      <c r="AT605" s="1036" t="str">
        <f t="shared" si="57"/>
        <v>H33430</v>
      </c>
      <c r="AU605" s="599" t="str">
        <f t="shared" si="58"/>
        <v>VTE OCC PRODUIT CHIMIQUE</v>
      </c>
      <c r="AV605" s="1030">
        <f>IFERROR(INDEX(V605:AG605,1,MATCH(Parametres!$B$3,V$1:AG$1,0)-1)*IF(OR(C605="L",C605="S",C605="I"),-1,1),"")</f>
        <v>1</v>
      </c>
      <c r="AW605" s="1030">
        <f t="shared" si="59"/>
        <v>1</v>
      </c>
      <c r="AX605" s="1030">
        <f>INDEX(V605:AG605,1,MATCH(Parametres!$B$3,V$1:AG$1,0))*IF(OR(C605="L",C605="S",C605="I"),-1,1)</f>
        <v>2</v>
      </c>
      <c r="AY605" s="598" t="s">
        <v>337</v>
      </c>
      <c r="AZ605" s="598" t="str">
        <f>+VLOOKUP($AJ605,Data_Validation!$A:$E,5,0)</f>
        <v>Oui</v>
      </c>
    </row>
    <row r="606" spans="1:52" ht="15" customHeight="1">
      <c r="A606" s="832" t="s">
        <v>1150</v>
      </c>
      <c r="B606" s="832">
        <v>2025</v>
      </c>
      <c r="C606" s="832" t="s">
        <v>2349</v>
      </c>
      <c r="D606" s="832" t="s">
        <v>2281</v>
      </c>
      <c r="E606" s="832" t="s">
        <v>333</v>
      </c>
      <c r="F606" s="832" t="s">
        <v>2222</v>
      </c>
      <c r="G606" s="832">
        <v>0</v>
      </c>
      <c r="H606" s="832">
        <v>1300</v>
      </c>
      <c r="I606" s="832">
        <v>2600</v>
      </c>
      <c r="J606" s="832">
        <v>4875</v>
      </c>
      <c r="K606" s="832">
        <v>7150</v>
      </c>
      <c r="L606" s="832">
        <v>9645</v>
      </c>
      <c r="M606" s="832">
        <v>11595</v>
      </c>
      <c r="N606" s="832">
        <v>13870</v>
      </c>
      <c r="O606" s="832">
        <v>15836</v>
      </c>
      <c r="P606" s="832">
        <v>16161</v>
      </c>
      <c r="Q606" s="832">
        <v>21188</v>
      </c>
      <c r="R606" s="832">
        <v>24942</v>
      </c>
      <c r="S606" s="832">
        <v>1926.18</v>
      </c>
      <c r="T606" s="832">
        <v>1926.18</v>
      </c>
      <c r="U606" s="832">
        <v>0</v>
      </c>
      <c r="V606" s="832">
        <v>0</v>
      </c>
      <c r="W606" s="832">
        <v>4</v>
      </c>
      <c r="X606" s="832">
        <v>8</v>
      </c>
      <c r="Y606" s="832">
        <v>15</v>
      </c>
      <c r="Z606" s="832">
        <v>19</v>
      </c>
      <c r="AA606" s="832">
        <v>25</v>
      </c>
      <c r="AB606" s="832">
        <v>30</v>
      </c>
      <c r="AC606" s="832">
        <v>37</v>
      </c>
      <c r="AD606" s="832">
        <v>38</v>
      </c>
      <c r="AE606" s="832">
        <v>39</v>
      </c>
      <c r="AF606" s="832">
        <v>42</v>
      </c>
      <c r="AG606" s="832">
        <v>47</v>
      </c>
      <c r="AH606" s="832">
        <v>4</v>
      </c>
      <c r="AI606" s="832">
        <v>4</v>
      </c>
      <c r="AJ606" s="1030" t="str">
        <f t="shared" si="60"/>
        <v>H33440</v>
      </c>
      <c r="AK606" s="1030" t="str">
        <f t="shared" si="61"/>
        <v>VTE ASSURANCE ROUTIERE</v>
      </c>
      <c r="AL606" s="1030">
        <f>IFERROR(INDEX(G606:R606,1,MATCH(Parametres!$B$3,G$1:R$1,0)-1)*IF(OR(F606="L",F606="S",F606="I"),-1,1),"")</f>
        <v>-4875</v>
      </c>
      <c r="AM606" s="1030">
        <f t="shared" si="56"/>
        <v>-2275</v>
      </c>
      <c r="AN606" s="1030">
        <f>INDEX(G606:R606,1,MATCH(Parametres!$B$3,G$1:R$1,0))*IF(OR(F606="L",F606="S",F606="I"),-1,1)</f>
        <v>-7150</v>
      </c>
      <c r="AO606" s="598" t="str">
        <f>+VLOOKUP($AJ606,Data_Validation!$A:$D,1,0)</f>
        <v>H33440</v>
      </c>
      <c r="AP606" s="598" t="str">
        <f>+VLOOKUP($AJ606,Data_Validation!$A:$D,3,0)</f>
        <v>Véhicules usagés</v>
      </c>
      <c r="AQ606" s="598" t="str">
        <f>+VLOOKUP($AJ606,Data_Validation!$A:$D,4,0)</f>
        <v>Rev. Protections</v>
      </c>
      <c r="AR606" s="598" t="s">
        <v>299</v>
      </c>
      <c r="AS606" s="598" t="str">
        <f>+VLOOKUP($AJ606,Data_Validation!$A:$E,5,0)</f>
        <v>Oui</v>
      </c>
      <c r="AT606" s="1036" t="str">
        <f t="shared" si="57"/>
        <v>H33440</v>
      </c>
      <c r="AU606" s="599" t="str">
        <f t="shared" si="58"/>
        <v>VTE ASSURANCE ROUTIERE</v>
      </c>
      <c r="AV606" s="1030">
        <f>IFERROR(INDEX(V606:AG606,1,MATCH(Parametres!$B$3,V$1:AG$1,0)-1)*IF(OR(C606="L",C606="S",C606="I"),-1,1),"")</f>
        <v>15</v>
      </c>
      <c r="AW606" s="1030">
        <f t="shared" si="59"/>
        <v>4</v>
      </c>
      <c r="AX606" s="1030">
        <f>INDEX(V606:AG606,1,MATCH(Parametres!$B$3,V$1:AG$1,0))*IF(OR(C606="L",C606="S",C606="I"),-1,1)</f>
        <v>19</v>
      </c>
      <c r="AY606" s="598" t="s">
        <v>337</v>
      </c>
      <c r="AZ606" s="598" t="str">
        <f>+VLOOKUP($AJ606,Data_Validation!$A:$E,5,0)</f>
        <v>Oui</v>
      </c>
    </row>
    <row r="607" spans="1:52" ht="15" customHeight="1">
      <c r="A607" s="832" t="s">
        <v>1150</v>
      </c>
      <c r="B607" s="832">
        <v>2025</v>
      </c>
      <c r="C607" s="832" t="s">
        <v>2350</v>
      </c>
      <c r="D607" s="832" t="s">
        <v>2351</v>
      </c>
      <c r="E607" s="832" t="s">
        <v>333</v>
      </c>
      <c r="F607" s="832" t="s">
        <v>2222</v>
      </c>
      <c r="G607" s="832">
        <v>0</v>
      </c>
      <c r="H607" s="832">
        <v>0</v>
      </c>
      <c r="I607" s="832">
        <v>0</v>
      </c>
      <c r="J607" s="832">
        <v>0</v>
      </c>
      <c r="K607" s="832">
        <v>0</v>
      </c>
      <c r="L607" s="832">
        <v>0</v>
      </c>
      <c r="M607" s="832">
        <v>0</v>
      </c>
      <c r="N607" s="832">
        <v>0</v>
      </c>
      <c r="O607" s="832">
        <v>0</v>
      </c>
      <c r="P607" s="832">
        <v>0</v>
      </c>
      <c r="Q607" s="832">
        <v>0</v>
      </c>
      <c r="R607" s="832">
        <v>0</v>
      </c>
      <c r="S607" s="832">
        <v>0</v>
      </c>
      <c r="T607" s="832">
        <v>0</v>
      </c>
      <c r="U607" s="832">
        <v>0</v>
      </c>
      <c r="V607" s="832">
        <v>0</v>
      </c>
      <c r="W607" s="832">
        <v>0</v>
      </c>
      <c r="X607" s="832">
        <v>0</v>
      </c>
      <c r="Y607" s="832">
        <v>0</v>
      </c>
      <c r="Z607" s="832">
        <v>0</v>
      </c>
      <c r="AA607" s="832">
        <v>0</v>
      </c>
      <c r="AB607" s="832">
        <v>0</v>
      </c>
      <c r="AC607" s="832">
        <v>0</v>
      </c>
      <c r="AD607" s="832">
        <v>0</v>
      </c>
      <c r="AE607" s="832">
        <v>0</v>
      </c>
      <c r="AF607" s="832">
        <v>0</v>
      </c>
      <c r="AG607" s="832">
        <v>0</v>
      </c>
      <c r="AH607" s="832">
        <v>0</v>
      </c>
      <c r="AI607" s="832">
        <v>0</v>
      </c>
      <c r="AJ607" s="1030" t="str">
        <f t="shared" si="60"/>
        <v>H33500</v>
      </c>
      <c r="AK607" s="1030" t="str">
        <f t="shared" si="61"/>
        <v>REEVALUATION DU STOCK</v>
      </c>
      <c r="AL607" s="1030">
        <f>IFERROR(INDEX(G607:R607,1,MATCH(Parametres!$B$3,G$1:R$1,0)-1)*IF(OR(F607="L",F607="S",F607="I"),-1,1),"")</f>
        <v>0</v>
      </c>
      <c r="AM607" s="1030">
        <f t="shared" si="56"/>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t="str">
        <f t="shared" si="57"/>
        <v>H33500</v>
      </c>
      <c r="AU607" s="599" t="str">
        <f t="shared" si="58"/>
        <v>REEVALUATION DU STOCK</v>
      </c>
      <c r="AV607" s="1030">
        <f>IFERROR(INDEX(V607:AG607,1,MATCH(Parametres!$B$3,V$1:AG$1,0)-1)*IF(OR(C607="L",C607="S",C607="I"),-1,1),"")</f>
        <v>0</v>
      </c>
      <c r="AW607" s="1030">
        <f t="shared" si="59"/>
        <v>0</v>
      </c>
      <c r="AX607" s="1030">
        <f>INDEX(V607:AG607,1,MATCH(Parametres!$B$3,V$1:AG$1,0))*IF(OR(C607="L",C607="S",C607="I"),-1,1)</f>
        <v>0</v>
      </c>
      <c r="AY607" s="598" t="s">
        <v>337</v>
      </c>
      <c r="AZ607" s="598" t="e">
        <f>+VLOOKUP($AJ607,Data_Validation!$A:$E,5,0)</f>
        <v>#N/A</v>
      </c>
    </row>
    <row r="608" spans="1:52" ht="15" customHeight="1">
      <c r="A608" s="832" t="s">
        <v>1150</v>
      </c>
      <c r="B608" s="832">
        <v>2025</v>
      </c>
      <c r="C608" s="832" t="s">
        <v>2352</v>
      </c>
      <c r="D608" s="832" t="s">
        <v>2353</v>
      </c>
      <c r="E608" s="832" t="s">
        <v>2222</v>
      </c>
      <c r="F608" s="832" t="s">
        <v>2222</v>
      </c>
      <c r="G608" s="832">
        <v>0</v>
      </c>
      <c r="H608" s="832">
        <v>0</v>
      </c>
      <c r="I608" s="832">
        <v>0</v>
      </c>
      <c r="J608" s="832">
        <v>0</v>
      </c>
      <c r="K608" s="832">
        <v>0</v>
      </c>
      <c r="L608" s="832">
        <v>0</v>
      </c>
      <c r="M608" s="832">
        <v>0</v>
      </c>
      <c r="N608" s="832">
        <v>0</v>
      </c>
      <c r="O608" s="832">
        <v>46245.62</v>
      </c>
      <c r="P608" s="832">
        <v>46245.62</v>
      </c>
      <c r="Q608" s="832">
        <v>46245.62</v>
      </c>
      <c r="R608" s="832">
        <v>46245.62</v>
      </c>
      <c r="S608" s="832">
        <v>4204.1499999999996</v>
      </c>
      <c r="T608" s="832">
        <v>4204.1499999999996</v>
      </c>
      <c r="U608" s="832">
        <v>0</v>
      </c>
      <c r="V608" s="832">
        <v>0</v>
      </c>
      <c r="W608" s="832">
        <v>0</v>
      </c>
      <c r="X608" s="832">
        <v>0</v>
      </c>
      <c r="Y608" s="832">
        <v>0</v>
      </c>
      <c r="Z608" s="832">
        <v>0</v>
      </c>
      <c r="AA608" s="832">
        <v>0</v>
      </c>
      <c r="AB608" s="832">
        <v>0</v>
      </c>
      <c r="AC608" s="832">
        <v>0</v>
      </c>
      <c r="AD608" s="832">
        <v>1</v>
      </c>
      <c r="AE608" s="832">
        <v>1</v>
      </c>
      <c r="AF608" s="832">
        <v>1</v>
      </c>
      <c r="AG608" s="832">
        <v>1</v>
      </c>
      <c r="AH608" s="832">
        <v>0</v>
      </c>
      <c r="AI608" s="832">
        <v>0</v>
      </c>
      <c r="AJ608" s="1030" t="str">
        <f t="shared" si="60"/>
        <v>H33700</v>
      </c>
      <c r="AK608" s="1030" t="str">
        <f t="shared" si="61"/>
        <v>VTE SANTA CRUZ</v>
      </c>
      <c r="AL608" s="1030">
        <f>IFERROR(INDEX(G608:R608,1,MATCH(Parametres!$B$3,G$1:R$1,0)-1)*IF(OR(F608="L",F608="S",F608="I"),-1,1),"")</f>
        <v>0</v>
      </c>
      <c r="AM608" s="1030">
        <f t="shared" si="56"/>
        <v>0</v>
      </c>
      <c r="AN608" s="1030">
        <f>INDEX(G608:R608,1,MATCH(Parametres!$B$3,G$1:R$1,0))*IF(OR(F608="L",F608="S",F608="I"),-1,1)</f>
        <v>0</v>
      </c>
      <c r="AO608" s="598" t="str">
        <f>+VLOOKUP($AJ608,Data_Validation!$A:$D,1,0)</f>
        <v>H33700</v>
      </c>
      <c r="AP608" s="598" t="str">
        <f>+VLOOKUP($AJ608,Data_Validation!$A:$D,3,0)</f>
        <v>Véhicules neufs</v>
      </c>
      <c r="AQ608" s="598" t="str">
        <f>+VLOOKUP($AJ608,Data_Validation!$A:$D,4,0)</f>
        <v>Camions détail</v>
      </c>
      <c r="AR608" s="598" t="s">
        <v>299</v>
      </c>
      <c r="AS608" s="598" t="str">
        <f>+VLOOKUP($AJ608,Data_Validation!$A:$E,5,0)</f>
        <v>Oui</v>
      </c>
      <c r="AT608" s="1036" t="str">
        <f t="shared" si="57"/>
        <v>H33700</v>
      </c>
      <c r="AU608" s="599" t="str">
        <f t="shared" si="58"/>
        <v>VTE SANTA CRUZ</v>
      </c>
      <c r="AV608" s="1030">
        <f>IFERROR(INDEX(V608:AG608,1,MATCH(Parametres!$B$3,V$1:AG$1,0)-1)*IF(OR(C608="L",C608="S",C608="I"),-1,1),"")</f>
        <v>0</v>
      </c>
      <c r="AW608" s="1030">
        <f t="shared" si="59"/>
        <v>0</v>
      </c>
      <c r="AX608" s="1030">
        <f>INDEX(V608:AG608,1,MATCH(Parametres!$B$3,V$1:AG$1,0))*IF(OR(C608="L",C608="S",C608="I"),-1,1)</f>
        <v>0</v>
      </c>
      <c r="AY608" s="598" t="s">
        <v>337</v>
      </c>
      <c r="AZ608" s="598" t="str">
        <f>+VLOOKUP($AJ608,Data_Validation!$A:$E,5,0)</f>
        <v>Oui</v>
      </c>
    </row>
    <row r="609" spans="1:52" ht="15" customHeight="1">
      <c r="A609" s="832" t="s">
        <v>1150</v>
      </c>
      <c r="B609" s="832">
        <v>2025</v>
      </c>
      <c r="C609" s="832" t="s">
        <v>2354</v>
      </c>
      <c r="D609" s="832" t="s">
        <v>2355</v>
      </c>
      <c r="E609" s="832" t="s">
        <v>2222</v>
      </c>
      <c r="F609" s="832" t="s">
        <v>2222</v>
      </c>
      <c r="G609" s="832">
        <v>1312112.57</v>
      </c>
      <c r="H609" s="832">
        <v>1433518.34</v>
      </c>
      <c r="I609" s="832">
        <v>1433518.34</v>
      </c>
      <c r="J609" s="832">
        <v>3887023.43</v>
      </c>
      <c r="K609" s="832">
        <v>4361644.95</v>
      </c>
      <c r="L609" s="832">
        <v>4361644.95</v>
      </c>
      <c r="M609" s="832">
        <v>4421230.2300000004</v>
      </c>
      <c r="N609" s="832">
        <v>4623233.1500000004</v>
      </c>
      <c r="O609" s="832">
        <v>4623233.1500000004</v>
      </c>
      <c r="P609" s="832">
        <v>4943394.05</v>
      </c>
      <c r="Q609" s="832">
        <v>5004648</v>
      </c>
      <c r="R609" s="832">
        <v>5264967.96</v>
      </c>
      <c r="S609" s="832">
        <v>454968</v>
      </c>
      <c r="T609" s="832">
        <v>454968</v>
      </c>
      <c r="U609" s="832">
        <v>0</v>
      </c>
      <c r="V609" s="832">
        <v>21</v>
      </c>
      <c r="W609" s="832">
        <v>23</v>
      </c>
      <c r="X609" s="832">
        <v>23</v>
      </c>
      <c r="Y609" s="832">
        <v>65</v>
      </c>
      <c r="Z609" s="832">
        <v>73</v>
      </c>
      <c r="AA609" s="832">
        <v>73</v>
      </c>
      <c r="AB609" s="832">
        <v>74</v>
      </c>
      <c r="AC609" s="832">
        <v>77</v>
      </c>
      <c r="AD609" s="832">
        <v>77</v>
      </c>
      <c r="AE609" s="832">
        <v>82</v>
      </c>
      <c r="AF609" s="832">
        <v>83</v>
      </c>
      <c r="AG609" s="832">
        <v>87</v>
      </c>
      <c r="AH609" s="832">
        <v>8</v>
      </c>
      <c r="AI609" s="832">
        <v>8</v>
      </c>
      <c r="AJ609" s="1030" t="str">
        <f t="shared" si="60"/>
        <v>H33800</v>
      </c>
      <c r="AK609" s="1030" t="str">
        <f t="shared" si="61"/>
        <v>VTE IONIQ 5</v>
      </c>
      <c r="AL609" s="1030">
        <f>IFERROR(INDEX(G609:R609,1,MATCH(Parametres!$B$3,G$1:R$1,0)-1)*IF(OR(F609="L",F609="S",F609="I"),-1,1),"")</f>
        <v>-3887023.43</v>
      </c>
      <c r="AM609" s="1030">
        <f t="shared" si="56"/>
        <v>-474621.52</v>
      </c>
      <c r="AN609" s="1030">
        <f>INDEX(G609:R609,1,MATCH(Parametres!$B$3,G$1:R$1,0))*IF(OR(F609="L",F609="S",F609="I"),-1,1)</f>
        <v>-4361644.95</v>
      </c>
      <c r="AO609" s="598" t="str">
        <f>+VLOOKUP($AJ609,Data_Validation!$A:$D,1,0)</f>
        <v>H33800</v>
      </c>
      <c r="AP609" s="598" t="str">
        <f>+VLOOKUP($AJ609,Data_Validation!$A:$D,3,0)</f>
        <v>Véhicules neufs</v>
      </c>
      <c r="AQ609" s="598" t="str">
        <f>+VLOOKUP($AJ609,Data_Validation!$A:$D,4,0)</f>
        <v>Voitures electriques</v>
      </c>
      <c r="AR609" s="598" t="s">
        <v>299</v>
      </c>
      <c r="AS609" s="598" t="str">
        <f>+VLOOKUP($AJ609,Data_Validation!$A:$E,5,0)</f>
        <v>Oui</v>
      </c>
      <c r="AT609" s="1036" t="str">
        <f t="shared" si="57"/>
        <v>H33800</v>
      </c>
      <c r="AU609" s="599" t="str">
        <f t="shared" si="58"/>
        <v>VTE IONIQ 5</v>
      </c>
      <c r="AV609" s="1030">
        <f>IFERROR(INDEX(V609:AG609,1,MATCH(Parametres!$B$3,V$1:AG$1,0)-1)*IF(OR(C609="L",C609="S",C609="I"),-1,1),"")</f>
        <v>65</v>
      </c>
      <c r="AW609" s="1030">
        <f t="shared" si="59"/>
        <v>8</v>
      </c>
      <c r="AX609" s="1030">
        <f>INDEX(V609:AG609,1,MATCH(Parametres!$B$3,V$1:AG$1,0))*IF(OR(C609="L",C609="S",C609="I"),-1,1)</f>
        <v>73</v>
      </c>
      <c r="AY609" s="598" t="s">
        <v>337</v>
      </c>
      <c r="AZ609" s="598" t="str">
        <f>+VLOOKUP($AJ609,Data_Validation!$A:$E,5,0)</f>
        <v>Oui</v>
      </c>
    </row>
    <row r="610" spans="1:52" ht="15" customHeight="1">
      <c r="A610" s="832" t="s">
        <v>1150</v>
      </c>
      <c r="B610" s="832">
        <v>2025</v>
      </c>
      <c r="C610" s="832" t="s">
        <v>2356</v>
      </c>
      <c r="D610" s="832" t="s">
        <v>2357</v>
      </c>
      <c r="E610" s="832" t="s">
        <v>2222</v>
      </c>
      <c r="F610" s="832" t="s">
        <v>2222</v>
      </c>
      <c r="G610" s="832">
        <v>190332.33</v>
      </c>
      <c r="H610" s="832">
        <v>251732.28</v>
      </c>
      <c r="I610" s="832">
        <v>251732.28</v>
      </c>
      <c r="J610" s="832">
        <v>304365.28000000003</v>
      </c>
      <c r="K610" s="832">
        <v>358528.03</v>
      </c>
      <c r="L610" s="832">
        <v>410781.45</v>
      </c>
      <c r="M610" s="832">
        <v>516677.45</v>
      </c>
      <c r="N610" s="832">
        <v>750548.99</v>
      </c>
      <c r="O610" s="832">
        <v>916541.9</v>
      </c>
      <c r="P610" s="832">
        <v>1302129.76</v>
      </c>
      <c r="Q610" s="832">
        <v>1511993.98</v>
      </c>
      <c r="R610" s="832">
        <v>1738143.91</v>
      </c>
      <c r="S610" s="832">
        <v>137454</v>
      </c>
      <c r="T610" s="832">
        <v>137454</v>
      </c>
      <c r="U610" s="832">
        <v>0</v>
      </c>
      <c r="V610" s="832">
        <v>3</v>
      </c>
      <c r="W610" s="832">
        <v>4</v>
      </c>
      <c r="X610" s="832">
        <v>4</v>
      </c>
      <c r="Y610" s="832">
        <v>5</v>
      </c>
      <c r="Z610" s="832">
        <v>6</v>
      </c>
      <c r="AA610" s="832">
        <v>7</v>
      </c>
      <c r="AB610" s="832">
        <v>9</v>
      </c>
      <c r="AC610" s="832">
        <v>13</v>
      </c>
      <c r="AD610" s="832">
        <v>16</v>
      </c>
      <c r="AE610" s="832">
        <v>23</v>
      </c>
      <c r="AF610" s="832">
        <v>27</v>
      </c>
      <c r="AG610" s="832">
        <v>31</v>
      </c>
      <c r="AH610" s="832">
        <v>2</v>
      </c>
      <c r="AI610" s="832">
        <v>2</v>
      </c>
      <c r="AJ610" s="1030" t="str">
        <f t="shared" si="60"/>
        <v>H34200</v>
      </c>
      <c r="AK610" s="1030" t="str">
        <f t="shared" si="61"/>
        <v>VTE IONIQ 6</v>
      </c>
      <c r="AL610" s="1030">
        <f>IFERROR(INDEX(G610:R610,1,MATCH(Parametres!$B$3,G$1:R$1,0)-1)*IF(OR(F610="L",F610="S",F610="I"),-1,1),"")</f>
        <v>-304365.28000000003</v>
      </c>
      <c r="AM610" s="1030">
        <f t="shared" si="56"/>
        <v>-54162.75</v>
      </c>
      <c r="AN610" s="1030">
        <f>INDEX(G610:R610,1,MATCH(Parametres!$B$3,G$1:R$1,0))*IF(OR(F610="L",F610="S",F610="I"),-1,1)</f>
        <v>-358528.03</v>
      </c>
      <c r="AO610" s="598" t="str">
        <f>+VLOOKUP($AJ610,Data_Validation!$A:$D,1,0)</f>
        <v>H34200</v>
      </c>
      <c r="AP610" s="598" t="str">
        <f>+VLOOKUP($AJ610,Data_Validation!$A:$D,3,0)</f>
        <v>Véhicules neufs</v>
      </c>
      <c r="AQ610" s="598" t="str">
        <f>+VLOOKUP($AJ610,Data_Validation!$A:$D,4,0)</f>
        <v>Voitures electriques</v>
      </c>
      <c r="AR610" s="598" t="s">
        <v>299</v>
      </c>
      <c r="AS610" s="598" t="str">
        <f>+VLOOKUP($AJ610,Data_Validation!$A:$E,5,0)</f>
        <v>Oui</v>
      </c>
      <c r="AT610" s="1036" t="str">
        <f t="shared" si="57"/>
        <v>H34200</v>
      </c>
      <c r="AU610" s="599" t="str">
        <f t="shared" si="58"/>
        <v>VTE IONIQ 6</v>
      </c>
      <c r="AV610" s="1030">
        <f>IFERROR(INDEX(V610:AG610,1,MATCH(Parametres!$B$3,V$1:AG$1,0)-1)*IF(OR(C610="L",C610="S",C610="I"),-1,1),"")</f>
        <v>5</v>
      </c>
      <c r="AW610" s="1030">
        <f t="shared" si="59"/>
        <v>1</v>
      </c>
      <c r="AX610" s="1030">
        <f>INDEX(V610:AG610,1,MATCH(Parametres!$B$3,V$1:AG$1,0))*IF(OR(C610="L",C610="S",C610="I"),-1,1)</f>
        <v>6</v>
      </c>
      <c r="AY610" s="598" t="s">
        <v>337</v>
      </c>
      <c r="AZ610" s="598" t="str">
        <f>+VLOOKUP($AJ610,Data_Validation!$A:$E,5,0)</f>
        <v>Oui</v>
      </c>
    </row>
    <row r="611" spans="1:52" ht="15" customHeight="1">
      <c r="A611" s="832" t="s">
        <v>1150</v>
      </c>
      <c r="B611" s="832">
        <v>2025</v>
      </c>
      <c r="C611" s="832" t="s">
        <v>2358</v>
      </c>
      <c r="D611" s="832" t="s">
        <v>2355</v>
      </c>
      <c r="E611" s="832" t="s">
        <v>2222</v>
      </c>
      <c r="F611" s="832" t="s">
        <v>2222</v>
      </c>
      <c r="G611" s="832">
        <v>0</v>
      </c>
      <c r="H611" s="832">
        <v>0</v>
      </c>
      <c r="I611" s="832">
        <v>0</v>
      </c>
      <c r="J611" s="832">
        <v>0</v>
      </c>
      <c r="K611" s="832">
        <v>0</v>
      </c>
      <c r="L611" s="832">
        <v>0</v>
      </c>
      <c r="M611" s="832">
        <v>0</v>
      </c>
      <c r="N611" s="832">
        <v>0</v>
      </c>
      <c r="O611" s="832">
        <v>0</v>
      </c>
      <c r="P611" s="832">
        <v>0</v>
      </c>
      <c r="Q611" s="832">
        <v>0</v>
      </c>
      <c r="R611" s="832">
        <v>0</v>
      </c>
      <c r="S611" s="832">
        <v>0</v>
      </c>
      <c r="T611" s="832">
        <v>0</v>
      </c>
      <c r="U611" s="832">
        <v>0</v>
      </c>
      <c r="V611" s="832">
        <v>0</v>
      </c>
      <c r="W611" s="832">
        <v>0</v>
      </c>
      <c r="X611" s="832">
        <v>0</v>
      </c>
      <c r="Y611" s="832">
        <v>0</v>
      </c>
      <c r="Z611" s="832">
        <v>0</v>
      </c>
      <c r="AA611" s="832">
        <v>0</v>
      </c>
      <c r="AB611" s="832">
        <v>0</v>
      </c>
      <c r="AC611" s="832">
        <v>0</v>
      </c>
      <c r="AD611" s="832">
        <v>0</v>
      </c>
      <c r="AE611" s="832">
        <v>0</v>
      </c>
      <c r="AF611" s="832">
        <v>0</v>
      </c>
      <c r="AG611" s="832">
        <v>0</v>
      </c>
      <c r="AH611" s="832">
        <v>0</v>
      </c>
      <c r="AI611" s="832">
        <v>0</v>
      </c>
      <c r="AJ611" s="1030" t="str">
        <f t="shared" si="60"/>
        <v>H34300</v>
      </c>
      <c r="AK611" s="1030" t="str">
        <f t="shared" si="61"/>
        <v>VTE IONIQ 5</v>
      </c>
      <c r="AL611" s="1030">
        <f>IFERROR(INDEX(G611:R611,1,MATCH(Parametres!$B$3,G$1:R$1,0)-1)*IF(OR(F611="L",F611="S",F611="I"),-1,1),"")</f>
        <v>0</v>
      </c>
      <c r="AM611" s="1030">
        <f t="shared" si="56"/>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t="str">
        <f t="shared" si="57"/>
        <v>H34300</v>
      </c>
      <c r="AU611" s="599" t="str">
        <f t="shared" si="58"/>
        <v>VTE IONIQ 5</v>
      </c>
      <c r="AV611" s="1030">
        <f>IFERROR(INDEX(V611:AG611,1,MATCH(Parametres!$B$3,V$1:AG$1,0)-1)*IF(OR(C611="L",C611="S",C611="I"),-1,1),"")</f>
        <v>0</v>
      </c>
      <c r="AW611" s="1030">
        <f t="shared" si="59"/>
        <v>0</v>
      </c>
      <c r="AX611" s="1030">
        <f>INDEX(V611:AG611,1,MATCH(Parametres!$B$3,V$1:AG$1,0))*IF(OR(C611="L",C611="S",C611="I"),-1,1)</f>
        <v>0</v>
      </c>
      <c r="AY611" s="598" t="s">
        <v>337</v>
      </c>
      <c r="AZ611" s="598" t="e">
        <f>+VLOOKUP($AJ611,Data_Validation!$A:$E,5,0)</f>
        <v>#N/A</v>
      </c>
    </row>
    <row r="612" spans="1:52" ht="15" customHeight="1">
      <c r="A612" s="832" t="s">
        <v>1150</v>
      </c>
      <c r="B612" s="832">
        <v>2025</v>
      </c>
      <c r="C612" s="832" t="s">
        <v>2359</v>
      </c>
      <c r="D612" s="832" t="s">
        <v>2360</v>
      </c>
      <c r="E612" s="832" t="s">
        <v>2222</v>
      </c>
      <c r="F612" s="832" t="s">
        <v>2222</v>
      </c>
      <c r="G612" s="832">
        <v>0</v>
      </c>
      <c r="H612" s="832">
        <v>0</v>
      </c>
      <c r="I612" s="832">
        <v>0</v>
      </c>
      <c r="J612" s="832">
        <v>0</v>
      </c>
      <c r="K612" s="832">
        <v>0</v>
      </c>
      <c r="L612" s="832">
        <v>152439.99</v>
      </c>
      <c r="M612" s="832">
        <v>220738.17</v>
      </c>
      <c r="N612" s="832">
        <v>370577.99</v>
      </c>
      <c r="O612" s="832">
        <v>540232.43000000005</v>
      </c>
      <c r="P612" s="832">
        <v>676696.78</v>
      </c>
      <c r="Q612" s="832">
        <v>829540.1</v>
      </c>
      <c r="R612" s="832">
        <v>1063187.27</v>
      </c>
      <c r="S612" s="832">
        <v>75412.740000000005</v>
      </c>
      <c r="T612" s="832">
        <v>75412.740000000005</v>
      </c>
      <c r="U612" s="832">
        <v>0</v>
      </c>
      <c r="V612" s="832">
        <v>0</v>
      </c>
      <c r="W612" s="832">
        <v>0</v>
      </c>
      <c r="X612" s="832">
        <v>0</v>
      </c>
      <c r="Y612" s="832">
        <v>0</v>
      </c>
      <c r="Z612" s="832">
        <v>0</v>
      </c>
      <c r="AA612" s="832">
        <v>2</v>
      </c>
      <c r="AB612" s="832">
        <v>3</v>
      </c>
      <c r="AC612" s="832">
        <v>5</v>
      </c>
      <c r="AD612" s="832">
        <v>7</v>
      </c>
      <c r="AE612" s="832">
        <v>9</v>
      </c>
      <c r="AF612" s="832">
        <v>11</v>
      </c>
      <c r="AG612" s="832">
        <v>14</v>
      </c>
      <c r="AH612" s="832">
        <v>1</v>
      </c>
      <c r="AI612" s="832">
        <v>1</v>
      </c>
      <c r="AJ612" s="1030" t="str">
        <f t="shared" si="60"/>
        <v>H34400</v>
      </c>
      <c r="AK612" s="1030" t="str">
        <f t="shared" si="61"/>
        <v>VTE IONIQ 9</v>
      </c>
      <c r="AL612" s="1030">
        <f>IFERROR(INDEX(G612:R612,1,MATCH(Parametres!$B$3,G$1:R$1,0)-1)*IF(OR(F612="L",F612="S",F612="I"),-1,1),"")</f>
        <v>0</v>
      </c>
      <c r="AM612" s="1030">
        <f t="shared" si="56"/>
        <v>0</v>
      </c>
      <c r="AN612" s="1030">
        <f>INDEX(G612:R612,1,MATCH(Parametres!$B$3,G$1:R$1,0))*IF(OR(F612="L",F612="S",F612="I"),-1,1)</f>
        <v>0</v>
      </c>
      <c r="AO612" s="598" t="str">
        <f>+VLOOKUP($AJ612,Data_Validation!$A:$D,1,0)</f>
        <v>H34400</v>
      </c>
      <c r="AP612" s="598" t="str">
        <f>+VLOOKUP($AJ612,Data_Validation!$A:$D,3,0)</f>
        <v>Véhicules neufs</v>
      </c>
      <c r="AQ612" s="598" t="str">
        <f>+VLOOKUP($AJ612,Data_Validation!$A:$D,4,0)</f>
        <v>Voitures electriques</v>
      </c>
      <c r="AR612" s="598" t="s">
        <v>299</v>
      </c>
      <c r="AS612" s="598" t="str">
        <f>+VLOOKUP($AJ612,Data_Validation!$A:$E,5,0)</f>
        <v>Oui</v>
      </c>
      <c r="AT612" s="1036" t="str">
        <f t="shared" si="57"/>
        <v>H34400</v>
      </c>
      <c r="AU612" s="599" t="str">
        <f t="shared" si="58"/>
        <v>VTE IONIQ 9</v>
      </c>
      <c r="AV612" s="1030">
        <f>IFERROR(INDEX(V612:AG612,1,MATCH(Parametres!$B$3,V$1:AG$1,0)-1)*IF(OR(C612="L",C612="S",C612="I"),-1,1),"")</f>
        <v>0</v>
      </c>
      <c r="AW612" s="1030">
        <f t="shared" si="59"/>
        <v>0</v>
      </c>
      <c r="AX612" s="1030">
        <f>INDEX(V612:AG612,1,MATCH(Parametres!$B$3,V$1:AG$1,0))*IF(OR(C612="L",C612="S",C612="I"),-1,1)</f>
        <v>0</v>
      </c>
      <c r="AY612" s="598" t="s">
        <v>337</v>
      </c>
      <c r="AZ612" s="598" t="str">
        <f>+VLOOKUP($AJ612,Data_Validation!$A:$E,5,0)</f>
        <v>Oui</v>
      </c>
    </row>
    <row r="613" spans="1:52" ht="15" customHeight="1">
      <c r="A613" s="832" t="s">
        <v>1150</v>
      </c>
      <c r="B613" s="832">
        <v>2025</v>
      </c>
      <c r="C613" s="832" t="s">
        <v>2361</v>
      </c>
      <c r="D613" s="832" t="s">
        <v>2362</v>
      </c>
      <c r="E613" s="832" t="s">
        <v>2363</v>
      </c>
      <c r="F613" s="832" t="s">
        <v>2222</v>
      </c>
      <c r="G613" s="832">
        <v>421311.65</v>
      </c>
      <c r="H613" s="832">
        <v>786296.01</v>
      </c>
      <c r="I613" s="832">
        <v>1131864.74</v>
      </c>
      <c r="J613" s="832">
        <v>1505011.1</v>
      </c>
      <c r="K613" s="832">
        <v>1837819.15</v>
      </c>
      <c r="L613" s="832">
        <v>2109359.58</v>
      </c>
      <c r="M613" s="832">
        <v>2427310</v>
      </c>
      <c r="N613" s="832">
        <v>2774352.66</v>
      </c>
      <c r="O613" s="832">
        <v>3121167.71</v>
      </c>
      <c r="P613" s="832">
        <v>3440713.44</v>
      </c>
      <c r="Q613" s="832">
        <v>3730521.35</v>
      </c>
      <c r="R613" s="832">
        <v>4055141.16</v>
      </c>
      <c r="S613" s="832">
        <v>339138.3</v>
      </c>
      <c r="T613" s="832">
        <v>339138.3</v>
      </c>
      <c r="U613" s="832">
        <v>0</v>
      </c>
      <c r="V613" s="832">
        <v>1168</v>
      </c>
      <c r="W613" s="832">
        <v>2141</v>
      </c>
      <c r="X613" s="832">
        <v>3218</v>
      </c>
      <c r="Y613" s="832">
        <v>4298</v>
      </c>
      <c r="Z613" s="832">
        <v>5249</v>
      </c>
      <c r="AA613" s="832">
        <v>5968</v>
      </c>
      <c r="AB613" s="832">
        <v>6730</v>
      </c>
      <c r="AC613" s="832">
        <v>7474</v>
      </c>
      <c r="AD613" s="832">
        <v>8233</v>
      </c>
      <c r="AE613" s="832">
        <v>9064</v>
      </c>
      <c r="AF613" s="832">
        <v>9753</v>
      </c>
      <c r="AG613" s="832">
        <v>10430</v>
      </c>
      <c r="AH613" s="832">
        <v>887</v>
      </c>
      <c r="AI613" s="832">
        <v>887</v>
      </c>
      <c r="AJ613" s="1030" t="str">
        <f t="shared" si="60"/>
        <v>H35000</v>
      </c>
      <c r="AK613" s="1030" t="str">
        <f t="shared" si="61"/>
        <v>VTE PCS - COMPTOIR - GROS</v>
      </c>
      <c r="AL613" s="1030">
        <f>IFERROR(INDEX(G613:R613,1,MATCH(Parametres!$B$3,G$1:R$1,0)-1)*IF(OR(F613="L",F613="S",F613="I"),-1,1),"")</f>
        <v>-1505011.1</v>
      </c>
      <c r="AM613" s="1030">
        <f t="shared" si="56"/>
        <v>-332808.04999999981</v>
      </c>
      <c r="AN613" s="1030">
        <f>INDEX(G613:R613,1,MATCH(Parametres!$B$3,G$1:R$1,0))*IF(OR(F613="L",F613="S",F613="I"),-1,1)</f>
        <v>-1837819.15</v>
      </c>
      <c r="AO613" s="598" t="str">
        <f>+VLOOKUP($AJ613,Data_Validation!$A:$D,1,0)</f>
        <v>H35000</v>
      </c>
      <c r="AP613" s="598" t="str">
        <f>+VLOOKUP($AJ613,Data_Validation!$A:$D,3,0)</f>
        <v>Pièces</v>
      </c>
      <c r="AQ613" s="598" t="str">
        <f>+VLOOKUP($AJ613,Data_Validation!$A:$D,4,0)</f>
        <v>Ventes de Gros</v>
      </c>
      <c r="AR613" s="598" t="s">
        <v>299</v>
      </c>
      <c r="AS613" s="598" t="str">
        <f>+VLOOKUP($AJ613,Data_Validation!$A:$E,5,0)</f>
        <v>Oui</v>
      </c>
      <c r="AT613" s="1036" t="str">
        <f t="shared" si="57"/>
        <v>H35000</v>
      </c>
      <c r="AU613" s="599" t="str">
        <f t="shared" si="58"/>
        <v>VTE PCS - COMPTOIR - GROS</v>
      </c>
      <c r="AV613" s="1030">
        <f>IFERROR(INDEX(V613:AG613,1,MATCH(Parametres!$B$3,V$1:AG$1,0)-1)*IF(OR(C613="L",C613="S",C613="I"),-1,1),"")</f>
        <v>4298</v>
      </c>
      <c r="AW613" s="1030">
        <f t="shared" si="59"/>
        <v>951</v>
      </c>
      <c r="AX613" s="1030">
        <f>INDEX(V613:AG613,1,MATCH(Parametres!$B$3,V$1:AG$1,0))*IF(OR(C613="L",C613="S",C613="I"),-1,1)</f>
        <v>5249</v>
      </c>
      <c r="AY613" s="598" t="s">
        <v>337</v>
      </c>
      <c r="AZ613" s="598" t="str">
        <f>+VLOOKUP($AJ613,Data_Validation!$A:$E,5,0)</f>
        <v>Oui</v>
      </c>
    </row>
    <row r="614" spans="1:52" ht="15" customHeight="1">
      <c r="A614" s="832" t="s">
        <v>1150</v>
      </c>
      <c r="B614" s="832">
        <v>2025</v>
      </c>
      <c r="C614" s="832" t="s">
        <v>2364</v>
      </c>
      <c r="D614" s="832" t="s">
        <v>2365</v>
      </c>
      <c r="E614" s="832" t="s">
        <v>2363</v>
      </c>
      <c r="F614" s="832" t="s">
        <v>2222</v>
      </c>
      <c r="G614" s="832">
        <v>3076.77</v>
      </c>
      <c r="H614" s="832">
        <v>8297.48</v>
      </c>
      <c r="I614" s="832">
        <v>10771.65</v>
      </c>
      <c r="J614" s="832">
        <v>20497.7</v>
      </c>
      <c r="K614" s="832">
        <v>28807.040000000001</v>
      </c>
      <c r="L614" s="832">
        <v>40028.300000000003</v>
      </c>
      <c r="M614" s="832">
        <v>52942.29</v>
      </c>
      <c r="N614" s="832">
        <v>63567.61</v>
      </c>
      <c r="O614" s="832">
        <v>73912.88</v>
      </c>
      <c r="P614" s="832">
        <v>86612.27</v>
      </c>
      <c r="Q614" s="832">
        <v>98008.82</v>
      </c>
      <c r="R614" s="832">
        <v>106318.8</v>
      </c>
      <c r="S614" s="832">
        <v>8909.89</v>
      </c>
      <c r="T614" s="832">
        <v>8909.89</v>
      </c>
      <c r="U614" s="832">
        <v>0</v>
      </c>
      <c r="V614" s="832">
        <v>64</v>
      </c>
      <c r="W614" s="832">
        <v>110</v>
      </c>
      <c r="X614" s="832">
        <v>173</v>
      </c>
      <c r="Y614" s="832">
        <v>269</v>
      </c>
      <c r="Z614" s="832">
        <v>342</v>
      </c>
      <c r="AA614" s="832">
        <v>417</v>
      </c>
      <c r="AB614" s="832">
        <v>508</v>
      </c>
      <c r="AC614" s="832">
        <v>591</v>
      </c>
      <c r="AD614" s="832">
        <v>683</v>
      </c>
      <c r="AE614" s="832">
        <v>798</v>
      </c>
      <c r="AF614" s="832">
        <v>892</v>
      </c>
      <c r="AG614" s="832">
        <v>968</v>
      </c>
      <c r="AH614" s="832">
        <v>81</v>
      </c>
      <c r="AI614" s="832">
        <v>81</v>
      </c>
      <c r="AJ614" s="1030" t="str">
        <f t="shared" si="60"/>
        <v>H35200</v>
      </c>
      <c r="AK614" s="1030" t="str">
        <f t="shared" si="61"/>
        <v>VTE PCS COMPTOIR - DETAIL</v>
      </c>
      <c r="AL614" s="1030">
        <f>IFERROR(INDEX(G614:R614,1,MATCH(Parametres!$B$3,G$1:R$1,0)-1)*IF(OR(F614="L",F614="S",F614="I"),-1,1),"")</f>
        <v>-20497.7</v>
      </c>
      <c r="AM614" s="1030">
        <f t="shared" si="56"/>
        <v>-8309.34</v>
      </c>
      <c r="AN614" s="1030">
        <f>INDEX(G614:R614,1,MATCH(Parametres!$B$3,G$1:R$1,0))*IF(OR(F614="L",F614="S",F614="I"),-1,1)</f>
        <v>-28807.040000000001</v>
      </c>
      <c r="AO614" s="598" t="str">
        <f>+VLOOKUP($AJ614,Data_Validation!$A:$D,1,0)</f>
        <v>H35200</v>
      </c>
      <c r="AP614" s="598" t="str">
        <f>+VLOOKUP($AJ614,Data_Validation!$A:$D,3,0)</f>
        <v>Pièces</v>
      </c>
      <c r="AQ614" s="598" t="str">
        <f>+VLOOKUP($AJ614,Data_Validation!$A:$D,4,0)</f>
        <v>Ventes Détails</v>
      </c>
      <c r="AR614" s="598" t="s">
        <v>299</v>
      </c>
      <c r="AS614" s="598" t="str">
        <f>+VLOOKUP($AJ614,Data_Validation!$A:$E,5,0)</f>
        <v>Oui</v>
      </c>
      <c r="AT614" s="1036" t="str">
        <f t="shared" si="57"/>
        <v>H35200</v>
      </c>
      <c r="AU614" s="599" t="str">
        <f t="shared" si="58"/>
        <v>VTE PCS COMPTOIR - DETAIL</v>
      </c>
      <c r="AV614" s="1030">
        <f>IFERROR(INDEX(V614:AG614,1,MATCH(Parametres!$B$3,V$1:AG$1,0)-1)*IF(OR(C614="L",C614="S",C614="I"),-1,1),"")</f>
        <v>269</v>
      </c>
      <c r="AW614" s="1030">
        <f t="shared" si="59"/>
        <v>73</v>
      </c>
      <c r="AX614" s="1030">
        <f>INDEX(V614:AG614,1,MATCH(Parametres!$B$3,V$1:AG$1,0))*IF(OR(C614="L",C614="S",C614="I"),-1,1)</f>
        <v>342</v>
      </c>
      <c r="AY614" s="598" t="s">
        <v>337</v>
      </c>
      <c r="AZ614" s="598" t="str">
        <f>+VLOOKUP($AJ614,Data_Validation!$A:$E,5,0)</f>
        <v>Oui</v>
      </c>
    </row>
    <row r="615" spans="1:52" ht="15" customHeight="1">
      <c r="A615" s="832" t="s">
        <v>1150</v>
      </c>
      <c r="B615" s="832">
        <v>2025</v>
      </c>
      <c r="C615" s="832" t="s">
        <v>2366</v>
      </c>
      <c r="D615" s="832" t="s">
        <v>2367</v>
      </c>
      <c r="E615" s="832" t="s">
        <v>2363</v>
      </c>
      <c r="F615" s="832" t="s">
        <v>2222</v>
      </c>
      <c r="G615" s="832">
        <v>25296.48</v>
      </c>
      <c r="H615" s="832">
        <v>38306.71</v>
      </c>
      <c r="I615" s="832">
        <v>57047.85</v>
      </c>
      <c r="J615" s="832">
        <v>78668.929999999993</v>
      </c>
      <c r="K615" s="832">
        <v>93766.33</v>
      </c>
      <c r="L615" s="832">
        <v>111765.75999999999</v>
      </c>
      <c r="M615" s="832">
        <v>131940.34</v>
      </c>
      <c r="N615" s="832">
        <v>150598.6</v>
      </c>
      <c r="O615" s="832">
        <v>170896.5</v>
      </c>
      <c r="P615" s="832">
        <v>194280.69</v>
      </c>
      <c r="Q615" s="832">
        <v>222788.03</v>
      </c>
      <c r="R615" s="832">
        <v>244255.83</v>
      </c>
      <c r="S615" s="832">
        <v>20253.46</v>
      </c>
      <c r="T615" s="832">
        <v>20253.46</v>
      </c>
      <c r="U615" s="832">
        <v>0</v>
      </c>
      <c r="V615" s="832">
        <v>137</v>
      </c>
      <c r="W615" s="832">
        <v>253</v>
      </c>
      <c r="X615" s="832">
        <v>348</v>
      </c>
      <c r="Y615" s="832">
        <v>491</v>
      </c>
      <c r="Z615" s="832">
        <v>620</v>
      </c>
      <c r="AA615" s="832">
        <v>730</v>
      </c>
      <c r="AB615" s="832">
        <v>863</v>
      </c>
      <c r="AC615" s="832">
        <v>970</v>
      </c>
      <c r="AD615" s="832">
        <v>1085</v>
      </c>
      <c r="AE615" s="832">
        <v>1213</v>
      </c>
      <c r="AF615" s="832">
        <v>1358</v>
      </c>
      <c r="AG615" s="832">
        <v>1484</v>
      </c>
      <c r="AH615" s="832">
        <v>123</v>
      </c>
      <c r="AI615" s="832">
        <v>123</v>
      </c>
      <c r="AJ615" s="1030" t="str">
        <f t="shared" si="60"/>
        <v>H35300</v>
      </c>
      <c r="AK615" s="1030" t="str">
        <f t="shared" si="61"/>
        <v>VTE ACCESS DETAIL</v>
      </c>
      <c r="AL615" s="1030">
        <f>IFERROR(INDEX(G615:R615,1,MATCH(Parametres!$B$3,G$1:R$1,0)-1)*IF(OR(F615="L",F615="S",F615="I"),-1,1),"")</f>
        <v>-78668.929999999993</v>
      </c>
      <c r="AM615" s="1030">
        <f t="shared" si="56"/>
        <v>-15097.400000000009</v>
      </c>
      <c r="AN615" s="1030">
        <f>INDEX(G615:R615,1,MATCH(Parametres!$B$3,G$1:R$1,0))*IF(OR(F615="L",F615="S",F615="I"),-1,1)</f>
        <v>-93766.33</v>
      </c>
      <c r="AO615" s="598" t="str">
        <f>+VLOOKUP($AJ615,Data_Validation!$A:$D,1,0)</f>
        <v>H35300</v>
      </c>
      <c r="AP615" s="598" t="str">
        <f>+VLOOKUP($AJ615,Data_Validation!$A:$D,3,0)</f>
        <v>Pièces</v>
      </c>
      <c r="AQ615" s="598" t="str">
        <f>+VLOOKUP($AJ615,Data_Validation!$A:$D,4,0)</f>
        <v>Ventes Détails</v>
      </c>
      <c r="AR615" s="598" t="s">
        <v>299</v>
      </c>
      <c r="AS615" s="598" t="str">
        <f>+VLOOKUP($AJ615,Data_Validation!$A:$E,5,0)</f>
        <v>Oui</v>
      </c>
      <c r="AT615" s="1036" t="str">
        <f t="shared" si="57"/>
        <v>H35300</v>
      </c>
      <c r="AU615" s="599" t="str">
        <f t="shared" si="58"/>
        <v>VTE ACCESS DETAIL</v>
      </c>
      <c r="AV615" s="1030">
        <f>IFERROR(INDEX(V615:AG615,1,MATCH(Parametres!$B$3,V$1:AG$1,0)-1)*IF(OR(C615="L",C615="S",C615="I"),-1,1),"")</f>
        <v>491</v>
      </c>
      <c r="AW615" s="1030">
        <f t="shared" si="59"/>
        <v>129</v>
      </c>
      <c r="AX615" s="1030">
        <f>INDEX(V615:AG615,1,MATCH(Parametres!$B$3,V$1:AG$1,0))*IF(OR(C615="L",C615="S",C615="I"),-1,1)</f>
        <v>620</v>
      </c>
      <c r="AY615" s="598" t="s">
        <v>337</v>
      </c>
      <c r="AZ615" s="598" t="str">
        <f>+VLOOKUP($AJ615,Data_Validation!$A:$E,5,0)</f>
        <v>Oui</v>
      </c>
    </row>
    <row r="616" spans="1:52" ht="15" customHeight="1">
      <c r="A616" s="832" t="s">
        <v>1150</v>
      </c>
      <c r="B616" s="832">
        <v>2025</v>
      </c>
      <c r="C616" s="832" t="s">
        <v>2368</v>
      </c>
      <c r="D616" s="832" t="s">
        <v>2369</v>
      </c>
      <c r="E616" s="832" t="s">
        <v>2363</v>
      </c>
      <c r="F616" s="832" t="s">
        <v>2222</v>
      </c>
      <c r="G616" s="832">
        <v>64769.74</v>
      </c>
      <c r="H616" s="832">
        <v>112426.43</v>
      </c>
      <c r="I616" s="832">
        <v>165636.68</v>
      </c>
      <c r="J616" s="832">
        <v>255246.3</v>
      </c>
      <c r="K616" s="832">
        <v>361352.77</v>
      </c>
      <c r="L616" s="832">
        <v>444616.8</v>
      </c>
      <c r="M616" s="832">
        <v>513987.36</v>
      </c>
      <c r="N616" s="832">
        <v>560923.84</v>
      </c>
      <c r="O616" s="832">
        <v>611902.9</v>
      </c>
      <c r="P616" s="832">
        <v>691191.52</v>
      </c>
      <c r="Q616" s="832">
        <v>766784.97</v>
      </c>
      <c r="R616" s="832">
        <v>818001.02</v>
      </c>
      <c r="S616" s="832">
        <v>69707.72</v>
      </c>
      <c r="T616" s="832">
        <v>69707.72</v>
      </c>
      <c r="U616" s="832">
        <v>0</v>
      </c>
      <c r="V616" s="832">
        <v>442</v>
      </c>
      <c r="W616" s="832">
        <v>807</v>
      </c>
      <c r="X616" s="832">
        <v>1234</v>
      </c>
      <c r="Y616" s="832">
        <v>1973</v>
      </c>
      <c r="Z616" s="832">
        <v>2651</v>
      </c>
      <c r="AA616" s="832">
        <v>3151</v>
      </c>
      <c r="AB616" s="832">
        <v>3612</v>
      </c>
      <c r="AC616" s="832">
        <v>3948</v>
      </c>
      <c r="AD616" s="832">
        <v>4355</v>
      </c>
      <c r="AE616" s="832">
        <v>4957</v>
      </c>
      <c r="AF616" s="832">
        <v>5626</v>
      </c>
      <c r="AG616" s="832">
        <v>6036</v>
      </c>
      <c r="AH616" s="832">
        <v>511</v>
      </c>
      <c r="AI616" s="832">
        <v>511</v>
      </c>
      <c r="AJ616" s="1030" t="str">
        <f t="shared" si="60"/>
        <v>H35400</v>
      </c>
      <c r="AK616" s="1030" t="str">
        <f t="shared" si="61"/>
        <v>VTE PCS B.R CLIENT - MEC</v>
      </c>
      <c r="AL616" s="1030">
        <f>IFERROR(INDEX(G616:R616,1,MATCH(Parametres!$B$3,G$1:R$1,0)-1)*IF(OR(F616="L",F616="S",F616="I"),-1,1),"")</f>
        <v>-255246.3</v>
      </c>
      <c r="AM616" s="1030">
        <f t="shared" si="56"/>
        <v>-106106.47000000003</v>
      </c>
      <c r="AN616" s="1030">
        <f>INDEX(G616:R616,1,MATCH(Parametres!$B$3,G$1:R$1,0))*IF(OR(F616="L",F616="S",F616="I"),-1,1)</f>
        <v>-361352.77</v>
      </c>
      <c r="AO616" s="598" t="str">
        <f>+VLOOKUP($AJ616,Data_Validation!$A:$D,1,0)</f>
        <v>H35400</v>
      </c>
      <c r="AP616" s="598" t="str">
        <f>+VLOOKUP($AJ616,Data_Validation!$A:$D,3,0)</f>
        <v>Pièces</v>
      </c>
      <c r="AQ616" s="598" t="str">
        <f>+VLOOKUP($AJ616,Data_Validation!$A:$D,4,0)</f>
        <v>Pièces Ro Clients</v>
      </c>
      <c r="AR616" s="598" t="s">
        <v>299</v>
      </c>
      <c r="AS616" s="598" t="str">
        <f>+VLOOKUP($AJ616,Data_Validation!$A:$E,5,0)</f>
        <v>Oui</v>
      </c>
      <c r="AT616" s="1036" t="str">
        <f t="shared" si="57"/>
        <v>H35400</v>
      </c>
      <c r="AU616" s="599" t="str">
        <f t="shared" si="58"/>
        <v>VTE PCS B.R CLIENT - MEC</v>
      </c>
      <c r="AV616" s="1030">
        <f>IFERROR(INDEX(V616:AG616,1,MATCH(Parametres!$B$3,V$1:AG$1,0)-1)*IF(OR(C616="L",C616="S",C616="I"),-1,1),"")</f>
        <v>1973</v>
      </c>
      <c r="AW616" s="1030">
        <f t="shared" si="59"/>
        <v>678</v>
      </c>
      <c r="AX616" s="1030">
        <f>INDEX(V616:AG616,1,MATCH(Parametres!$B$3,V$1:AG$1,0))*IF(OR(C616="L",C616="S",C616="I"),-1,1)</f>
        <v>2651</v>
      </c>
      <c r="AY616" s="598" t="s">
        <v>337</v>
      </c>
      <c r="AZ616" s="598" t="str">
        <f>+VLOOKUP($AJ616,Data_Validation!$A:$E,5,0)</f>
        <v>Oui</v>
      </c>
    </row>
    <row r="617" spans="1:52" ht="15" customHeight="1">
      <c r="A617" s="832" t="s">
        <v>1150</v>
      </c>
      <c r="B617" s="832">
        <v>2025</v>
      </c>
      <c r="C617" s="832" t="s">
        <v>2370</v>
      </c>
      <c r="D617" s="832" t="s">
        <v>2371</v>
      </c>
      <c r="E617" s="832" t="s">
        <v>2363</v>
      </c>
      <c r="F617" s="832" t="s">
        <v>2222</v>
      </c>
      <c r="G617" s="832">
        <v>0</v>
      </c>
      <c r="H617" s="832">
        <v>0</v>
      </c>
      <c r="I617" s="832">
        <v>0</v>
      </c>
      <c r="J617" s="832">
        <v>0</v>
      </c>
      <c r="K617" s="832">
        <v>0</v>
      </c>
      <c r="L617" s="832">
        <v>0</v>
      </c>
      <c r="M617" s="832">
        <v>0</v>
      </c>
      <c r="N617" s="832">
        <v>0</v>
      </c>
      <c r="O617" s="832">
        <v>0</v>
      </c>
      <c r="P617" s="832">
        <v>0</v>
      </c>
      <c r="Q617" s="832">
        <v>0</v>
      </c>
      <c r="R617" s="832">
        <v>0</v>
      </c>
      <c r="S617" s="832">
        <v>0</v>
      </c>
      <c r="T617" s="832">
        <v>0</v>
      </c>
      <c r="U617" s="832">
        <v>0</v>
      </c>
      <c r="V617" s="832">
        <v>0</v>
      </c>
      <c r="W617" s="832">
        <v>0</v>
      </c>
      <c r="X617" s="832">
        <v>0</v>
      </c>
      <c r="Y617" s="832">
        <v>0</v>
      </c>
      <c r="Z617" s="832">
        <v>0</v>
      </c>
      <c r="AA617" s="832">
        <v>0</v>
      </c>
      <c r="AB617" s="832">
        <v>0</v>
      </c>
      <c r="AC617" s="832">
        <v>0</v>
      </c>
      <c r="AD617" s="832">
        <v>0</v>
      </c>
      <c r="AE617" s="832">
        <v>0</v>
      </c>
      <c r="AF617" s="832">
        <v>0</v>
      </c>
      <c r="AG617" s="832">
        <v>0</v>
      </c>
      <c r="AH617" s="832">
        <v>0</v>
      </c>
      <c r="AI617" s="832">
        <v>0</v>
      </c>
      <c r="AJ617" s="1030" t="str">
        <f t="shared" si="60"/>
        <v>H35410</v>
      </c>
      <c r="AK617" s="1030" t="str">
        <f t="shared" si="61"/>
        <v>VTE PIECES DETAIL HPP</v>
      </c>
      <c r="AL617" s="1030">
        <f>IFERROR(INDEX(G617:R617,1,MATCH(Parametres!$B$3,G$1:R$1,0)-1)*IF(OR(F617="L",F617="S",F617="I"),-1,1),"")</f>
        <v>0</v>
      </c>
      <c r="AM617" s="1030">
        <f t="shared" si="56"/>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t="str">
        <f t="shared" si="57"/>
        <v>H35410</v>
      </c>
      <c r="AU617" s="599" t="str">
        <f t="shared" si="58"/>
        <v>VTE PIECES DETAIL HPP</v>
      </c>
      <c r="AV617" s="1030">
        <f>IFERROR(INDEX(V617:AG617,1,MATCH(Parametres!$B$3,V$1:AG$1,0)-1)*IF(OR(C617="L",C617="S",C617="I"),-1,1),"")</f>
        <v>0</v>
      </c>
      <c r="AW617" s="1030">
        <f t="shared" si="59"/>
        <v>0</v>
      </c>
      <c r="AX617" s="1030">
        <f>INDEX(V617:AG617,1,MATCH(Parametres!$B$3,V$1:AG$1,0))*IF(OR(C617="L",C617="S",C617="I"),-1,1)</f>
        <v>0</v>
      </c>
      <c r="AY617" s="598" t="s">
        <v>337</v>
      </c>
      <c r="AZ617" s="598" t="e">
        <f>+VLOOKUP($AJ617,Data_Validation!$A:$E,5,0)</f>
        <v>#N/A</v>
      </c>
    </row>
    <row r="618" spans="1:52" ht="15" customHeight="1">
      <c r="A618" s="832" t="s">
        <v>1150</v>
      </c>
      <c r="B618" s="832">
        <v>2025</v>
      </c>
      <c r="C618" s="832" t="s">
        <v>2372</v>
      </c>
      <c r="D618" s="832" t="s">
        <v>2373</v>
      </c>
      <c r="E618" s="832" t="s">
        <v>2363</v>
      </c>
      <c r="F618" s="832" t="s">
        <v>2222</v>
      </c>
      <c r="G618" s="832">
        <v>0</v>
      </c>
      <c r="H618" s="832">
        <v>0</v>
      </c>
      <c r="I618" s="832">
        <v>0</v>
      </c>
      <c r="J618" s="832">
        <v>0</v>
      </c>
      <c r="K618" s="832">
        <v>0</v>
      </c>
      <c r="L618" s="832">
        <v>0</v>
      </c>
      <c r="M618" s="832">
        <v>0</v>
      </c>
      <c r="N618" s="832">
        <v>0</v>
      </c>
      <c r="O618" s="832">
        <v>0</v>
      </c>
      <c r="P618" s="832">
        <v>0</v>
      </c>
      <c r="Q618" s="832">
        <v>0</v>
      </c>
      <c r="R618" s="832">
        <v>0</v>
      </c>
      <c r="S618" s="832">
        <v>0</v>
      </c>
      <c r="T618" s="832">
        <v>0</v>
      </c>
      <c r="U618" s="832">
        <v>0</v>
      </c>
      <c r="V618" s="832">
        <v>0</v>
      </c>
      <c r="W618" s="832">
        <v>0</v>
      </c>
      <c r="X618" s="832">
        <v>0</v>
      </c>
      <c r="Y618" s="832">
        <v>0</v>
      </c>
      <c r="Z618" s="832">
        <v>0</v>
      </c>
      <c r="AA618" s="832">
        <v>0</v>
      </c>
      <c r="AB618" s="832">
        <v>0</v>
      </c>
      <c r="AC618" s="832">
        <v>0</v>
      </c>
      <c r="AD618" s="832">
        <v>0</v>
      </c>
      <c r="AE618" s="832">
        <v>0</v>
      </c>
      <c r="AF618" s="832">
        <v>0</v>
      </c>
      <c r="AG618" s="832">
        <v>0</v>
      </c>
      <c r="AH618" s="832">
        <v>0</v>
      </c>
      <c r="AI618" s="832">
        <v>0</v>
      </c>
      <c r="AJ618" s="1030" t="str">
        <f t="shared" si="60"/>
        <v>H35500</v>
      </c>
      <c r="AK618" s="1030" t="str">
        <f t="shared" si="61"/>
        <v>VTE PCS B.R CLIENT - CARR</v>
      </c>
      <c r="AL618" s="1030">
        <f>IFERROR(INDEX(G618:R618,1,MATCH(Parametres!$B$3,G$1:R$1,0)-1)*IF(OR(F618="L",F618="S",F618="I"),-1,1),"")</f>
        <v>0</v>
      </c>
      <c r="AM618" s="1030">
        <f t="shared" si="56"/>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t="str">
        <f t="shared" si="57"/>
        <v>H35500</v>
      </c>
      <c r="AU618" s="599" t="str">
        <f t="shared" si="58"/>
        <v>VTE PCS B.R CLIENT - CARR</v>
      </c>
      <c r="AV618" s="1030">
        <f>IFERROR(INDEX(V618:AG618,1,MATCH(Parametres!$B$3,V$1:AG$1,0)-1)*IF(OR(C618="L",C618="S",C618="I"),-1,1),"")</f>
        <v>0</v>
      </c>
      <c r="AW618" s="1030">
        <f t="shared" si="59"/>
        <v>0</v>
      </c>
      <c r="AX618" s="1030">
        <f>INDEX(V618:AG618,1,MATCH(Parametres!$B$3,V$1:AG$1,0))*IF(OR(C618="L",C618="S",C618="I"),-1,1)</f>
        <v>0</v>
      </c>
      <c r="AY618" s="598" t="s">
        <v>337</v>
      </c>
      <c r="AZ618" s="598" t="e">
        <f>+VLOOKUP($AJ618,Data_Validation!$A:$E,5,0)</f>
        <v>#N/A</v>
      </c>
    </row>
    <row r="619" spans="1:52" ht="15" customHeight="1">
      <c r="A619" s="832" t="s">
        <v>1150</v>
      </c>
      <c r="B619" s="832">
        <v>2025</v>
      </c>
      <c r="C619" s="832" t="s">
        <v>2374</v>
      </c>
      <c r="D619" s="832" t="s">
        <v>2375</v>
      </c>
      <c r="E619" s="832" t="s">
        <v>2363</v>
      </c>
      <c r="F619" s="832" t="s">
        <v>2222</v>
      </c>
      <c r="G619" s="832">
        <v>129177.47</v>
      </c>
      <c r="H619" s="832">
        <v>226175.68</v>
      </c>
      <c r="I619" s="832">
        <v>347796.14</v>
      </c>
      <c r="J619" s="832">
        <v>405763.36</v>
      </c>
      <c r="K619" s="832">
        <v>488778.36</v>
      </c>
      <c r="L619" s="832">
        <v>596302.44999999995</v>
      </c>
      <c r="M619" s="832">
        <v>735760.77</v>
      </c>
      <c r="N619" s="832">
        <v>851777.41</v>
      </c>
      <c r="O619" s="832">
        <v>1030044.5</v>
      </c>
      <c r="P619" s="832">
        <v>1129376.45</v>
      </c>
      <c r="Q619" s="832">
        <v>1148185.53</v>
      </c>
      <c r="R619" s="832">
        <v>1239525.31</v>
      </c>
      <c r="S619" s="832">
        <v>104380.5</v>
      </c>
      <c r="T619" s="832">
        <v>104380.5</v>
      </c>
      <c r="U619" s="832">
        <v>0</v>
      </c>
      <c r="V619" s="832">
        <v>241</v>
      </c>
      <c r="W619" s="832">
        <v>441</v>
      </c>
      <c r="X619" s="832">
        <v>711</v>
      </c>
      <c r="Y619" s="832">
        <v>824</v>
      </c>
      <c r="Z619" s="832">
        <v>995</v>
      </c>
      <c r="AA619" s="832">
        <v>1278</v>
      </c>
      <c r="AB619" s="832">
        <v>1531</v>
      </c>
      <c r="AC619" s="832">
        <v>1709</v>
      </c>
      <c r="AD619" s="832">
        <v>1976</v>
      </c>
      <c r="AE619" s="832">
        <v>2142</v>
      </c>
      <c r="AF619" s="832">
        <v>2212</v>
      </c>
      <c r="AG619" s="832">
        <v>2409</v>
      </c>
      <c r="AH619" s="832">
        <v>201</v>
      </c>
      <c r="AI619" s="832">
        <v>201</v>
      </c>
      <c r="AJ619" s="1030" t="str">
        <f t="shared" si="60"/>
        <v>H35600</v>
      </c>
      <c r="AK619" s="1030" t="str">
        <f t="shared" si="61"/>
        <v>VTE PCS B.R GARANTIE -MEC</v>
      </c>
      <c r="AL619" s="1030">
        <f>IFERROR(INDEX(G619:R619,1,MATCH(Parametres!$B$3,G$1:R$1,0)-1)*IF(OR(F619="L",F619="S",F619="I"),-1,1),"")</f>
        <v>-405763.36</v>
      </c>
      <c r="AM619" s="1030">
        <f t="shared" si="56"/>
        <v>-83015</v>
      </c>
      <c r="AN619" s="1030">
        <f>INDEX(G619:R619,1,MATCH(Parametres!$B$3,G$1:R$1,0))*IF(OR(F619="L",F619="S",F619="I"),-1,1)</f>
        <v>-488778.36</v>
      </c>
      <c r="AO619" s="598" t="str">
        <f>+VLOOKUP($AJ619,Data_Validation!$A:$D,1,0)</f>
        <v>H35600</v>
      </c>
      <c r="AP619" s="598" t="str">
        <f>+VLOOKUP($AJ619,Data_Validation!$A:$D,3,0)</f>
        <v>Pièces</v>
      </c>
      <c r="AQ619" s="598" t="str">
        <f>+VLOOKUP($AJ619,Data_Validation!$A:$D,4,0)</f>
        <v>P/A Garantie</v>
      </c>
      <c r="AR619" s="598" t="s">
        <v>299</v>
      </c>
      <c r="AS619" s="598" t="str">
        <f>+VLOOKUP($AJ619,Data_Validation!$A:$E,5,0)</f>
        <v>Oui</v>
      </c>
      <c r="AT619" s="1036" t="str">
        <f t="shared" si="57"/>
        <v>H35600</v>
      </c>
      <c r="AU619" s="599" t="str">
        <f t="shared" si="58"/>
        <v>VTE PCS B.R GARANTIE -MEC</v>
      </c>
      <c r="AV619" s="1030">
        <f>IFERROR(INDEX(V619:AG619,1,MATCH(Parametres!$B$3,V$1:AG$1,0)-1)*IF(OR(C619="L",C619="S",C619="I"),-1,1),"")</f>
        <v>824</v>
      </c>
      <c r="AW619" s="1030">
        <f t="shared" si="59"/>
        <v>171</v>
      </c>
      <c r="AX619" s="1030">
        <f>INDEX(V619:AG619,1,MATCH(Parametres!$B$3,V$1:AG$1,0))*IF(OR(C619="L",C619="S",C619="I"),-1,1)</f>
        <v>995</v>
      </c>
      <c r="AY619" s="598" t="s">
        <v>337</v>
      </c>
      <c r="AZ619" s="598" t="str">
        <f>+VLOOKUP($AJ619,Data_Validation!$A:$E,5,0)</f>
        <v>Oui</v>
      </c>
    </row>
    <row r="620" spans="1:52" ht="15" customHeight="1">
      <c r="A620" s="832" t="s">
        <v>1150</v>
      </c>
      <c r="B620" s="832">
        <v>2025</v>
      </c>
      <c r="C620" s="832" t="s">
        <v>2376</v>
      </c>
      <c r="D620" s="832" t="s">
        <v>2377</v>
      </c>
      <c r="E620" s="832" t="s">
        <v>2363</v>
      </c>
      <c r="F620" s="832" t="s">
        <v>2222</v>
      </c>
      <c r="G620" s="832">
        <v>10268.86</v>
      </c>
      <c r="H620" s="832">
        <v>18822.04</v>
      </c>
      <c r="I620" s="832">
        <v>24550.19</v>
      </c>
      <c r="J620" s="832">
        <v>29509.599999999999</v>
      </c>
      <c r="K620" s="832">
        <v>38622.71</v>
      </c>
      <c r="L620" s="832">
        <v>45227.83</v>
      </c>
      <c r="M620" s="832">
        <v>56993.42</v>
      </c>
      <c r="N620" s="832">
        <v>64391.11</v>
      </c>
      <c r="O620" s="832">
        <v>76777.679999999993</v>
      </c>
      <c r="P620" s="832">
        <v>88079.85</v>
      </c>
      <c r="Q620" s="832">
        <v>102995.32</v>
      </c>
      <c r="R620" s="832">
        <v>119096.68</v>
      </c>
      <c r="S620" s="832">
        <v>9363.2099999999991</v>
      </c>
      <c r="T620" s="832">
        <v>9363.2099999999991</v>
      </c>
      <c r="U620" s="832">
        <v>0</v>
      </c>
      <c r="V620" s="832">
        <v>127</v>
      </c>
      <c r="W620" s="832">
        <v>239</v>
      </c>
      <c r="X620" s="832">
        <v>336</v>
      </c>
      <c r="Y620" s="832">
        <v>460</v>
      </c>
      <c r="Z620" s="832">
        <v>610</v>
      </c>
      <c r="AA620" s="832">
        <v>735</v>
      </c>
      <c r="AB620" s="832">
        <v>874</v>
      </c>
      <c r="AC620" s="832">
        <v>974</v>
      </c>
      <c r="AD620" s="832">
        <v>1082</v>
      </c>
      <c r="AE620" s="832">
        <v>1185</v>
      </c>
      <c r="AF620" s="832">
        <v>1285</v>
      </c>
      <c r="AG620" s="832">
        <v>1378</v>
      </c>
      <c r="AH620" s="832">
        <v>117</v>
      </c>
      <c r="AI620" s="832">
        <v>117</v>
      </c>
      <c r="AJ620" s="1030" t="str">
        <f t="shared" si="60"/>
        <v>H35800</v>
      </c>
      <c r="AK620" s="1030" t="str">
        <f t="shared" si="61"/>
        <v>VTE PCS B.R INTERNE -MEC</v>
      </c>
      <c r="AL620" s="1030">
        <f>IFERROR(INDEX(G620:R620,1,MATCH(Parametres!$B$3,G$1:R$1,0)-1)*IF(OR(F620="L",F620="S",F620="I"),-1,1),"")</f>
        <v>-29509.599999999999</v>
      </c>
      <c r="AM620" s="1030">
        <f t="shared" si="56"/>
        <v>-9113.11</v>
      </c>
      <c r="AN620" s="1030">
        <f>INDEX(G620:R620,1,MATCH(Parametres!$B$3,G$1:R$1,0))*IF(OR(F620="L",F620="S",F620="I"),-1,1)</f>
        <v>-38622.71</v>
      </c>
      <c r="AO620" s="598" t="str">
        <f>+VLOOKUP($AJ620,Data_Validation!$A:$D,1,0)</f>
        <v>H35800</v>
      </c>
      <c r="AP620" s="598" t="str">
        <f>+VLOOKUP($AJ620,Data_Validation!$A:$D,3,0)</f>
        <v>Pièces</v>
      </c>
      <c r="AQ620" s="598" t="str">
        <f>+VLOOKUP($AJ620,Data_Validation!$A:$D,4,0)</f>
        <v>Ventes Internes</v>
      </c>
      <c r="AR620" s="598" t="s">
        <v>299</v>
      </c>
      <c r="AS620" s="598" t="str">
        <f>+VLOOKUP($AJ620,Data_Validation!$A:$E,5,0)</f>
        <v>Oui</v>
      </c>
      <c r="AT620" s="1036" t="str">
        <f t="shared" si="57"/>
        <v>H35800</v>
      </c>
      <c r="AU620" s="599" t="str">
        <f t="shared" si="58"/>
        <v>VTE PCS B.R INTERNE -MEC</v>
      </c>
      <c r="AV620" s="1030">
        <f>IFERROR(INDEX(V620:AG620,1,MATCH(Parametres!$B$3,V$1:AG$1,0)-1)*IF(OR(C620="L",C620="S",C620="I"),-1,1),"")</f>
        <v>460</v>
      </c>
      <c r="AW620" s="1030">
        <f t="shared" si="59"/>
        <v>150</v>
      </c>
      <c r="AX620" s="1030">
        <f>INDEX(V620:AG620,1,MATCH(Parametres!$B$3,V$1:AG$1,0))*IF(OR(C620="L",C620="S",C620="I"),-1,1)</f>
        <v>610</v>
      </c>
      <c r="AY620" s="598" t="s">
        <v>337</v>
      </c>
      <c r="AZ620" s="598" t="str">
        <f>+VLOOKUP($AJ620,Data_Validation!$A:$E,5,0)</f>
        <v>Oui</v>
      </c>
    </row>
    <row r="621" spans="1:52" ht="15" customHeight="1">
      <c r="A621" s="832" t="s">
        <v>1150</v>
      </c>
      <c r="B621" s="832">
        <v>2025</v>
      </c>
      <c r="C621" s="832" t="s">
        <v>2378</v>
      </c>
      <c r="D621" s="832" t="s">
        <v>2379</v>
      </c>
      <c r="E621" s="832" t="s">
        <v>2363</v>
      </c>
      <c r="F621" s="832" t="s">
        <v>2222</v>
      </c>
      <c r="G621" s="832">
        <v>0</v>
      </c>
      <c r="H621" s="832">
        <v>0</v>
      </c>
      <c r="I621" s="832">
        <v>0</v>
      </c>
      <c r="J621" s="832">
        <v>0</v>
      </c>
      <c r="K621" s="832">
        <v>0</v>
      </c>
      <c r="L621" s="832">
        <v>0</v>
      </c>
      <c r="M621" s="832">
        <v>0</v>
      </c>
      <c r="N621" s="832">
        <v>0</v>
      </c>
      <c r="O621" s="832">
        <v>0</v>
      </c>
      <c r="P621" s="832">
        <v>0</v>
      </c>
      <c r="Q621" s="832">
        <v>0</v>
      </c>
      <c r="R621" s="832">
        <v>0</v>
      </c>
      <c r="S621" s="832">
        <v>0</v>
      </c>
      <c r="T621" s="832">
        <v>0</v>
      </c>
      <c r="U621" s="832">
        <v>0</v>
      </c>
      <c r="V621" s="832">
        <v>0</v>
      </c>
      <c r="W621" s="832">
        <v>0</v>
      </c>
      <c r="X621" s="832">
        <v>0</v>
      </c>
      <c r="Y621" s="832">
        <v>0</v>
      </c>
      <c r="Z621" s="832">
        <v>0</v>
      </c>
      <c r="AA621" s="832">
        <v>0</v>
      </c>
      <c r="AB621" s="832">
        <v>0</v>
      </c>
      <c r="AC621" s="832">
        <v>0</v>
      </c>
      <c r="AD621" s="832">
        <v>0</v>
      </c>
      <c r="AE621" s="832">
        <v>0</v>
      </c>
      <c r="AF621" s="832">
        <v>0</v>
      </c>
      <c r="AG621" s="832">
        <v>0</v>
      </c>
      <c r="AH621" s="832">
        <v>0</v>
      </c>
      <c r="AI621" s="832">
        <v>0</v>
      </c>
      <c r="AJ621" s="1030" t="str">
        <f t="shared" si="60"/>
        <v>H36000</v>
      </c>
      <c r="AK621" s="1030" t="str">
        <f t="shared" si="61"/>
        <v>VTE PIECES DIVERSES (AUTO</v>
      </c>
      <c r="AL621" s="1030">
        <f>IFERROR(INDEX(G621:R621,1,MATCH(Parametres!$B$3,G$1:R$1,0)-1)*IF(OR(F621="L",F621="S",F621="I"),-1,1),"")</f>
        <v>0</v>
      </c>
      <c r="AM621" s="1030">
        <f t="shared" si="56"/>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t="str">
        <f t="shared" si="57"/>
        <v>H36000</v>
      </c>
      <c r="AU621" s="599" t="str">
        <f t="shared" si="58"/>
        <v>VTE PIECES DIVERSES (AUTO</v>
      </c>
      <c r="AV621" s="1030">
        <f>IFERROR(INDEX(V621:AG621,1,MATCH(Parametres!$B$3,V$1:AG$1,0)-1)*IF(OR(C621="L",C621="S",C621="I"),-1,1),"")</f>
        <v>0</v>
      </c>
      <c r="AW621" s="1030">
        <f t="shared" si="59"/>
        <v>0</v>
      </c>
      <c r="AX621" s="1030">
        <f>INDEX(V621:AG621,1,MATCH(Parametres!$B$3,V$1:AG$1,0))*IF(OR(C621="L",C621="S",C621="I"),-1,1)</f>
        <v>0</v>
      </c>
      <c r="AY621" s="598" t="s">
        <v>337</v>
      </c>
      <c r="AZ621" s="598" t="e">
        <f>+VLOOKUP($AJ621,Data_Validation!$A:$E,5,0)</f>
        <v>#N/A</v>
      </c>
    </row>
    <row r="622" spans="1:52" ht="15" customHeight="1">
      <c r="A622" s="832" t="s">
        <v>1150</v>
      </c>
      <c r="B622" s="832">
        <v>2025</v>
      </c>
      <c r="C622" s="832" t="s">
        <v>2380</v>
      </c>
      <c r="D622" s="832" t="s">
        <v>2381</v>
      </c>
      <c r="E622" s="832" t="s">
        <v>2363</v>
      </c>
      <c r="F622" s="832" t="s">
        <v>2222</v>
      </c>
      <c r="G622" s="832">
        <v>81279.009999999995</v>
      </c>
      <c r="H622" s="832">
        <v>110591.31</v>
      </c>
      <c r="I622" s="832">
        <v>146427.87</v>
      </c>
      <c r="J622" s="832">
        <v>205615</v>
      </c>
      <c r="K622" s="832">
        <v>245782.01</v>
      </c>
      <c r="L622" s="832">
        <v>270247.76</v>
      </c>
      <c r="M622" s="832">
        <v>299772.53000000003</v>
      </c>
      <c r="N622" s="832">
        <v>334282.03999999998</v>
      </c>
      <c r="O622" s="832">
        <v>377083.32</v>
      </c>
      <c r="P622" s="832">
        <v>459383.74</v>
      </c>
      <c r="Q622" s="832">
        <v>577341</v>
      </c>
      <c r="R622" s="832">
        <v>638645.32999999996</v>
      </c>
      <c r="S622" s="832">
        <v>52485.55</v>
      </c>
      <c r="T622" s="832">
        <v>52485.55</v>
      </c>
      <c r="U622" s="832">
        <v>0</v>
      </c>
      <c r="V622" s="832">
        <v>89</v>
      </c>
      <c r="W622" s="832">
        <v>125</v>
      </c>
      <c r="X622" s="832">
        <v>170</v>
      </c>
      <c r="Y622" s="832">
        <v>244</v>
      </c>
      <c r="Z622" s="832">
        <v>298</v>
      </c>
      <c r="AA622" s="832">
        <v>328</v>
      </c>
      <c r="AB622" s="832">
        <v>368</v>
      </c>
      <c r="AC622" s="832">
        <v>413</v>
      </c>
      <c r="AD622" s="832">
        <v>467</v>
      </c>
      <c r="AE622" s="832">
        <v>566</v>
      </c>
      <c r="AF622" s="832">
        <v>705</v>
      </c>
      <c r="AG622" s="832">
        <v>783</v>
      </c>
      <c r="AH622" s="832">
        <v>64</v>
      </c>
      <c r="AI622" s="832">
        <v>64</v>
      </c>
      <c r="AJ622" s="1030" t="str">
        <f t="shared" si="60"/>
        <v>H36200</v>
      </c>
      <c r="AK622" s="1030" t="str">
        <f t="shared" si="61"/>
        <v>VTE PNEUS</v>
      </c>
      <c r="AL622" s="1030">
        <f>IFERROR(INDEX(G622:R622,1,MATCH(Parametres!$B$3,G$1:R$1,0)-1)*IF(OR(F622="L",F622="S",F622="I"),-1,1),"")</f>
        <v>-205615</v>
      </c>
      <c r="AM622" s="1030">
        <f t="shared" si="56"/>
        <v>-40167.010000000009</v>
      </c>
      <c r="AN622" s="1030">
        <f>INDEX(G622:R622,1,MATCH(Parametres!$B$3,G$1:R$1,0))*IF(OR(F622="L",F622="S",F622="I"),-1,1)</f>
        <v>-245782.01</v>
      </c>
      <c r="AO622" s="598" t="str">
        <f>+VLOOKUP($AJ622,Data_Validation!$A:$D,1,0)</f>
        <v>H36200</v>
      </c>
      <c r="AP622" s="598" t="str">
        <f>+VLOOKUP($AJ622,Data_Validation!$A:$D,3,0)</f>
        <v>Pièces</v>
      </c>
      <c r="AQ622" s="598" t="str">
        <f>+VLOOKUP($AJ622,Data_Validation!$A:$D,4,0)</f>
        <v>Ventes Pneus</v>
      </c>
      <c r="AR622" s="598" t="s">
        <v>299</v>
      </c>
      <c r="AS622" s="598" t="str">
        <f>+VLOOKUP($AJ622,Data_Validation!$A:$E,5,0)</f>
        <v>Oui</v>
      </c>
      <c r="AT622" s="1036" t="str">
        <f t="shared" si="57"/>
        <v>H36200</v>
      </c>
      <c r="AU622" s="599" t="str">
        <f t="shared" si="58"/>
        <v>VTE PNEUS</v>
      </c>
      <c r="AV622" s="1030">
        <f>IFERROR(INDEX(V622:AG622,1,MATCH(Parametres!$B$3,V$1:AG$1,0)-1)*IF(OR(C622="L",C622="S",C622="I"),-1,1),"")</f>
        <v>244</v>
      </c>
      <c r="AW622" s="1030">
        <f t="shared" si="59"/>
        <v>54</v>
      </c>
      <c r="AX622" s="1030">
        <f>INDEX(V622:AG622,1,MATCH(Parametres!$B$3,V$1:AG$1,0))*IF(OR(C622="L",C622="S",C622="I"),-1,1)</f>
        <v>298</v>
      </c>
      <c r="AY622" s="598" t="s">
        <v>337</v>
      </c>
      <c r="AZ622" s="598" t="str">
        <f>+VLOOKUP($AJ622,Data_Validation!$A:$E,5,0)</f>
        <v>Oui</v>
      </c>
    </row>
    <row r="623" spans="1:52" ht="15" customHeight="1">
      <c r="A623" s="832" t="s">
        <v>1150</v>
      </c>
      <c r="B623" s="832">
        <v>2025</v>
      </c>
      <c r="C623" s="832" t="s">
        <v>2382</v>
      </c>
      <c r="D623" s="832" t="s">
        <v>2383</v>
      </c>
      <c r="E623" s="832" t="s">
        <v>333</v>
      </c>
      <c r="F623" s="832" t="s">
        <v>2222</v>
      </c>
      <c r="G623" s="832">
        <v>0</v>
      </c>
      <c r="H623" s="832">
        <v>0</v>
      </c>
      <c r="I623" s="832">
        <v>0</v>
      </c>
      <c r="J623" s="832">
        <v>0</v>
      </c>
      <c r="K623" s="832">
        <v>0</v>
      </c>
      <c r="L623" s="832">
        <v>0</v>
      </c>
      <c r="M623" s="832">
        <v>0</v>
      </c>
      <c r="N623" s="832">
        <v>0</v>
      </c>
      <c r="O623" s="832">
        <v>0</v>
      </c>
      <c r="P623" s="832">
        <v>0</v>
      </c>
      <c r="Q623" s="832">
        <v>0</v>
      </c>
      <c r="R623" s="832">
        <v>0</v>
      </c>
      <c r="S623" s="832">
        <v>0</v>
      </c>
      <c r="T623" s="832">
        <v>0</v>
      </c>
      <c r="U623" s="832">
        <v>0</v>
      </c>
      <c r="V623" s="832">
        <v>0</v>
      </c>
      <c r="W623" s="832">
        <v>0</v>
      </c>
      <c r="X623" s="832">
        <v>0</v>
      </c>
      <c r="Y623" s="832">
        <v>0</v>
      </c>
      <c r="Z623" s="832">
        <v>0</v>
      </c>
      <c r="AA623" s="832">
        <v>0</v>
      </c>
      <c r="AB623" s="832">
        <v>0</v>
      </c>
      <c r="AC623" s="832">
        <v>0</v>
      </c>
      <c r="AD623" s="832">
        <v>0</v>
      </c>
      <c r="AE623" s="832">
        <v>0</v>
      </c>
      <c r="AF623" s="832">
        <v>0</v>
      </c>
      <c r="AG623" s="832">
        <v>0</v>
      </c>
      <c r="AH623" s="832">
        <v>0</v>
      </c>
      <c r="AI623" s="832">
        <v>0</v>
      </c>
      <c r="AJ623" s="1030" t="str">
        <f t="shared" si="60"/>
        <v>H36300</v>
      </c>
      <c r="AK623" s="1030" t="str">
        <f t="shared" si="61"/>
        <v>ESCOMPTE PIECES (M.S.O)</v>
      </c>
      <c r="AL623" s="1030">
        <f>IFERROR(INDEX(G623:R623,1,MATCH(Parametres!$B$3,G$1:R$1,0)-1)*IF(OR(F623="L",F623="S",F623="I"),-1,1),"")</f>
        <v>0</v>
      </c>
      <c r="AM623" s="1030">
        <f t="shared" si="56"/>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t="str">
        <f t="shared" si="57"/>
        <v>H36300</v>
      </c>
      <c r="AU623" s="599" t="str">
        <f t="shared" si="58"/>
        <v>ESCOMPTE PIECES (M.S.O)</v>
      </c>
      <c r="AV623" s="1030">
        <f>IFERROR(INDEX(V623:AG623,1,MATCH(Parametres!$B$3,V$1:AG$1,0)-1)*IF(OR(C623="L",C623="S",C623="I"),-1,1),"")</f>
        <v>0</v>
      </c>
      <c r="AW623" s="1030">
        <f t="shared" si="59"/>
        <v>0</v>
      </c>
      <c r="AX623" s="1030">
        <f>INDEX(V623:AG623,1,MATCH(Parametres!$B$3,V$1:AG$1,0))*IF(OR(C623="L",C623="S",C623="I"),-1,1)</f>
        <v>0</v>
      </c>
      <c r="AY623" s="598" t="s">
        <v>337</v>
      </c>
      <c r="AZ623" s="598" t="e">
        <f>+VLOOKUP($AJ623,Data_Validation!$A:$E,5,0)</f>
        <v>#N/A</v>
      </c>
    </row>
    <row r="624" spans="1:52" ht="15" customHeight="1">
      <c r="A624" s="832" t="s">
        <v>1150</v>
      </c>
      <c r="B624" s="832">
        <v>2025</v>
      </c>
      <c r="C624" s="832" t="s">
        <v>2384</v>
      </c>
      <c r="D624" s="832" t="s">
        <v>2385</v>
      </c>
      <c r="E624" s="832" t="s">
        <v>333</v>
      </c>
      <c r="F624" s="832" t="s">
        <v>2222</v>
      </c>
      <c r="G624" s="832">
        <v>0</v>
      </c>
      <c r="H624" s="832">
        <v>0</v>
      </c>
      <c r="I624" s="832">
        <v>0</v>
      </c>
      <c r="J624" s="832">
        <v>0</v>
      </c>
      <c r="K624" s="832">
        <v>0</v>
      </c>
      <c r="L624" s="832">
        <v>0</v>
      </c>
      <c r="M624" s="832">
        <v>0</v>
      </c>
      <c r="N624" s="832">
        <v>0</v>
      </c>
      <c r="O624" s="832">
        <v>0</v>
      </c>
      <c r="P624" s="832">
        <v>0</v>
      </c>
      <c r="Q624" s="832">
        <v>0</v>
      </c>
      <c r="R624" s="832">
        <v>0</v>
      </c>
      <c r="S624" s="832">
        <v>0</v>
      </c>
      <c r="T624" s="832">
        <v>0</v>
      </c>
      <c r="U624" s="832">
        <v>0</v>
      </c>
      <c r="V624" s="832">
        <v>0</v>
      </c>
      <c r="W624" s="832">
        <v>0</v>
      </c>
      <c r="X624" s="832">
        <v>0</v>
      </c>
      <c r="Y624" s="832">
        <v>0</v>
      </c>
      <c r="Z624" s="832">
        <v>0</v>
      </c>
      <c r="AA624" s="832">
        <v>0</v>
      </c>
      <c r="AB624" s="832">
        <v>0</v>
      </c>
      <c r="AC624" s="832">
        <v>0</v>
      </c>
      <c r="AD624" s="832">
        <v>0</v>
      </c>
      <c r="AE624" s="832">
        <v>0</v>
      </c>
      <c r="AF624" s="832">
        <v>0</v>
      </c>
      <c r="AG624" s="832">
        <v>0</v>
      </c>
      <c r="AH624" s="832">
        <v>0</v>
      </c>
      <c r="AI624" s="832">
        <v>0</v>
      </c>
      <c r="AJ624" s="1030" t="str">
        <f t="shared" si="60"/>
        <v>H36400</v>
      </c>
      <c r="AK624" s="1030" t="str">
        <f t="shared" si="61"/>
        <v>REGULARISATION D INV.</v>
      </c>
      <c r="AL624" s="1030">
        <f>IFERROR(INDEX(G624:R624,1,MATCH(Parametres!$B$3,G$1:R$1,0)-1)*IF(OR(F624="L",F624="S",F624="I"),-1,1),"")</f>
        <v>0</v>
      </c>
      <c r="AM624" s="1030">
        <f t="shared" si="56"/>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t="str">
        <f t="shared" si="57"/>
        <v>H36400</v>
      </c>
      <c r="AU624" s="599" t="str">
        <f t="shared" si="58"/>
        <v>REGULARISATION D INV.</v>
      </c>
      <c r="AV624" s="1030">
        <f>IFERROR(INDEX(V624:AG624,1,MATCH(Parametres!$B$3,V$1:AG$1,0)-1)*IF(OR(C624="L",C624="S",C624="I"),-1,1),"")</f>
        <v>0</v>
      </c>
      <c r="AW624" s="1030">
        <f t="shared" si="59"/>
        <v>0</v>
      </c>
      <c r="AX624" s="1030">
        <f>INDEX(V624:AG624,1,MATCH(Parametres!$B$3,V$1:AG$1,0))*IF(OR(C624="L",C624="S",C624="I"),-1,1)</f>
        <v>0</v>
      </c>
      <c r="AY624" s="598" t="s">
        <v>337</v>
      </c>
      <c r="AZ624" s="598" t="e">
        <f>+VLOOKUP($AJ624,Data_Validation!$A:$E,5,0)</f>
        <v>#N/A</v>
      </c>
    </row>
    <row r="625" spans="1:52" ht="15" customHeight="1">
      <c r="A625" s="832" t="s">
        <v>1150</v>
      </c>
      <c r="B625" s="832">
        <v>2025</v>
      </c>
      <c r="C625" s="832" t="s">
        <v>2386</v>
      </c>
      <c r="D625" s="832" t="s">
        <v>2387</v>
      </c>
      <c r="E625" s="832" t="s">
        <v>2363</v>
      </c>
      <c r="F625" s="832" t="s">
        <v>2222</v>
      </c>
      <c r="G625" s="832">
        <v>0</v>
      </c>
      <c r="H625" s="832">
        <v>0</v>
      </c>
      <c r="I625" s="832">
        <v>0</v>
      </c>
      <c r="J625" s="832">
        <v>0</v>
      </c>
      <c r="K625" s="832">
        <v>0</v>
      </c>
      <c r="L625" s="832">
        <v>0</v>
      </c>
      <c r="M625" s="832">
        <v>0</v>
      </c>
      <c r="N625" s="832">
        <v>0</v>
      </c>
      <c r="O625" s="832">
        <v>0</v>
      </c>
      <c r="P625" s="832">
        <v>0</v>
      </c>
      <c r="Q625" s="832">
        <v>0</v>
      </c>
      <c r="R625" s="832">
        <v>0</v>
      </c>
      <c r="S625" s="832">
        <v>0</v>
      </c>
      <c r="T625" s="832">
        <v>0</v>
      </c>
      <c r="U625" s="832">
        <v>0</v>
      </c>
      <c r="V625" s="832">
        <v>0</v>
      </c>
      <c r="W625" s="832">
        <v>0</v>
      </c>
      <c r="X625" s="832">
        <v>0</v>
      </c>
      <c r="Y625" s="832">
        <v>0</v>
      </c>
      <c r="Z625" s="832">
        <v>0</v>
      </c>
      <c r="AA625" s="832">
        <v>0</v>
      </c>
      <c r="AB625" s="832">
        <v>0</v>
      </c>
      <c r="AC625" s="832">
        <v>0</v>
      </c>
      <c r="AD625" s="832">
        <v>0</v>
      </c>
      <c r="AE625" s="832">
        <v>0</v>
      </c>
      <c r="AF625" s="832">
        <v>0</v>
      </c>
      <c r="AG625" s="832">
        <v>0</v>
      </c>
      <c r="AH625" s="832">
        <v>0</v>
      </c>
      <c r="AI625" s="832">
        <v>0</v>
      </c>
      <c r="AJ625" s="1030" t="str">
        <f t="shared" si="60"/>
        <v>H36500</v>
      </c>
      <c r="AK625" s="1030" t="str">
        <f t="shared" si="61"/>
        <v>VTE FOURN CARR/PEINTURE</v>
      </c>
      <c r="AL625" s="1030">
        <f>IFERROR(INDEX(G625:R625,1,MATCH(Parametres!$B$3,G$1:R$1,0)-1)*IF(OR(F625="L",F625="S",F625="I"),-1,1),"")</f>
        <v>0</v>
      </c>
      <c r="AM625" s="1030">
        <f t="shared" si="56"/>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t="str">
        <f t="shared" si="57"/>
        <v>H36500</v>
      </c>
      <c r="AU625" s="599" t="str">
        <f t="shared" si="58"/>
        <v>VTE FOURN CARR/PEINTURE</v>
      </c>
      <c r="AV625" s="1030">
        <f>IFERROR(INDEX(V625:AG625,1,MATCH(Parametres!$B$3,V$1:AG$1,0)-1)*IF(OR(C625="L",C625="S",C625="I"),-1,1),"")</f>
        <v>0</v>
      </c>
      <c r="AW625" s="1030">
        <f t="shared" si="59"/>
        <v>0</v>
      </c>
      <c r="AX625" s="1030">
        <f>INDEX(V625:AG625,1,MATCH(Parametres!$B$3,V$1:AG$1,0))*IF(OR(C625="L",C625="S",C625="I"),-1,1)</f>
        <v>0</v>
      </c>
      <c r="AY625" s="598" t="s">
        <v>337</v>
      </c>
      <c r="AZ625" s="598" t="e">
        <f>+VLOOKUP($AJ625,Data_Validation!$A:$E,5,0)</f>
        <v>#N/A</v>
      </c>
    </row>
    <row r="626" spans="1:52" ht="15" customHeight="1">
      <c r="A626" s="832" t="s">
        <v>1150</v>
      </c>
      <c r="B626" s="832">
        <v>2025</v>
      </c>
      <c r="C626" s="832" t="s">
        <v>2388</v>
      </c>
      <c r="D626" s="832" t="s">
        <v>2389</v>
      </c>
      <c r="E626" s="832" t="s">
        <v>2363</v>
      </c>
      <c r="F626" s="832" t="s">
        <v>2222</v>
      </c>
      <c r="G626" s="832">
        <v>69366.210000000006</v>
      </c>
      <c r="H626" s="832">
        <v>135577.97</v>
      </c>
      <c r="I626" s="832">
        <v>220457.04</v>
      </c>
      <c r="J626" s="832">
        <v>391856.27</v>
      </c>
      <c r="K626" s="832">
        <v>548074.72</v>
      </c>
      <c r="L626" s="832">
        <v>653280.39</v>
      </c>
      <c r="M626" s="832">
        <v>736687.74</v>
      </c>
      <c r="N626" s="832">
        <v>795152.59</v>
      </c>
      <c r="O626" s="832">
        <v>862820.94</v>
      </c>
      <c r="P626" s="832">
        <v>990227.51</v>
      </c>
      <c r="Q626" s="832">
        <v>1139959.18</v>
      </c>
      <c r="R626" s="832">
        <v>1215663.96</v>
      </c>
      <c r="S626" s="832">
        <v>103632.65</v>
      </c>
      <c r="T626" s="832">
        <v>103632.65</v>
      </c>
      <c r="U626" s="832">
        <v>0</v>
      </c>
      <c r="V626" s="832">
        <v>610</v>
      </c>
      <c r="W626" s="832">
        <v>1177</v>
      </c>
      <c r="X626" s="832">
        <v>1791</v>
      </c>
      <c r="Y626" s="832">
        <v>2916</v>
      </c>
      <c r="Z626" s="832">
        <v>3883</v>
      </c>
      <c r="AA626" s="832">
        <v>4576</v>
      </c>
      <c r="AB626" s="832">
        <v>5195</v>
      </c>
      <c r="AC626" s="832">
        <v>5681</v>
      </c>
      <c r="AD626" s="832">
        <v>6245</v>
      </c>
      <c r="AE626" s="832">
        <v>7093</v>
      </c>
      <c r="AF626" s="832">
        <v>8169</v>
      </c>
      <c r="AG626" s="832">
        <v>8806</v>
      </c>
      <c r="AH626" s="832">
        <v>743</v>
      </c>
      <c r="AI626" s="832">
        <v>743</v>
      </c>
      <c r="AJ626" s="1030" t="str">
        <f t="shared" si="60"/>
        <v>H37000</v>
      </c>
      <c r="AK626" s="1030" t="str">
        <f t="shared" si="61"/>
        <v>VTE M.O B.R CLIENT- MEC.</v>
      </c>
      <c r="AL626" s="1030">
        <f>IFERROR(INDEX(G626:R626,1,MATCH(Parametres!$B$3,G$1:R$1,0)-1)*IF(OR(F626="L",F626="S",F626="I"),-1,1),"")</f>
        <v>-391856.27</v>
      </c>
      <c r="AM626" s="1030">
        <f t="shared" si="56"/>
        <v>-156218.44999999995</v>
      </c>
      <c r="AN626" s="1030">
        <f>INDEX(G626:R626,1,MATCH(Parametres!$B$3,G$1:R$1,0))*IF(OR(F626="L",F626="S",F626="I"),-1,1)</f>
        <v>-548074.72</v>
      </c>
      <c r="AO626" s="598" t="str">
        <f>+VLOOKUP($AJ626,Data_Validation!$A:$D,1,0)</f>
        <v>H37000</v>
      </c>
      <c r="AP626" s="598" t="str">
        <f>+VLOOKUP($AJ626,Data_Validation!$A:$D,3,0)</f>
        <v>Service</v>
      </c>
      <c r="AQ626" s="598" t="str">
        <f>+VLOOKUP($AJ626,Data_Validation!$A:$D,4,0)</f>
        <v>M/O Client</v>
      </c>
      <c r="AR626" s="598" t="s">
        <v>299</v>
      </c>
      <c r="AS626" s="598" t="str">
        <f>+VLOOKUP($AJ626,Data_Validation!$A:$E,5,0)</f>
        <v>Oui</v>
      </c>
      <c r="AT626" s="1036" t="str">
        <f t="shared" si="57"/>
        <v>H37000</v>
      </c>
      <c r="AU626" s="599" t="str">
        <f t="shared" si="58"/>
        <v>VTE M.O B.R CLIENT- MEC.</v>
      </c>
      <c r="AV626" s="1030">
        <f>IFERROR(INDEX(V626:AG626,1,MATCH(Parametres!$B$3,V$1:AG$1,0)-1)*IF(OR(C626="L",C626="S",C626="I"),-1,1),"")</f>
        <v>2916</v>
      </c>
      <c r="AW626" s="1030">
        <f t="shared" si="59"/>
        <v>967</v>
      </c>
      <c r="AX626" s="1030">
        <f>INDEX(V626:AG626,1,MATCH(Parametres!$B$3,V$1:AG$1,0))*IF(OR(C626="L",C626="S",C626="I"),-1,1)</f>
        <v>3883</v>
      </c>
      <c r="AY626" s="598" t="s">
        <v>337</v>
      </c>
      <c r="AZ626" s="598" t="str">
        <f>+VLOOKUP($AJ626,Data_Validation!$A:$E,5,0)</f>
        <v>Oui</v>
      </c>
    </row>
    <row r="627" spans="1:52" ht="15" customHeight="1">
      <c r="A627" s="832" t="s">
        <v>1150</v>
      </c>
      <c r="B627" s="832">
        <v>2025</v>
      </c>
      <c r="C627" s="832" t="s">
        <v>2390</v>
      </c>
      <c r="D627" s="832" t="s">
        <v>2391</v>
      </c>
      <c r="E627" s="832" t="s">
        <v>2363</v>
      </c>
      <c r="F627" s="832" t="s">
        <v>2222</v>
      </c>
      <c r="G627" s="832">
        <v>0</v>
      </c>
      <c r="H627" s="832">
        <v>0</v>
      </c>
      <c r="I627" s="832">
        <v>0</v>
      </c>
      <c r="J627" s="832">
        <v>0</v>
      </c>
      <c r="K627" s="832">
        <v>0</v>
      </c>
      <c r="L627" s="832">
        <v>0</v>
      </c>
      <c r="M627" s="832">
        <v>0</v>
      </c>
      <c r="N627" s="832">
        <v>0</v>
      </c>
      <c r="O627" s="832">
        <v>0</v>
      </c>
      <c r="P627" s="832">
        <v>0</v>
      </c>
      <c r="Q627" s="832">
        <v>0</v>
      </c>
      <c r="R627" s="832">
        <v>0</v>
      </c>
      <c r="S627" s="832">
        <v>0</v>
      </c>
      <c r="T627" s="832">
        <v>0</v>
      </c>
      <c r="U627" s="832">
        <v>0</v>
      </c>
      <c r="V627" s="832">
        <v>0</v>
      </c>
      <c r="W627" s="832">
        <v>0</v>
      </c>
      <c r="X627" s="832">
        <v>0</v>
      </c>
      <c r="Y627" s="832">
        <v>0</v>
      </c>
      <c r="Z627" s="832">
        <v>0</v>
      </c>
      <c r="AA627" s="832">
        <v>0</v>
      </c>
      <c r="AB627" s="832">
        <v>0</v>
      </c>
      <c r="AC627" s="832">
        <v>0</v>
      </c>
      <c r="AD627" s="832">
        <v>0</v>
      </c>
      <c r="AE627" s="832">
        <v>0</v>
      </c>
      <c r="AF627" s="832">
        <v>0</v>
      </c>
      <c r="AG627" s="832">
        <v>0</v>
      </c>
      <c r="AH627" s="832">
        <v>0</v>
      </c>
      <c r="AI627" s="832">
        <v>0</v>
      </c>
      <c r="AJ627" s="1030" t="str">
        <f t="shared" si="60"/>
        <v>H37010</v>
      </c>
      <c r="AK627" s="1030" t="str">
        <f t="shared" si="61"/>
        <v>VTE MO HPP</v>
      </c>
      <c r="AL627" s="1030">
        <f>IFERROR(INDEX(G627:R627,1,MATCH(Parametres!$B$3,G$1:R$1,0)-1)*IF(OR(F627="L",F627="S",F627="I"),-1,1),"")</f>
        <v>0</v>
      </c>
      <c r="AM627" s="1030">
        <f t="shared" si="56"/>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t="str">
        <f t="shared" si="57"/>
        <v>H37010</v>
      </c>
      <c r="AU627" s="599" t="str">
        <f t="shared" si="58"/>
        <v>VTE MO HPP</v>
      </c>
      <c r="AV627" s="1030">
        <f>IFERROR(INDEX(V627:AG627,1,MATCH(Parametres!$B$3,V$1:AG$1,0)-1)*IF(OR(C627="L",C627="S",C627="I"),-1,1),"")</f>
        <v>0</v>
      </c>
      <c r="AW627" s="1030">
        <f t="shared" si="59"/>
        <v>0</v>
      </c>
      <c r="AX627" s="1030">
        <f>INDEX(V627:AG627,1,MATCH(Parametres!$B$3,V$1:AG$1,0))*IF(OR(C627="L",C627="S",C627="I"),-1,1)</f>
        <v>0</v>
      </c>
      <c r="AY627" s="598" t="s">
        <v>337</v>
      </c>
      <c r="AZ627" s="598" t="e">
        <f>+VLOOKUP($AJ627,Data_Validation!$A:$E,5,0)</f>
        <v>#N/A</v>
      </c>
    </row>
    <row r="628" spans="1:52" ht="15" customHeight="1">
      <c r="A628" s="832" t="s">
        <v>1150</v>
      </c>
      <c r="B628" s="832">
        <v>2025</v>
      </c>
      <c r="C628" s="832" t="s">
        <v>2392</v>
      </c>
      <c r="D628" s="832" t="s">
        <v>2393</v>
      </c>
      <c r="E628" s="832" t="s">
        <v>2363</v>
      </c>
      <c r="F628" s="832" t="s">
        <v>2222</v>
      </c>
      <c r="G628" s="832">
        <v>0</v>
      </c>
      <c r="H628" s="832">
        <v>0</v>
      </c>
      <c r="I628" s="832">
        <v>0</v>
      </c>
      <c r="J628" s="832">
        <v>0</v>
      </c>
      <c r="K628" s="832">
        <v>0</v>
      </c>
      <c r="L628" s="832">
        <v>0</v>
      </c>
      <c r="M628" s="832">
        <v>0</v>
      </c>
      <c r="N628" s="832">
        <v>0</v>
      </c>
      <c r="O628" s="832">
        <v>0</v>
      </c>
      <c r="P628" s="832">
        <v>0</v>
      </c>
      <c r="Q628" s="832">
        <v>0</v>
      </c>
      <c r="R628" s="832">
        <v>0</v>
      </c>
      <c r="S628" s="832">
        <v>0</v>
      </c>
      <c r="T628" s="832">
        <v>0</v>
      </c>
      <c r="U628" s="832">
        <v>0</v>
      </c>
      <c r="V628" s="832">
        <v>0</v>
      </c>
      <c r="W628" s="832">
        <v>0</v>
      </c>
      <c r="X628" s="832">
        <v>0</v>
      </c>
      <c r="Y628" s="832">
        <v>0</v>
      </c>
      <c r="Z628" s="832">
        <v>0</v>
      </c>
      <c r="AA628" s="832">
        <v>0</v>
      </c>
      <c r="AB628" s="832">
        <v>0</v>
      </c>
      <c r="AC628" s="832">
        <v>0</v>
      </c>
      <c r="AD628" s="832">
        <v>0</v>
      </c>
      <c r="AE628" s="832">
        <v>0</v>
      </c>
      <c r="AF628" s="832">
        <v>0</v>
      </c>
      <c r="AG628" s="832">
        <v>0</v>
      </c>
      <c r="AH628" s="832">
        <v>0</v>
      </c>
      <c r="AI628" s="832">
        <v>0</v>
      </c>
      <c r="AJ628" s="1030" t="str">
        <f t="shared" si="60"/>
        <v>H37100</v>
      </c>
      <c r="AK628" s="1030" t="str">
        <f t="shared" si="61"/>
        <v>VTE M.O B.R CLIENT- CARR</v>
      </c>
      <c r="AL628" s="1030">
        <f>IFERROR(INDEX(G628:R628,1,MATCH(Parametres!$B$3,G$1:R$1,0)-1)*IF(OR(F628="L",F628="S",F628="I"),-1,1),"")</f>
        <v>0</v>
      </c>
      <c r="AM628" s="1030">
        <f t="shared" si="56"/>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t="str">
        <f t="shared" si="57"/>
        <v>H37100</v>
      </c>
      <c r="AU628" s="599" t="str">
        <f t="shared" si="58"/>
        <v>VTE M.O B.R CLIENT- CARR</v>
      </c>
      <c r="AV628" s="1030">
        <f>IFERROR(INDEX(V628:AG628,1,MATCH(Parametres!$B$3,V$1:AG$1,0)-1)*IF(OR(C628="L",C628="S",C628="I"),-1,1),"")</f>
        <v>0</v>
      </c>
      <c r="AW628" s="1030">
        <f t="shared" si="59"/>
        <v>0</v>
      </c>
      <c r="AX628" s="1030">
        <f>INDEX(V628:AG628,1,MATCH(Parametres!$B$3,V$1:AG$1,0))*IF(OR(C628="L",C628="S",C628="I"),-1,1)</f>
        <v>0</v>
      </c>
      <c r="AY628" s="598" t="s">
        <v>337</v>
      </c>
      <c r="AZ628" s="598" t="e">
        <f>+VLOOKUP($AJ628,Data_Validation!$A:$E,5,0)</f>
        <v>#N/A</v>
      </c>
    </row>
    <row r="629" spans="1:52" ht="15" customHeight="1">
      <c r="A629" s="832" t="s">
        <v>1150</v>
      </c>
      <c r="B629" s="832">
        <v>2025</v>
      </c>
      <c r="C629" s="832" t="s">
        <v>2394</v>
      </c>
      <c r="D629" s="832" t="s">
        <v>2395</v>
      </c>
      <c r="E629" s="832" t="s">
        <v>2363</v>
      </c>
      <c r="F629" s="832" t="s">
        <v>2222</v>
      </c>
      <c r="G629" s="832">
        <v>70670.22</v>
      </c>
      <c r="H629" s="832">
        <v>124227.62</v>
      </c>
      <c r="I629" s="832">
        <v>185832.99</v>
      </c>
      <c r="J629" s="832">
        <v>212771.20000000001</v>
      </c>
      <c r="K629" s="832">
        <v>250449.31</v>
      </c>
      <c r="L629" s="832">
        <v>315089.91999999998</v>
      </c>
      <c r="M629" s="832">
        <v>373590.74</v>
      </c>
      <c r="N629" s="832">
        <v>413601.02</v>
      </c>
      <c r="O629" s="832">
        <v>467403.99</v>
      </c>
      <c r="P629" s="832">
        <v>511217.31</v>
      </c>
      <c r="Q629" s="832">
        <v>522467.98</v>
      </c>
      <c r="R629" s="832">
        <v>560234.62</v>
      </c>
      <c r="S629" s="832">
        <v>47497.09</v>
      </c>
      <c r="T629" s="832">
        <v>47497.09</v>
      </c>
      <c r="U629" s="832">
        <v>0</v>
      </c>
      <c r="V629" s="832">
        <v>415</v>
      </c>
      <c r="W629" s="832">
        <v>764</v>
      </c>
      <c r="X629" s="832">
        <v>1120</v>
      </c>
      <c r="Y629" s="832">
        <v>1281</v>
      </c>
      <c r="Z629" s="832">
        <v>1521</v>
      </c>
      <c r="AA629" s="832">
        <v>1847</v>
      </c>
      <c r="AB629" s="832">
        <v>2140</v>
      </c>
      <c r="AC629" s="832">
        <v>2364</v>
      </c>
      <c r="AD629" s="832">
        <v>2699</v>
      </c>
      <c r="AE629" s="832">
        <v>2916</v>
      </c>
      <c r="AF629" s="832">
        <v>3008</v>
      </c>
      <c r="AG629" s="832">
        <v>3249</v>
      </c>
      <c r="AH629" s="832">
        <v>273</v>
      </c>
      <c r="AI629" s="832">
        <v>273</v>
      </c>
      <c r="AJ629" s="1030" t="str">
        <f t="shared" si="60"/>
        <v>H37200</v>
      </c>
      <c r="AK629" s="1030" t="str">
        <f t="shared" si="61"/>
        <v>VTE M.O B.R GARANTIE- MEC</v>
      </c>
      <c r="AL629" s="1030">
        <f>IFERROR(INDEX(G629:R629,1,MATCH(Parametres!$B$3,G$1:R$1,0)-1)*IF(OR(F629="L",F629="S",F629="I"),-1,1),"")</f>
        <v>-212771.20000000001</v>
      </c>
      <c r="AM629" s="1030">
        <f t="shared" si="56"/>
        <v>-37678.109999999986</v>
      </c>
      <c r="AN629" s="1030">
        <f>INDEX(G629:R629,1,MATCH(Parametres!$B$3,G$1:R$1,0))*IF(OR(F629="L",F629="S",F629="I"),-1,1)</f>
        <v>-250449.31</v>
      </c>
      <c r="AO629" s="598" t="str">
        <f>+VLOOKUP($AJ629,Data_Validation!$A:$D,1,0)</f>
        <v>H37200</v>
      </c>
      <c r="AP629" s="598" t="str">
        <f>+VLOOKUP($AJ629,Data_Validation!$A:$D,3,0)</f>
        <v>Service</v>
      </c>
      <c r="AQ629" s="598" t="str">
        <f>+VLOOKUP($AJ629,Data_Validation!$A:$D,4,0)</f>
        <v>M/O Garantie</v>
      </c>
      <c r="AR629" s="598" t="s">
        <v>299</v>
      </c>
      <c r="AS629" s="598" t="str">
        <f>+VLOOKUP($AJ629,Data_Validation!$A:$E,5,0)</f>
        <v>Oui</v>
      </c>
      <c r="AT629" s="1036" t="str">
        <f t="shared" si="57"/>
        <v>H37200</v>
      </c>
      <c r="AU629" s="599" t="str">
        <f t="shared" si="58"/>
        <v>VTE M.O B.R GARANTIE- MEC</v>
      </c>
      <c r="AV629" s="1030">
        <f>IFERROR(INDEX(V629:AG629,1,MATCH(Parametres!$B$3,V$1:AG$1,0)-1)*IF(OR(C629="L",C629="S",C629="I"),-1,1),"")</f>
        <v>1281</v>
      </c>
      <c r="AW629" s="1030">
        <f t="shared" si="59"/>
        <v>240</v>
      </c>
      <c r="AX629" s="1030">
        <f>INDEX(V629:AG629,1,MATCH(Parametres!$B$3,V$1:AG$1,0))*IF(OR(C629="L",C629="S",C629="I"),-1,1)</f>
        <v>1521</v>
      </c>
      <c r="AY629" s="598" t="s">
        <v>337</v>
      </c>
      <c r="AZ629" s="598" t="str">
        <f>+VLOOKUP($AJ629,Data_Validation!$A:$E,5,0)</f>
        <v>Oui</v>
      </c>
    </row>
    <row r="630" spans="1:52" ht="15" customHeight="1">
      <c r="A630" s="832" t="s">
        <v>1150</v>
      </c>
      <c r="B630" s="832">
        <v>2025</v>
      </c>
      <c r="C630" s="832" t="s">
        <v>2396</v>
      </c>
      <c r="D630" s="832" t="s">
        <v>2397</v>
      </c>
      <c r="E630" s="832" t="s">
        <v>2363</v>
      </c>
      <c r="F630" s="832" t="s">
        <v>2222</v>
      </c>
      <c r="G630" s="832">
        <v>32273.41</v>
      </c>
      <c r="H630" s="832">
        <v>54470.52</v>
      </c>
      <c r="I630" s="832">
        <v>72909.149999999994</v>
      </c>
      <c r="J630" s="832">
        <v>91676.53</v>
      </c>
      <c r="K630" s="832">
        <v>116188.4</v>
      </c>
      <c r="L630" s="832">
        <v>138059.03</v>
      </c>
      <c r="M630" s="832">
        <v>159270.07</v>
      </c>
      <c r="N630" s="832">
        <v>179423.89</v>
      </c>
      <c r="O630" s="832">
        <v>203300.17</v>
      </c>
      <c r="P630" s="832">
        <v>227263.58</v>
      </c>
      <c r="Q630" s="832">
        <v>255036.48</v>
      </c>
      <c r="R630" s="832">
        <v>281314.12</v>
      </c>
      <c r="S630" s="832">
        <v>23185.13</v>
      </c>
      <c r="T630" s="832">
        <v>23185.13</v>
      </c>
      <c r="U630" s="832">
        <v>0</v>
      </c>
      <c r="V630" s="832">
        <v>157</v>
      </c>
      <c r="W630" s="832">
        <v>292</v>
      </c>
      <c r="X630" s="832">
        <v>408</v>
      </c>
      <c r="Y630" s="832">
        <v>557</v>
      </c>
      <c r="Z630" s="832">
        <v>722</v>
      </c>
      <c r="AA630" s="832">
        <v>871</v>
      </c>
      <c r="AB630" s="832">
        <v>1027</v>
      </c>
      <c r="AC630" s="832">
        <v>1161</v>
      </c>
      <c r="AD630" s="832">
        <v>1305</v>
      </c>
      <c r="AE630" s="832">
        <v>1439</v>
      </c>
      <c r="AF630" s="832">
        <v>1576</v>
      </c>
      <c r="AG630" s="832">
        <v>1693</v>
      </c>
      <c r="AH630" s="832">
        <v>143</v>
      </c>
      <c r="AI630" s="832">
        <v>143</v>
      </c>
      <c r="AJ630" s="1030" t="str">
        <f t="shared" si="60"/>
        <v>H37400</v>
      </c>
      <c r="AK630" s="1030" t="str">
        <f t="shared" si="61"/>
        <v>VTE M.O B.R INTERNE- MEC</v>
      </c>
      <c r="AL630" s="1030">
        <f>IFERROR(INDEX(G630:R630,1,MATCH(Parametres!$B$3,G$1:R$1,0)-1)*IF(OR(F630="L",F630="S",F630="I"),-1,1),"")</f>
        <v>-91676.53</v>
      </c>
      <c r="AM630" s="1030">
        <f t="shared" si="56"/>
        <v>-24511.869999999995</v>
      </c>
      <c r="AN630" s="1030">
        <f>INDEX(G630:R630,1,MATCH(Parametres!$B$3,G$1:R$1,0))*IF(OR(F630="L",F630="S",F630="I"),-1,1)</f>
        <v>-116188.4</v>
      </c>
      <c r="AO630" s="598" t="str">
        <f>+VLOOKUP($AJ630,Data_Validation!$A:$D,1,0)</f>
        <v>H37400</v>
      </c>
      <c r="AP630" s="598" t="str">
        <f>+VLOOKUP($AJ630,Data_Validation!$A:$D,3,0)</f>
        <v>Service</v>
      </c>
      <c r="AQ630" s="598" t="str">
        <f>+VLOOKUP($AJ630,Data_Validation!$A:$D,4,0)</f>
        <v>M/O Interne</v>
      </c>
      <c r="AR630" s="598" t="s">
        <v>299</v>
      </c>
      <c r="AS630" s="598" t="str">
        <f>+VLOOKUP($AJ630,Data_Validation!$A:$E,5,0)</f>
        <v>Oui</v>
      </c>
      <c r="AT630" s="1036" t="str">
        <f t="shared" si="57"/>
        <v>H37400</v>
      </c>
      <c r="AU630" s="599" t="str">
        <f t="shared" si="58"/>
        <v>VTE M.O B.R INTERNE- MEC</v>
      </c>
      <c r="AV630" s="1030">
        <f>IFERROR(INDEX(V630:AG630,1,MATCH(Parametres!$B$3,V$1:AG$1,0)-1)*IF(OR(C630="L",C630="S",C630="I"),-1,1),"")</f>
        <v>557</v>
      </c>
      <c r="AW630" s="1030">
        <f t="shared" si="59"/>
        <v>165</v>
      </c>
      <c r="AX630" s="1030">
        <f>INDEX(V630:AG630,1,MATCH(Parametres!$B$3,V$1:AG$1,0))*IF(OR(C630="L",C630="S",C630="I"),-1,1)</f>
        <v>722</v>
      </c>
      <c r="AY630" s="598" t="s">
        <v>337</v>
      </c>
      <c r="AZ630" s="598" t="str">
        <f>+VLOOKUP($AJ630,Data_Validation!$A:$E,5,0)</f>
        <v>Oui</v>
      </c>
    </row>
    <row r="631" spans="1:52" ht="15" customHeight="1">
      <c r="A631" s="832" t="s">
        <v>1150</v>
      </c>
      <c r="B631" s="832">
        <v>2025</v>
      </c>
      <c r="C631" s="832" t="s">
        <v>2398</v>
      </c>
      <c r="D631" s="832" t="s">
        <v>2399</v>
      </c>
      <c r="E631" s="832" t="s">
        <v>2363</v>
      </c>
      <c r="F631" s="832" t="s">
        <v>2222</v>
      </c>
      <c r="G631" s="832">
        <v>0</v>
      </c>
      <c r="H631" s="832">
        <v>0</v>
      </c>
      <c r="I631" s="832">
        <v>0</v>
      </c>
      <c r="J631" s="832">
        <v>0</v>
      </c>
      <c r="K631" s="832">
        <v>0</v>
      </c>
      <c r="L631" s="832">
        <v>0</v>
      </c>
      <c r="M631" s="832">
        <v>0</v>
      </c>
      <c r="N631" s="832">
        <v>0</v>
      </c>
      <c r="O631" s="832">
        <v>0</v>
      </c>
      <c r="P631" s="832">
        <v>0</v>
      </c>
      <c r="Q631" s="832">
        <v>0</v>
      </c>
      <c r="R631" s="832">
        <v>0</v>
      </c>
      <c r="S631" s="832">
        <v>0</v>
      </c>
      <c r="T631" s="832">
        <v>0</v>
      </c>
      <c r="U631" s="832">
        <v>0</v>
      </c>
      <c r="V631" s="832">
        <v>0</v>
      </c>
      <c r="W631" s="832">
        <v>0</v>
      </c>
      <c r="X631" s="832">
        <v>0</v>
      </c>
      <c r="Y631" s="832">
        <v>0</v>
      </c>
      <c r="Z631" s="832">
        <v>0</v>
      </c>
      <c r="AA631" s="832">
        <v>0</v>
      </c>
      <c r="AB631" s="832">
        <v>0</v>
      </c>
      <c r="AC631" s="832">
        <v>0</v>
      </c>
      <c r="AD631" s="832">
        <v>0</v>
      </c>
      <c r="AE631" s="832">
        <v>0</v>
      </c>
      <c r="AF631" s="832">
        <v>0</v>
      </c>
      <c r="AG631" s="832">
        <v>0</v>
      </c>
      <c r="AH631" s="832">
        <v>0</v>
      </c>
      <c r="AI631" s="832">
        <v>0</v>
      </c>
      <c r="AJ631" s="1030" t="str">
        <f t="shared" si="60"/>
        <v>H37500</v>
      </c>
      <c r="AK631" s="1030" t="str">
        <f t="shared" si="61"/>
        <v>VTE M.O B.R INTERNE- CARR</v>
      </c>
      <c r="AL631" s="1030">
        <f>IFERROR(INDEX(G631:R631,1,MATCH(Parametres!$B$3,G$1:R$1,0)-1)*IF(OR(F631="L",F631="S",F631="I"),-1,1),"")</f>
        <v>0</v>
      </c>
      <c r="AM631" s="1030">
        <f t="shared" si="56"/>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t="str">
        <f t="shared" si="57"/>
        <v>H37500</v>
      </c>
      <c r="AU631" s="599" t="str">
        <f t="shared" si="58"/>
        <v>VTE M.O B.R INTERNE- CARR</v>
      </c>
      <c r="AV631" s="1030">
        <f>IFERROR(INDEX(V631:AG631,1,MATCH(Parametres!$B$3,V$1:AG$1,0)-1)*IF(OR(C631="L",C631="S",C631="I"),-1,1),"")</f>
        <v>0</v>
      </c>
      <c r="AW631" s="1030">
        <f t="shared" si="59"/>
        <v>0</v>
      </c>
      <c r="AX631" s="1030">
        <f>INDEX(V631:AG631,1,MATCH(Parametres!$B$3,V$1:AG$1,0))*IF(OR(C631="L",C631="S",C631="I"),-1,1)</f>
        <v>0</v>
      </c>
      <c r="AY631" s="598" t="s">
        <v>337</v>
      </c>
      <c r="AZ631" s="598" t="e">
        <f>+VLOOKUP($AJ631,Data_Validation!$A:$E,5,0)</f>
        <v>#N/A</v>
      </c>
    </row>
    <row r="632" spans="1:52" ht="15" customHeight="1">
      <c r="A632" s="832" t="s">
        <v>1150</v>
      </c>
      <c r="B632" s="832">
        <v>2025</v>
      </c>
      <c r="C632" s="832" t="s">
        <v>2400</v>
      </c>
      <c r="D632" s="832" t="s">
        <v>2401</v>
      </c>
      <c r="E632" s="832" t="s">
        <v>2363</v>
      </c>
      <c r="F632" s="832" t="s">
        <v>2222</v>
      </c>
      <c r="G632" s="832">
        <v>0</v>
      </c>
      <c r="H632" s="832">
        <v>0</v>
      </c>
      <c r="I632" s="832">
        <v>0</v>
      </c>
      <c r="J632" s="832">
        <v>0</v>
      </c>
      <c r="K632" s="832">
        <v>0</v>
      </c>
      <c r="L632" s="832">
        <v>0</v>
      </c>
      <c r="M632" s="832">
        <v>0</v>
      </c>
      <c r="N632" s="832">
        <v>0</v>
      </c>
      <c r="O632" s="832">
        <v>0</v>
      </c>
      <c r="P632" s="832">
        <v>0</v>
      </c>
      <c r="Q632" s="832">
        <v>0</v>
      </c>
      <c r="R632" s="832">
        <v>0</v>
      </c>
      <c r="S632" s="832">
        <v>0</v>
      </c>
      <c r="T632" s="832">
        <v>0</v>
      </c>
      <c r="U632" s="832">
        <v>0</v>
      </c>
      <c r="V632" s="832">
        <v>0</v>
      </c>
      <c r="W632" s="832">
        <v>0</v>
      </c>
      <c r="X632" s="832">
        <v>0</v>
      </c>
      <c r="Y632" s="832">
        <v>0</v>
      </c>
      <c r="Z632" s="832">
        <v>0</v>
      </c>
      <c r="AA632" s="832">
        <v>0</v>
      </c>
      <c r="AB632" s="832">
        <v>0</v>
      </c>
      <c r="AC632" s="832">
        <v>0</v>
      </c>
      <c r="AD632" s="832">
        <v>0</v>
      </c>
      <c r="AE632" s="832">
        <v>0</v>
      </c>
      <c r="AF632" s="832">
        <v>0</v>
      </c>
      <c r="AG632" s="832">
        <v>0</v>
      </c>
      <c r="AH632" s="832">
        <v>0</v>
      </c>
      <c r="AI632" s="832">
        <v>0</v>
      </c>
      <c r="AJ632" s="1030" t="str">
        <f t="shared" si="60"/>
        <v>H37600</v>
      </c>
      <c r="AK632" s="1030" t="str">
        <f t="shared" si="61"/>
        <v>VTE M.O SOUS-TRAITANCE -</v>
      </c>
      <c r="AL632" s="1030">
        <f>IFERROR(INDEX(G632:R632,1,MATCH(Parametres!$B$3,G$1:R$1,0)-1)*IF(OR(F632="L",F632="S",F632="I"),-1,1),"")</f>
        <v>0</v>
      </c>
      <c r="AM632" s="1030">
        <f t="shared" si="56"/>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t="str">
        <f t="shared" si="57"/>
        <v>H37600</v>
      </c>
      <c r="AU632" s="599" t="str">
        <f t="shared" si="58"/>
        <v>VTE M.O SOUS-TRAITANCE -</v>
      </c>
      <c r="AV632" s="1030">
        <f>IFERROR(INDEX(V632:AG632,1,MATCH(Parametres!$B$3,V$1:AG$1,0)-1)*IF(OR(C632="L",C632="S",C632="I"),-1,1),"")</f>
        <v>0</v>
      </c>
      <c r="AW632" s="1030">
        <f t="shared" si="59"/>
        <v>0</v>
      </c>
      <c r="AX632" s="1030">
        <f>INDEX(V632:AG632,1,MATCH(Parametres!$B$3,V$1:AG$1,0))*IF(OR(C632="L",C632="S",C632="I"),-1,1)</f>
        <v>0</v>
      </c>
      <c r="AY632" s="598" t="s">
        <v>337</v>
      </c>
      <c r="AZ632" s="598" t="e">
        <f>+VLOOKUP($AJ632,Data_Validation!$A:$E,5,0)</f>
        <v>#N/A</v>
      </c>
    </row>
    <row r="633" spans="1:52" ht="15" customHeight="1">
      <c r="A633" s="832" t="s">
        <v>1150</v>
      </c>
      <c r="B633" s="832">
        <v>2025</v>
      </c>
      <c r="C633" s="832" t="s">
        <v>2402</v>
      </c>
      <c r="D633" s="832" t="s">
        <v>2403</v>
      </c>
      <c r="E633" s="832" t="s">
        <v>2363</v>
      </c>
      <c r="F633" s="832" t="s">
        <v>2222</v>
      </c>
      <c r="G633" s="832">
        <v>0</v>
      </c>
      <c r="H633" s="832">
        <v>0</v>
      </c>
      <c r="I633" s="832">
        <v>0</v>
      </c>
      <c r="J633" s="832">
        <v>0</v>
      </c>
      <c r="K633" s="832">
        <v>0</v>
      </c>
      <c r="L633" s="832">
        <v>0</v>
      </c>
      <c r="M633" s="832">
        <v>0</v>
      </c>
      <c r="N633" s="832">
        <v>0</v>
      </c>
      <c r="O633" s="832">
        <v>0</v>
      </c>
      <c r="P633" s="832">
        <v>0</v>
      </c>
      <c r="Q633" s="832">
        <v>0</v>
      </c>
      <c r="R633" s="832">
        <v>0</v>
      </c>
      <c r="S633" s="832">
        <v>0</v>
      </c>
      <c r="T633" s="832">
        <v>0</v>
      </c>
      <c r="U633" s="832">
        <v>0</v>
      </c>
      <c r="V633" s="832">
        <v>0</v>
      </c>
      <c r="W633" s="832">
        <v>0</v>
      </c>
      <c r="X633" s="832">
        <v>0</v>
      </c>
      <c r="Y633" s="832">
        <v>0</v>
      </c>
      <c r="Z633" s="832">
        <v>0</v>
      </c>
      <c r="AA633" s="832">
        <v>0</v>
      </c>
      <c r="AB633" s="832">
        <v>0</v>
      </c>
      <c r="AC633" s="832">
        <v>0</v>
      </c>
      <c r="AD633" s="832">
        <v>0</v>
      </c>
      <c r="AE633" s="832">
        <v>0</v>
      </c>
      <c r="AF633" s="832">
        <v>0</v>
      </c>
      <c r="AG633" s="832">
        <v>0</v>
      </c>
      <c r="AH633" s="832">
        <v>0</v>
      </c>
      <c r="AI633" s="832">
        <v>0</v>
      </c>
      <c r="AJ633" s="1030" t="str">
        <f t="shared" si="60"/>
        <v>H37610</v>
      </c>
      <c r="AK633" s="1030" t="str">
        <f t="shared" si="61"/>
        <v>S-TRAITANCE INTERNE CARR</v>
      </c>
      <c r="AL633" s="1030">
        <f>IFERROR(INDEX(G633:R633,1,MATCH(Parametres!$B$3,G$1:R$1,0)-1)*IF(OR(F633="L",F633="S",F633="I"),-1,1),"")</f>
        <v>0</v>
      </c>
      <c r="AM633" s="1030">
        <f t="shared" si="56"/>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t="str">
        <f t="shared" si="57"/>
        <v>H37610</v>
      </c>
      <c r="AU633" s="599" t="str">
        <f t="shared" si="58"/>
        <v>S-TRAITANCE INTERNE CARR</v>
      </c>
      <c r="AV633" s="1030">
        <f>IFERROR(INDEX(V633:AG633,1,MATCH(Parametres!$B$3,V$1:AG$1,0)-1)*IF(OR(C633="L",C633="S",C633="I"),-1,1),"")</f>
        <v>0</v>
      </c>
      <c r="AW633" s="1030">
        <f t="shared" si="59"/>
        <v>0</v>
      </c>
      <c r="AX633" s="1030">
        <f>INDEX(V633:AG633,1,MATCH(Parametres!$B$3,V$1:AG$1,0))*IF(OR(C633="L",C633="S",C633="I"),-1,1)</f>
        <v>0</v>
      </c>
      <c r="AY633" s="598" t="s">
        <v>337</v>
      </c>
      <c r="AZ633" s="598" t="e">
        <f>+VLOOKUP($AJ633,Data_Validation!$A:$E,5,0)</f>
        <v>#N/A</v>
      </c>
    </row>
    <row r="634" spans="1:52" ht="15" customHeight="1">
      <c r="A634" s="832" t="s">
        <v>1150</v>
      </c>
      <c r="B634" s="832">
        <v>2025</v>
      </c>
      <c r="C634" s="832" t="s">
        <v>2404</v>
      </c>
      <c r="D634" s="832" t="s">
        <v>2405</v>
      </c>
      <c r="E634" s="832" t="s">
        <v>2363</v>
      </c>
      <c r="F634" s="832" t="s">
        <v>2222</v>
      </c>
      <c r="G634" s="832">
        <v>0</v>
      </c>
      <c r="H634" s="832">
        <v>0</v>
      </c>
      <c r="I634" s="832">
        <v>0</v>
      </c>
      <c r="J634" s="832">
        <v>0</v>
      </c>
      <c r="K634" s="832">
        <v>0</v>
      </c>
      <c r="L634" s="832">
        <v>0</v>
      </c>
      <c r="M634" s="832">
        <v>0</v>
      </c>
      <c r="N634" s="832">
        <v>0</v>
      </c>
      <c r="O634" s="832">
        <v>0</v>
      </c>
      <c r="P634" s="832">
        <v>0</v>
      </c>
      <c r="Q634" s="832">
        <v>0</v>
      </c>
      <c r="R634" s="832">
        <v>0</v>
      </c>
      <c r="S634" s="832">
        <v>0</v>
      </c>
      <c r="T634" s="832">
        <v>0</v>
      </c>
      <c r="U634" s="832">
        <v>0</v>
      </c>
      <c r="V634" s="832">
        <v>0</v>
      </c>
      <c r="W634" s="832">
        <v>0</v>
      </c>
      <c r="X634" s="832">
        <v>0</v>
      </c>
      <c r="Y634" s="832">
        <v>0</v>
      </c>
      <c r="Z634" s="832">
        <v>0</v>
      </c>
      <c r="AA634" s="832">
        <v>0</v>
      </c>
      <c r="AB634" s="832">
        <v>0</v>
      </c>
      <c r="AC634" s="832">
        <v>0</v>
      </c>
      <c r="AD634" s="832">
        <v>0</v>
      </c>
      <c r="AE634" s="832">
        <v>0</v>
      </c>
      <c r="AF634" s="832">
        <v>0</v>
      </c>
      <c r="AG634" s="832">
        <v>0</v>
      </c>
      <c r="AH634" s="832">
        <v>0</v>
      </c>
      <c r="AI634" s="832">
        <v>0</v>
      </c>
      <c r="AJ634" s="1030" t="str">
        <f t="shared" si="60"/>
        <v>H37700</v>
      </c>
      <c r="AK634" s="1030" t="str">
        <f t="shared" si="61"/>
        <v>VTE M.O B.R GARANTIE- CAR</v>
      </c>
      <c r="AL634" s="1030">
        <f>IFERROR(INDEX(G634:R634,1,MATCH(Parametres!$B$3,G$1:R$1,0)-1)*IF(OR(F634="L",F634="S",F634="I"),-1,1),"")</f>
        <v>0</v>
      </c>
      <c r="AM634" s="1030">
        <f t="shared" si="56"/>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t="str">
        <f t="shared" si="57"/>
        <v>H37700</v>
      </c>
      <c r="AU634" s="599" t="str">
        <f t="shared" si="58"/>
        <v>VTE M.O B.R GARANTIE- CAR</v>
      </c>
      <c r="AV634" s="1030">
        <f>IFERROR(INDEX(V634:AG634,1,MATCH(Parametres!$B$3,V$1:AG$1,0)-1)*IF(OR(C634="L",C634="S",C634="I"),-1,1),"")</f>
        <v>0</v>
      </c>
      <c r="AW634" s="1030">
        <f t="shared" si="59"/>
        <v>0</v>
      </c>
      <c r="AX634" s="1030">
        <f>INDEX(V634:AG634,1,MATCH(Parametres!$B$3,V$1:AG$1,0))*IF(OR(C634="L",C634="S",C634="I"),-1,1)</f>
        <v>0</v>
      </c>
      <c r="AY634" s="598" t="s">
        <v>337</v>
      </c>
      <c r="AZ634" s="598" t="e">
        <f>+VLOOKUP($AJ634,Data_Validation!$A:$E,5,0)</f>
        <v>#N/A</v>
      </c>
    </row>
    <row r="635" spans="1:52" ht="15" customHeight="1">
      <c r="A635" s="832" t="s">
        <v>1150</v>
      </c>
      <c r="B635" s="832">
        <v>2025</v>
      </c>
      <c r="C635" s="832" t="s">
        <v>2406</v>
      </c>
      <c r="D635" s="832" t="s">
        <v>2407</v>
      </c>
      <c r="E635" s="832" t="s">
        <v>2363</v>
      </c>
      <c r="F635" s="832" t="s">
        <v>2222</v>
      </c>
      <c r="G635" s="832">
        <v>0</v>
      </c>
      <c r="H635" s="832">
        <v>0</v>
      </c>
      <c r="I635" s="832">
        <v>0</v>
      </c>
      <c r="J635" s="832">
        <v>0</v>
      </c>
      <c r="K635" s="832">
        <v>0</v>
      </c>
      <c r="L635" s="832">
        <v>0</v>
      </c>
      <c r="M635" s="832">
        <v>0</v>
      </c>
      <c r="N635" s="832">
        <v>0</v>
      </c>
      <c r="O635" s="832">
        <v>0</v>
      </c>
      <c r="P635" s="832">
        <v>0</v>
      </c>
      <c r="Q635" s="832">
        <v>0</v>
      </c>
      <c r="R635" s="832">
        <v>0</v>
      </c>
      <c r="S635" s="832">
        <v>0</v>
      </c>
      <c r="T635" s="832">
        <v>0</v>
      </c>
      <c r="U635" s="832">
        <v>0</v>
      </c>
      <c r="V635" s="832">
        <v>0</v>
      </c>
      <c r="W635" s="832">
        <v>0</v>
      </c>
      <c r="X635" s="832">
        <v>0</v>
      </c>
      <c r="Y635" s="832">
        <v>0</v>
      </c>
      <c r="Z635" s="832">
        <v>0</v>
      </c>
      <c r="AA635" s="832">
        <v>0</v>
      </c>
      <c r="AB635" s="832">
        <v>0</v>
      </c>
      <c r="AC635" s="832">
        <v>0</v>
      </c>
      <c r="AD635" s="832">
        <v>0</v>
      </c>
      <c r="AE635" s="832">
        <v>0</v>
      </c>
      <c r="AF635" s="832">
        <v>0</v>
      </c>
      <c r="AG635" s="832">
        <v>0</v>
      </c>
      <c r="AH635" s="832">
        <v>0</v>
      </c>
      <c r="AI635" s="832">
        <v>0</v>
      </c>
      <c r="AJ635" s="1030" t="str">
        <f t="shared" si="60"/>
        <v>H37800</v>
      </c>
      <c r="AK635" s="1030" t="str">
        <f t="shared" si="61"/>
        <v>VTE M.O DIVERSES (AUTOS)_</v>
      </c>
      <c r="AL635" s="1030">
        <f>IFERROR(INDEX(G635:R635,1,MATCH(Parametres!$B$3,G$1:R$1,0)-1)*IF(OR(F635="L",F635="S",F635="I"),-1,1),"")</f>
        <v>0</v>
      </c>
      <c r="AM635" s="1030">
        <f t="shared" si="56"/>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t="str">
        <f t="shared" si="57"/>
        <v>H37800</v>
      </c>
      <c r="AU635" s="599" t="str">
        <f t="shared" si="58"/>
        <v>VTE M.O DIVERSES (AUTOS)_</v>
      </c>
      <c r="AV635" s="1030">
        <f>IFERROR(INDEX(V635:AG635,1,MATCH(Parametres!$B$3,V$1:AG$1,0)-1)*IF(OR(C635="L",C635="S",C635="I"),-1,1),"")</f>
        <v>0</v>
      </c>
      <c r="AW635" s="1030">
        <f t="shared" si="59"/>
        <v>0</v>
      </c>
      <c r="AX635" s="1030">
        <f>INDEX(V635:AG635,1,MATCH(Parametres!$B$3,V$1:AG$1,0))*IF(OR(C635="L",C635="S",C635="I"),-1,1)</f>
        <v>0</v>
      </c>
      <c r="AY635" s="598" t="s">
        <v>337</v>
      </c>
      <c r="AZ635" s="598" t="e">
        <f>+VLOOKUP($AJ635,Data_Validation!$A:$E,5,0)</f>
        <v>#N/A</v>
      </c>
    </row>
    <row r="636" spans="1:52" ht="15" customHeight="1">
      <c r="A636" s="832" t="s">
        <v>1150</v>
      </c>
      <c r="B636" s="832">
        <v>2025</v>
      </c>
      <c r="C636" s="832" t="s">
        <v>2408</v>
      </c>
      <c r="D636" s="832" t="s">
        <v>2409</v>
      </c>
      <c r="E636" s="832" t="s">
        <v>333</v>
      </c>
      <c r="F636" s="832" t="s">
        <v>2222</v>
      </c>
      <c r="G636" s="832">
        <v>0</v>
      </c>
      <c r="H636" s="832">
        <v>0</v>
      </c>
      <c r="I636" s="832">
        <v>0</v>
      </c>
      <c r="J636" s="832">
        <v>0</v>
      </c>
      <c r="K636" s="832">
        <v>0</v>
      </c>
      <c r="L636" s="832">
        <v>0</v>
      </c>
      <c r="M636" s="832">
        <v>0</v>
      </c>
      <c r="N636" s="832">
        <v>0</v>
      </c>
      <c r="O636" s="832">
        <v>0</v>
      </c>
      <c r="P636" s="832">
        <v>0</v>
      </c>
      <c r="Q636" s="832">
        <v>0</v>
      </c>
      <c r="R636" s="832">
        <v>0</v>
      </c>
      <c r="S636" s="832">
        <v>0</v>
      </c>
      <c r="T636" s="832">
        <v>0</v>
      </c>
      <c r="U636" s="832">
        <v>0</v>
      </c>
      <c r="V636" s="832">
        <v>0</v>
      </c>
      <c r="W636" s="832">
        <v>0</v>
      </c>
      <c r="X636" s="832">
        <v>0</v>
      </c>
      <c r="Y636" s="832">
        <v>0</v>
      </c>
      <c r="Z636" s="832">
        <v>0</v>
      </c>
      <c r="AA636" s="832">
        <v>0</v>
      </c>
      <c r="AB636" s="832">
        <v>0</v>
      </c>
      <c r="AC636" s="832">
        <v>0</v>
      </c>
      <c r="AD636" s="832">
        <v>0</v>
      </c>
      <c r="AE636" s="832">
        <v>0</v>
      </c>
      <c r="AF636" s="832">
        <v>0</v>
      </c>
      <c r="AG636" s="832">
        <v>0</v>
      </c>
      <c r="AH636" s="832">
        <v>0</v>
      </c>
      <c r="AI636" s="832">
        <v>0</v>
      </c>
      <c r="AJ636" s="1030" t="str">
        <f t="shared" si="60"/>
        <v>H38000</v>
      </c>
      <c r="AK636" s="1030" t="str">
        <f t="shared" si="61"/>
        <v>VTE TEMPS MORT MECANIQUE</v>
      </c>
      <c r="AL636" s="1030">
        <f>IFERROR(INDEX(G636:R636,1,MATCH(Parametres!$B$3,G$1:R$1,0)-1)*IF(OR(F636="L",F636="S",F636="I"),-1,1),"")</f>
        <v>0</v>
      </c>
      <c r="AM636" s="1030">
        <f t="shared" si="56"/>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t="str">
        <f t="shared" si="57"/>
        <v>H38000</v>
      </c>
      <c r="AU636" s="599" t="str">
        <f t="shared" si="58"/>
        <v>VTE TEMPS MORT MECANIQUE</v>
      </c>
      <c r="AV636" s="1030">
        <f>IFERROR(INDEX(V636:AG636,1,MATCH(Parametres!$B$3,V$1:AG$1,0)-1)*IF(OR(C636="L",C636="S",C636="I"),-1,1),"")</f>
        <v>0</v>
      </c>
      <c r="AW636" s="1030">
        <f t="shared" si="59"/>
        <v>0</v>
      </c>
      <c r="AX636" s="1030">
        <f>INDEX(V636:AG636,1,MATCH(Parametres!$B$3,V$1:AG$1,0))*IF(OR(C636="L",C636="S",C636="I"),-1,1)</f>
        <v>0</v>
      </c>
      <c r="AY636" s="598" t="s">
        <v>337</v>
      </c>
      <c r="AZ636" s="598" t="e">
        <f>+VLOOKUP($AJ636,Data_Validation!$A:$E,5,0)</f>
        <v>#N/A</v>
      </c>
    </row>
    <row r="637" spans="1:52" ht="15" customHeight="1">
      <c r="A637" s="832" t="s">
        <v>1150</v>
      </c>
      <c r="B637" s="832">
        <v>2025</v>
      </c>
      <c r="C637" s="832" t="s">
        <v>2410</v>
      </c>
      <c r="D637" s="832" t="s">
        <v>2411</v>
      </c>
      <c r="E637" s="832" t="s">
        <v>333</v>
      </c>
      <c r="F637" s="832" t="s">
        <v>2222</v>
      </c>
      <c r="G637" s="832">
        <v>0</v>
      </c>
      <c r="H637" s="832">
        <v>0</v>
      </c>
      <c r="I637" s="832">
        <v>0</v>
      </c>
      <c r="J637" s="832">
        <v>0</v>
      </c>
      <c r="K637" s="832">
        <v>0</v>
      </c>
      <c r="L637" s="832">
        <v>0</v>
      </c>
      <c r="M637" s="832">
        <v>0</v>
      </c>
      <c r="N637" s="832">
        <v>0</v>
      </c>
      <c r="O637" s="832">
        <v>0</v>
      </c>
      <c r="P637" s="832">
        <v>0</v>
      </c>
      <c r="Q637" s="832">
        <v>0</v>
      </c>
      <c r="R637" s="832">
        <v>0</v>
      </c>
      <c r="S637" s="832">
        <v>0</v>
      </c>
      <c r="T637" s="832">
        <v>0</v>
      </c>
      <c r="U637" s="832">
        <v>0</v>
      </c>
      <c r="V637" s="832">
        <v>0</v>
      </c>
      <c r="W637" s="832">
        <v>0</v>
      </c>
      <c r="X637" s="832">
        <v>0</v>
      </c>
      <c r="Y637" s="832">
        <v>0</v>
      </c>
      <c r="Z637" s="832">
        <v>0</v>
      </c>
      <c r="AA637" s="832">
        <v>0</v>
      </c>
      <c r="AB637" s="832">
        <v>0</v>
      </c>
      <c r="AC637" s="832">
        <v>0</v>
      </c>
      <c r="AD637" s="832">
        <v>0</v>
      </c>
      <c r="AE637" s="832">
        <v>0</v>
      </c>
      <c r="AF637" s="832">
        <v>0</v>
      </c>
      <c r="AG637" s="832">
        <v>0</v>
      </c>
      <c r="AH637" s="832">
        <v>0</v>
      </c>
      <c r="AI637" s="832">
        <v>0</v>
      </c>
      <c r="AJ637" s="1030" t="str">
        <f t="shared" si="60"/>
        <v>H38100</v>
      </c>
      <c r="AK637" s="1030" t="str">
        <f t="shared" si="61"/>
        <v>VTE TEMPS MORT CARR</v>
      </c>
      <c r="AL637" s="1030">
        <f>IFERROR(INDEX(G637:R637,1,MATCH(Parametres!$B$3,G$1:R$1,0)-1)*IF(OR(F637="L",F637="S",F637="I"),-1,1),"")</f>
        <v>0</v>
      </c>
      <c r="AM637" s="1030">
        <f t="shared" si="56"/>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t="str">
        <f t="shared" si="57"/>
        <v>H38100</v>
      </c>
      <c r="AU637" s="599" t="str">
        <f t="shared" si="58"/>
        <v>VTE TEMPS MORT CARR</v>
      </c>
      <c r="AV637" s="1030">
        <f>IFERROR(INDEX(V637:AG637,1,MATCH(Parametres!$B$3,V$1:AG$1,0)-1)*IF(OR(C637="L",C637="S",C637="I"),-1,1),"")</f>
        <v>0</v>
      </c>
      <c r="AW637" s="1030">
        <f t="shared" si="59"/>
        <v>0</v>
      </c>
      <c r="AX637" s="1030">
        <f>INDEX(V637:AG637,1,MATCH(Parametres!$B$3,V$1:AG$1,0))*IF(OR(C637="L",C637="S",C637="I"),-1,1)</f>
        <v>0</v>
      </c>
      <c r="AY637" s="598" t="s">
        <v>337</v>
      </c>
      <c r="AZ637" s="598" t="e">
        <f>+VLOOKUP($AJ637,Data_Validation!$A:$E,5,0)</f>
        <v>#N/A</v>
      </c>
    </row>
    <row r="638" spans="1:52" ht="15" customHeight="1">
      <c r="A638" s="832" t="s">
        <v>1150</v>
      </c>
      <c r="B638" s="832">
        <v>2025</v>
      </c>
      <c r="C638" s="832" t="s">
        <v>2412</v>
      </c>
      <c r="D638" s="832" t="s">
        <v>2413</v>
      </c>
      <c r="E638" s="832" t="s">
        <v>2363</v>
      </c>
      <c r="F638" s="832" t="s">
        <v>2222</v>
      </c>
      <c r="G638" s="832">
        <v>45982.16</v>
      </c>
      <c r="H638" s="832">
        <v>74622.289999999994</v>
      </c>
      <c r="I638" s="832">
        <v>109688.36</v>
      </c>
      <c r="J638" s="832">
        <v>172490.23</v>
      </c>
      <c r="K638" s="832">
        <v>226202.53</v>
      </c>
      <c r="L638" s="832">
        <v>268955.53000000003</v>
      </c>
      <c r="M638" s="832">
        <v>303806.59000000003</v>
      </c>
      <c r="N638" s="832">
        <v>353813.36</v>
      </c>
      <c r="O638" s="832">
        <v>392799.62</v>
      </c>
      <c r="P638" s="832">
        <v>459367.53</v>
      </c>
      <c r="Q638" s="832">
        <v>516384.66</v>
      </c>
      <c r="R638" s="832">
        <v>553819.56000000006</v>
      </c>
      <c r="S638" s="832">
        <v>46944.06</v>
      </c>
      <c r="T638" s="832">
        <v>46944.06</v>
      </c>
      <c r="U638" s="832">
        <v>0</v>
      </c>
      <c r="V638" s="832">
        <v>191</v>
      </c>
      <c r="W638" s="832">
        <v>308</v>
      </c>
      <c r="X638" s="832">
        <v>509</v>
      </c>
      <c r="Y638" s="832">
        <v>1057</v>
      </c>
      <c r="Z638" s="832">
        <v>1441</v>
      </c>
      <c r="AA638" s="832">
        <v>1650</v>
      </c>
      <c r="AB638" s="832">
        <v>1824</v>
      </c>
      <c r="AC638" s="832">
        <v>2016</v>
      </c>
      <c r="AD638" s="832">
        <v>2196</v>
      </c>
      <c r="AE638" s="832">
        <v>2578</v>
      </c>
      <c r="AF638" s="832">
        <v>3099</v>
      </c>
      <c r="AG638" s="832">
        <v>3296</v>
      </c>
      <c r="AH638" s="832">
        <v>282</v>
      </c>
      <c r="AI638" s="832">
        <v>282</v>
      </c>
      <c r="AJ638" s="1030" t="str">
        <f t="shared" si="60"/>
        <v>H38200</v>
      </c>
      <c r="AK638" s="1030" t="str">
        <f t="shared" si="61"/>
        <v>VTE M.O S-TRAITANCE -MEC</v>
      </c>
      <c r="AL638" s="1030">
        <f>IFERROR(INDEX(G638:R638,1,MATCH(Parametres!$B$3,G$1:R$1,0)-1)*IF(OR(F638="L",F638="S",F638="I"),-1,1),"")</f>
        <v>-172490.23</v>
      </c>
      <c r="AM638" s="1030">
        <f t="shared" si="56"/>
        <v>-53712.299999999988</v>
      </c>
      <c r="AN638" s="1030">
        <f>INDEX(G638:R638,1,MATCH(Parametres!$B$3,G$1:R$1,0))*IF(OR(F638="L",F638="S",F638="I"),-1,1)</f>
        <v>-226202.53</v>
      </c>
      <c r="AO638" s="598" t="str">
        <f>+VLOOKUP($AJ638,Data_Validation!$A:$D,1,0)</f>
        <v>H38200</v>
      </c>
      <c r="AP638" s="598" t="str">
        <f>+VLOOKUP($AJ638,Data_Validation!$A:$D,3,0)</f>
        <v>Service</v>
      </c>
      <c r="AQ638" s="598" t="str">
        <f>+VLOOKUP($AJ638,Data_Validation!$A:$D,4,0)</f>
        <v>Sous-traitement</v>
      </c>
      <c r="AR638" s="598" t="s">
        <v>299</v>
      </c>
      <c r="AS638" s="598" t="str">
        <f>+VLOOKUP($AJ638,Data_Validation!$A:$E,5,0)</f>
        <v>Oui</v>
      </c>
      <c r="AT638" s="1036" t="str">
        <f t="shared" si="57"/>
        <v>H38200</v>
      </c>
      <c r="AU638" s="599" t="str">
        <f t="shared" si="58"/>
        <v>VTE M.O S-TRAITANCE -MEC</v>
      </c>
      <c r="AV638" s="1030">
        <f>IFERROR(INDEX(V638:AG638,1,MATCH(Parametres!$B$3,V$1:AG$1,0)-1)*IF(OR(C638="L",C638="S",C638="I"),-1,1),"")</f>
        <v>1057</v>
      </c>
      <c r="AW638" s="1030">
        <f t="shared" si="59"/>
        <v>384</v>
      </c>
      <c r="AX638" s="1030">
        <f>INDEX(V638:AG638,1,MATCH(Parametres!$B$3,V$1:AG$1,0))*IF(OR(C638="L",C638="S",C638="I"),-1,1)</f>
        <v>1441</v>
      </c>
      <c r="AY638" s="598" t="s">
        <v>337</v>
      </c>
      <c r="AZ638" s="598" t="str">
        <f>+VLOOKUP($AJ638,Data_Validation!$A:$E,5,0)</f>
        <v>Oui</v>
      </c>
    </row>
    <row r="639" spans="1:52" ht="15" customHeight="1">
      <c r="A639" s="832" t="s">
        <v>1150</v>
      </c>
      <c r="B639" s="832">
        <v>2025</v>
      </c>
      <c r="C639" s="832" t="s">
        <v>2414</v>
      </c>
      <c r="D639" s="832" t="s">
        <v>2415</v>
      </c>
      <c r="E639" s="832" t="s">
        <v>2363</v>
      </c>
      <c r="F639" s="832" t="s">
        <v>2222</v>
      </c>
      <c r="G639" s="832">
        <v>0</v>
      </c>
      <c r="H639" s="832">
        <v>0</v>
      </c>
      <c r="I639" s="832">
        <v>0</v>
      </c>
      <c r="J639" s="832">
        <v>0</v>
      </c>
      <c r="K639" s="832">
        <v>0</v>
      </c>
      <c r="L639" s="832">
        <v>0</v>
      </c>
      <c r="M639" s="832">
        <v>0</v>
      </c>
      <c r="N639" s="832">
        <v>0</v>
      </c>
      <c r="O639" s="832">
        <v>0</v>
      </c>
      <c r="P639" s="832">
        <v>0</v>
      </c>
      <c r="Q639" s="832">
        <v>0</v>
      </c>
      <c r="R639" s="832">
        <v>0</v>
      </c>
      <c r="S639" s="832">
        <v>0</v>
      </c>
      <c r="T639" s="832">
        <v>0</v>
      </c>
      <c r="U639" s="832">
        <v>0</v>
      </c>
      <c r="V639" s="832">
        <v>0</v>
      </c>
      <c r="W639" s="832">
        <v>0</v>
      </c>
      <c r="X639" s="832">
        <v>0</v>
      </c>
      <c r="Y639" s="832">
        <v>0</v>
      </c>
      <c r="Z639" s="832">
        <v>0</v>
      </c>
      <c r="AA639" s="832">
        <v>0</v>
      </c>
      <c r="AB639" s="832">
        <v>0</v>
      </c>
      <c r="AC639" s="832">
        <v>0</v>
      </c>
      <c r="AD639" s="832">
        <v>0</v>
      </c>
      <c r="AE639" s="832">
        <v>0</v>
      </c>
      <c r="AF639" s="832">
        <v>0</v>
      </c>
      <c r="AG639" s="832">
        <v>0</v>
      </c>
      <c r="AH639" s="832">
        <v>0</v>
      </c>
      <c r="AI639" s="832">
        <v>0</v>
      </c>
      <c r="AJ639" s="1030" t="str">
        <f t="shared" si="60"/>
        <v>H38210</v>
      </c>
      <c r="AK639" s="1030" t="str">
        <f t="shared" si="61"/>
        <v>VTE SOUS TRAITANCE HPP</v>
      </c>
      <c r="AL639" s="1030">
        <f>IFERROR(INDEX(G639:R639,1,MATCH(Parametres!$B$3,G$1:R$1,0)-1)*IF(OR(F639="L",F639="S",F639="I"),-1,1),"")</f>
        <v>0</v>
      </c>
      <c r="AM639" s="1030">
        <f t="shared" si="56"/>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t="str">
        <f t="shared" si="57"/>
        <v>H38210</v>
      </c>
      <c r="AU639" s="599" t="str">
        <f t="shared" si="58"/>
        <v>VTE SOUS TRAITANCE HPP</v>
      </c>
      <c r="AV639" s="1030">
        <f>IFERROR(INDEX(V639:AG639,1,MATCH(Parametres!$B$3,V$1:AG$1,0)-1)*IF(OR(C639="L",C639="S",C639="I"),-1,1),"")</f>
        <v>0</v>
      </c>
      <c r="AW639" s="1030">
        <f t="shared" si="59"/>
        <v>0</v>
      </c>
      <c r="AX639" s="1030">
        <f>INDEX(V639:AG639,1,MATCH(Parametres!$B$3,V$1:AG$1,0))*IF(OR(C639="L",C639="S",C639="I"),-1,1)</f>
        <v>0</v>
      </c>
      <c r="AY639" s="598" t="s">
        <v>337</v>
      </c>
      <c r="AZ639" s="598" t="e">
        <f>+VLOOKUP($AJ639,Data_Validation!$A:$E,5,0)</f>
        <v>#N/A</v>
      </c>
    </row>
    <row r="640" spans="1:52" ht="15" customHeight="1">
      <c r="A640" s="832" t="s">
        <v>1150</v>
      </c>
      <c r="B640" s="832">
        <v>2025</v>
      </c>
      <c r="C640" s="832" t="s">
        <v>2416</v>
      </c>
      <c r="D640" s="832" t="s">
        <v>2417</v>
      </c>
      <c r="E640" s="832" t="s">
        <v>2363</v>
      </c>
      <c r="F640" s="832" t="s">
        <v>2222</v>
      </c>
      <c r="G640" s="832">
        <v>0</v>
      </c>
      <c r="H640" s="832">
        <v>0</v>
      </c>
      <c r="I640" s="832">
        <v>0</v>
      </c>
      <c r="J640" s="832">
        <v>0</v>
      </c>
      <c r="K640" s="832">
        <v>0</v>
      </c>
      <c r="L640" s="832">
        <v>0</v>
      </c>
      <c r="M640" s="832">
        <v>0</v>
      </c>
      <c r="N640" s="832">
        <v>0</v>
      </c>
      <c r="O640" s="832">
        <v>0</v>
      </c>
      <c r="P640" s="832">
        <v>0</v>
      </c>
      <c r="Q640" s="832">
        <v>0</v>
      </c>
      <c r="R640" s="832">
        <v>0</v>
      </c>
      <c r="S640" s="832">
        <v>0</v>
      </c>
      <c r="T640" s="832">
        <v>0</v>
      </c>
      <c r="U640" s="832">
        <v>0</v>
      </c>
      <c r="V640" s="832">
        <v>0</v>
      </c>
      <c r="W640" s="832">
        <v>0</v>
      </c>
      <c r="X640" s="832">
        <v>0</v>
      </c>
      <c r="Y640" s="832">
        <v>0</v>
      </c>
      <c r="Z640" s="832">
        <v>0</v>
      </c>
      <c r="AA640" s="832">
        <v>0</v>
      </c>
      <c r="AB640" s="832">
        <v>0</v>
      </c>
      <c r="AC640" s="832">
        <v>0</v>
      </c>
      <c r="AD640" s="832">
        <v>0</v>
      </c>
      <c r="AE640" s="832">
        <v>0</v>
      </c>
      <c r="AF640" s="832">
        <v>0</v>
      </c>
      <c r="AG640" s="832">
        <v>0</v>
      </c>
      <c r="AH640" s="832">
        <v>0</v>
      </c>
      <c r="AI640" s="832">
        <v>0</v>
      </c>
      <c r="AJ640" s="1030" t="str">
        <f t="shared" si="60"/>
        <v>H38300</v>
      </c>
      <c r="AK640" s="1030" t="str">
        <f t="shared" si="61"/>
        <v>VTE ENTREPOSAGE DE PNEU</v>
      </c>
      <c r="AL640" s="1030">
        <f>IFERROR(INDEX(G640:R640,1,MATCH(Parametres!$B$3,G$1:R$1,0)-1)*IF(OR(F640="L",F640="S",F640="I"),-1,1),"")</f>
        <v>0</v>
      </c>
      <c r="AM640" s="1030">
        <f t="shared" si="56"/>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t="str">
        <f t="shared" si="57"/>
        <v>H38300</v>
      </c>
      <c r="AU640" s="599" t="str">
        <f t="shared" si="58"/>
        <v>VTE ENTREPOSAGE DE PNEU</v>
      </c>
      <c r="AV640" s="1030">
        <f>IFERROR(INDEX(V640:AG640,1,MATCH(Parametres!$B$3,V$1:AG$1,0)-1)*IF(OR(C640="L",C640="S",C640="I"),-1,1),"")</f>
        <v>0</v>
      </c>
      <c r="AW640" s="1030">
        <f t="shared" si="59"/>
        <v>0</v>
      </c>
      <c r="AX640" s="1030">
        <f>INDEX(V640:AG640,1,MATCH(Parametres!$B$3,V$1:AG$1,0))*IF(OR(C640="L",C640="S",C640="I"),-1,1)</f>
        <v>0</v>
      </c>
      <c r="AY640" s="598" t="s">
        <v>337</v>
      </c>
      <c r="AZ640" s="598" t="e">
        <f>+VLOOKUP($AJ640,Data_Validation!$A:$E,5,0)</f>
        <v>#N/A</v>
      </c>
    </row>
    <row r="641" spans="1:52" ht="15" customHeight="1">
      <c r="A641" s="832" t="s">
        <v>1150</v>
      </c>
      <c r="B641" s="832">
        <v>2025</v>
      </c>
      <c r="C641" s="832" t="s">
        <v>2418</v>
      </c>
      <c r="D641" s="832" t="s">
        <v>2419</v>
      </c>
      <c r="E641" s="832" t="s">
        <v>2363</v>
      </c>
      <c r="F641" s="832" t="s">
        <v>2222</v>
      </c>
      <c r="G641" s="832">
        <v>14521.91</v>
      </c>
      <c r="H641" s="832">
        <v>26085.040000000001</v>
      </c>
      <c r="I641" s="832">
        <v>39353.01</v>
      </c>
      <c r="J641" s="832">
        <v>63247.48</v>
      </c>
      <c r="K641" s="832">
        <v>84081.96</v>
      </c>
      <c r="L641" s="832">
        <v>102030.31</v>
      </c>
      <c r="M641" s="832">
        <v>115598.65</v>
      </c>
      <c r="N641" s="832">
        <v>125800.37</v>
      </c>
      <c r="O641" s="832">
        <v>138572.85</v>
      </c>
      <c r="P641" s="832">
        <v>158268.95000000001</v>
      </c>
      <c r="Q641" s="832">
        <v>179787.22</v>
      </c>
      <c r="R641" s="832">
        <v>192208.73</v>
      </c>
      <c r="S641" s="832">
        <v>16344.29</v>
      </c>
      <c r="T641" s="832">
        <v>16344.29</v>
      </c>
      <c r="U641" s="832">
        <v>0</v>
      </c>
      <c r="V641" s="832">
        <v>343</v>
      </c>
      <c r="W641" s="832">
        <v>607</v>
      </c>
      <c r="X641" s="832">
        <v>944</v>
      </c>
      <c r="Y641" s="832">
        <v>1545</v>
      </c>
      <c r="Z641" s="832">
        <v>2063</v>
      </c>
      <c r="AA641" s="832">
        <v>2433</v>
      </c>
      <c r="AB641" s="832">
        <v>2762</v>
      </c>
      <c r="AC641" s="832">
        <v>3013</v>
      </c>
      <c r="AD641" s="832">
        <v>3342</v>
      </c>
      <c r="AE641" s="832">
        <v>3841</v>
      </c>
      <c r="AF641" s="832">
        <v>4400</v>
      </c>
      <c r="AG641" s="832">
        <v>4724</v>
      </c>
      <c r="AH641" s="832">
        <v>400</v>
      </c>
      <c r="AI641" s="832">
        <v>400</v>
      </c>
      <c r="AJ641" s="1030" t="str">
        <f t="shared" si="60"/>
        <v>H38400</v>
      </c>
      <c r="AK641" s="1030" t="str">
        <f t="shared" si="61"/>
        <v>VTE HUILE</v>
      </c>
      <c r="AL641" s="1030">
        <f>IFERROR(INDEX(G641:R641,1,MATCH(Parametres!$B$3,G$1:R$1,0)-1)*IF(OR(F641="L",F641="S",F641="I"),-1,1),"")</f>
        <v>-63247.48</v>
      </c>
      <c r="AM641" s="1030">
        <f t="shared" si="56"/>
        <v>-20834.480000000003</v>
      </c>
      <c r="AN641" s="1030">
        <f>INDEX(G641:R641,1,MATCH(Parametres!$B$3,G$1:R$1,0))*IF(OR(F641="L",F641="S",F641="I"),-1,1)</f>
        <v>-84081.96</v>
      </c>
      <c r="AO641" s="598" t="str">
        <f>+VLOOKUP($AJ641,Data_Validation!$A:$D,1,0)</f>
        <v>H38400</v>
      </c>
      <c r="AP641" s="598" t="str">
        <f>+VLOOKUP($AJ641,Data_Validation!$A:$D,3,0)</f>
        <v>Pièces</v>
      </c>
      <c r="AQ641" s="598" t="str">
        <f>+VLOOKUP($AJ641,Data_Validation!$A:$D,4,0)</f>
        <v>Huiles et Graisse</v>
      </c>
      <c r="AR641" s="598" t="s">
        <v>299</v>
      </c>
      <c r="AS641" s="598" t="str">
        <f>+VLOOKUP($AJ641,Data_Validation!$A:$E,5,0)</f>
        <v>Oui</v>
      </c>
      <c r="AT641" s="1036" t="str">
        <f t="shared" si="57"/>
        <v>H38400</v>
      </c>
      <c r="AU641" s="599" t="str">
        <f t="shared" si="58"/>
        <v>VTE HUILE</v>
      </c>
      <c r="AV641" s="1030">
        <f>IFERROR(INDEX(V641:AG641,1,MATCH(Parametres!$B$3,V$1:AG$1,0)-1)*IF(OR(C641="L",C641="S",C641="I"),-1,1),"")</f>
        <v>1545</v>
      </c>
      <c r="AW641" s="1030">
        <f t="shared" si="59"/>
        <v>518</v>
      </c>
      <c r="AX641" s="1030">
        <f>INDEX(V641:AG641,1,MATCH(Parametres!$B$3,V$1:AG$1,0))*IF(OR(C641="L",C641="S",C641="I"),-1,1)</f>
        <v>2063</v>
      </c>
      <c r="AY641" s="598" t="s">
        <v>337</v>
      </c>
      <c r="AZ641" s="598" t="str">
        <f>+VLOOKUP($AJ641,Data_Validation!$A:$E,5,0)</f>
        <v>Oui</v>
      </c>
    </row>
    <row r="642" spans="1:52" ht="15" customHeight="1">
      <c r="A642" s="832" t="s">
        <v>1150</v>
      </c>
      <c r="B642" s="832">
        <v>2025</v>
      </c>
      <c r="C642" s="832" t="s">
        <v>2420</v>
      </c>
      <c r="D642" s="832" t="s">
        <v>2421</v>
      </c>
      <c r="E642" s="832" t="s">
        <v>2363</v>
      </c>
      <c r="F642" s="832" t="s">
        <v>2222</v>
      </c>
      <c r="G642" s="832">
        <v>4387.45</v>
      </c>
      <c r="H642" s="832">
        <v>6889.81</v>
      </c>
      <c r="I642" s="832">
        <v>11448.33</v>
      </c>
      <c r="J642" s="832">
        <v>16545.439999999999</v>
      </c>
      <c r="K642" s="832">
        <v>22273.39</v>
      </c>
      <c r="L642" s="832">
        <v>27328.63</v>
      </c>
      <c r="M642" s="832">
        <v>32927.9</v>
      </c>
      <c r="N642" s="832">
        <v>37274.239999999998</v>
      </c>
      <c r="O642" s="832">
        <v>42014.7</v>
      </c>
      <c r="P642" s="832">
        <v>46141.68</v>
      </c>
      <c r="Q642" s="832">
        <v>49049.29</v>
      </c>
      <c r="R642" s="832">
        <v>51532.62</v>
      </c>
      <c r="S642" s="832">
        <v>4459.03</v>
      </c>
      <c r="T642" s="832">
        <v>4459.03</v>
      </c>
      <c r="U642" s="832">
        <v>0</v>
      </c>
      <c r="V642" s="832">
        <v>66</v>
      </c>
      <c r="W642" s="832">
        <v>103</v>
      </c>
      <c r="X642" s="832">
        <v>169</v>
      </c>
      <c r="Y642" s="832">
        <v>248</v>
      </c>
      <c r="Z642" s="832">
        <v>335</v>
      </c>
      <c r="AA642" s="832">
        <v>417</v>
      </c>
      <c r="AB642" s="832">
        <v>504</v>
      </c>
      <c r="AC642" s="832">
        <v>576</v>
      </c>
      <c r="AD642" s="832">
        <v>650</v>
      </c>
      <c r="AE642" s="832">
        <v>716</v>
      </c>
      <c r="AF642" s="832">
        <v>761</v>
      </c>
      <c r="AG642" s="832">
        <v>803</v>
      </c>
      <c r="AH642" s="832">
        <v>69</v>
      </c>
      <c r="AI642" s="832">
        <v>69</v>
      </c>
      <c r="AJ642" s="1030" t="str">
        <f t="shared" si="60"/>
        <v>H38500</v>
      </c>
      <c r="AK642" s="1030" t="str">
        <f t="shared" si="61"/>
        <v>VTE ESSENCE</v>
      </c>
      <c r="AL642" s="1030">
        <f>IFERROR(INDEX(G642:R642,1,MATCH(Parametres!$B$3,G$1:R$1,0)-1)*IF(OR(F642="L",F642="S",F642="I"),-1,1),"")</f>
        <v>-16545.439999999999</v>
      </c>
      <c r="AM642" s="1030">
        <f t="shared" si="56"/>
        <v>-5727.9500000000007</v>
      </c>
      <c r="AN642" s="1030">
        <f>INDEX(G642:R642,1,MATCH(Parametres!$B$3,G$1:R$1,0))*IF(OR(F642="L",F642="S",F642="I"),-1,1)</f>
        <v>-22273.39</v>
      </c>
      <c r="AO642" s="598" t="str">
        <f>+VLOOKUP($AJ642,Data_Validation!$A:$D,1,0)</f>
        <v>H38500</v>
      </c>
      <c r="AP642" s="598" t="str">
        <f>+VLOOKUP($AJ642,Data_Validation!$A:$D,3,0)</f>
        <v>Pièces</v>
      </c>
      <c r="AQ642" s="598" t="str">
        <f>+VLOOKUP($AJ642,Data_Validation!$A:$D,4,0)</f>
        <v>Huiles et Graisse</v>
      </c>
      <c r="AR642" s="598" t="s">
        <v>299</v>
      </c>
      <c r="AS642" s="598" t="str">
        <f>+VLOOKUP($AJ642,Data_Validation!$A:$E,5,0)</f>
        <v>Oui</v>
      </c>
      <c r="AT642" s="1036" t="str">
        <f t="shared" si="57"/>
        <v>H38500</v>
      </c>
      <c r="AU642" s="599" t="str">
        <f t="shared" si="58"/>
        <v>VTE ESSENCE</v>
      </c>
      <c r="AV642" s="1030">
        <f>IFERROR(INDEX(V642:AG642,1,MATCH(Parametres!$B$3,V$1:AG$1,0)-1)*IF(OR(C642="L",C642="S",C642="I"),-1,1),"")</f>
        <v>248</v>
      </c>
      <c r="AW642" s="1030">
        <f t="shared" si="59"/>
        <v>87</v>
      </c>
      <c r="AX642" s="1030">
        <f>INDEX(V642:AG642,1,MATCH(Parametres!$B$3,V$1:AG$1,0))*IF(OR(C642="L",C642="S",C642="I"),-1,1)</f>
        <v>335</v>
      </c>
      <c r="AY642" s="598" t="s">
        <v>337</v>
      </c>
      <c r="AZ642" s="598" t="str">
        <f>+VLOOKUP($AJ642,Data_Validation!$A:$E,5,0)</f>
        <v>Oui</v>
      </c>
    </row>
    <row r="643" spans="1:52" ht="15" customHeight="1">
      <c r="A643" s="832" t="s">
        <v>1150</v>
      </c>
      <c r="B643" s="832">
        <v>2025</v>
      </c>
      <c r="C643" s="832" t="s">
        <v>2422</v>
      </c>
      <c r="D643" s="832" t="s">
        <v>2423</v>
      </c>
      <c r="E643" s="832" t="s">
        <v>333</v>
      </c>
      <c r="F643" s="832" t="s">
        <v>2222</v>
      </c>
      <c r="G643" s="832">
        <v>0</v>
      </c>
      <c r="H643" s="832">
        <v>0</v>
      </c>
      <c r="I643" s="832">
        <v>0</v>
      </c>
      <c r="J643" s="832">
        <v>0</v>
      </c>
      <c r="K643" s="832">
        <v>0</v>
      </c>
      <c r="L643" s="832">
        <v>0</v>
      </c>
      <c r="M643" s="832">
        <v>0</v>
      </c>
      <c r="N643" s="832">
        <v>0</v>
      </c>
      <c r="O643" s="832">
        <v>0</v>
      </c>
      <c r="P643" s="832">
        <v>0</v>
      </c>
      <c r="Q643" s="832">
        <v>0</v>
      </c>
      <c r="R643" s="832">
        <v>0</v>
      </c>
      <c r="S643" s="832">
        <v>0</v>
      </c>
      <c r="T643" s="832">
        <v>0</v>
      </c>
      <c r="U643" s="832">
        <v>0</v>
      </c>
      <c r="V643" s="832">
        <v>0</v>
      </c>
      <c r="W643" s="832">
        <v>0</v>
      </c>
      <c r="X643" s="832">
        <v>0</v>
      </c>
      <c r="Y643" s="832">
        <v>0</v>
      </c>
      <c r="Z643" s="832">
        <v>0</v>
      </c>
      <c r="AA643" s="832">
        <v>0</v>
      </c>
      <c r="AB643" s="832">
        <v>0</v>
      </c>
      <c r="AC643" s="832">
        <v>0</v>
      </c>
      <c r="AD643" s="832">
        <v>0</v>
      </c>
      <c r="AE643" s="832">
        <v>0</v>
      </c>
      <c r="AF643" s="832">
        <v>0</v>
      </c>
      <c r="AG643" s="832">
        <v>0</v>
      </c>
      <c r="AH643" s="832">
        <v>0</v>
      </c>
      <c r="AI643" s="832">
        <v>0</v>
      </c>
      <c r="AJ643" s="1030" t="str">
        <f t="shared" si="60"/>
        <v>H39000</v>
      </c>
      <c r="AK643" s="1030" t="str">
        <f t="shared" si="61"/>
        <v>VTE REVENUS DE LOCATION</v>
      </c>
      <c r="AL643" s="1030">
        <f>IFERROR(INDEX(G643:R643,1,MATCH(Parametres!$B$3,G$1:R$1,0)-1)*IF(OR(F643="L",F643="S",F643="I"),-1,1),"")</f>
        <v>0</v>
      </c>
      <c r="AM643" s="1030">
        <f t="shared" si="56"/>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t="str">
        <f t="shared" si="57"/>
        <v>H39000</v>
      </c>
      <c r="AU643" s="599" t="str">
        <f t="shared" si="58"/>
        <v>VTE REVENUS DE LOCATION</v>
      </c>
      <c r="AV643" s="1030">
        <f>IFERROR(INDEX(V643:AG643,1,MATCH(Parametres!$B$3,V$1:AG$1,0)-1)*IF(OR(C643="L",C643="S",C643="I"),-1,1),"")</f>
        <v>0</v>
      </c>
      <c r="AW643" s="1030">
        <f t="shared" si="59"/>
        <v>0</v>
      </c>
      <c r="AX643" s="1030">
        <f>INDEX(V643:AG643,1,MATCH(Parametres!$B$3,V$1:AG$1,0))*IF(OR(C643="L",C643="S",C643="I"),-1,1)</f>
        <v>0</v>
      </c>
      <c r="AY643" s="598" t="s">
        <v>337</v>
      </c>
      <c r="AZ643" s="598" t="e">
        <f>+VLOOKUP($AJ643,Data_Validation!$A:$E,5,0)</f>
        <v>#N/A</v>
      </c>
    </row>
    <row r="644" spans="1:52" ht="15" customHeight="1">
      <c r="A644" s="832" t="s">
        <v>1150</v>
      </c>
      <c r="B644" s="832">
        <v>2025</v>
      </c>
      <c r="C644" s="832" t="s">
        <v>2424</v>
      </c>
      <c r="D644" s="832" t="s">
        <v>2425</v>
      </c>
      <c r="E644" s="832" t="s">
        <v>333</v>
      </c>
      <c r="F644" s="832" t="s">
        <v>2222</v>
      </c>
      <c r="G644" s="832">
        <v>0</v>
      </c>
      <c r="H644" s="832">
        <v>0</v>
      </c>
      <c r="I644" s="832">
        <v>0</v>
      </c>
      <c r="J644" s="832">
        <v>0</v>
      </c>
      <c r="K644" s="832">
        <v>0</v>
      </c>
      <c r="L644" s="832">
        <v>0</v>
      </c>
      <c r="M644" s="832">
        <v>0</v>
      </c>
      <c r="N644" s="832">
        <v>0</v>
      </c>
      <c r="O644" s="832">
        <v>0</v>
      </c>
      <c r="P644" s="832">
        <v>0</v>
      </c>
      <c r="Q644" s="832">
        <v>0</v>
      </c>
      <c r="R644" s="832">
        <v>0</v>
      </c>
      <c r="S644" s="832">
        <v>0</v>
      </c>
      <c r="T644" s="832">
        <v>0</v>
      </c>
      <c r="U644" s="832">
        <v>0</v>
      </c>
      <c r="V644" s="832">
        <v>0</v>
      </c>
      <c r="W644" s="832">
        <v>0</v>
      </c>
      <c r="X644" s="832">
        <v>0</v>
      </c>
      <c r="Y644" s="832">
        <v>0</v>
      </c>
      <c r="Z644" s="832">
        <v>0</v>
      </c>
      <c r="AA644" s="832">
        <v>0</v>
      </c>
      <c r="AB644" s="832">
        <v>0</v>
      </c>
      <c r="AC644" s="832">
        <v>0</v>
      </c>
      <c r="AD644" s="832">
        <v>0</v>
      </c>
      <c r="AE644" s="832">
        <v>0</v>
      </c>
      <c r="AF644" s="832">
        <v>0</v>
      </c>
      <c r="AG644" s="832">
        <v>0</v>
      </c>
      <c r="AH644" s="832">
        <v>0</v>
      </c>
      <c r="AI644" s="832">
        <v>0</v>
      </c>
      <c r="AJ644" s="1030" t="str">
        <f t="shared" si="60"/>
        <v>H39100</v>
      </c>
      <c r="AK644" s="1030" t="str">
        <f t="shared" si="61"/>
        <v>REVENU LOCATION  CT &amp; LT</v>
      </c>
      <c r="AL644" s="1030">
        <f>IFERROR(INDEX(G644:R644,1,MATCH(Parametres!$B$3,G$1:R$1,0)-1)*IF(OR(F644="L",F644="S",F644="I"),-1,1),"")</f>
        <v>0</v>
      </c>
      <c r="AM644" s="1030">
        <f t="shared" ref="AM644:AM707" si="62">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t="str">
        <f t="shared" ref="AT644:AT707" si="63">C644</f>
        <v>H39100</v>
      </c>
      <c r="AU644" s="599" t="str">
        <f t="shared" ref="AU644:AU707" si="64">D644</f>
        <v>REVENU LOCATION  CT &amp; LT</v>
      </c>
      <c r="AV644" s="1030">
        <f>IFERROR(INDEX(V644:AG644,1,MATCH(Parametres!$B$3,V$1:AG$1,0)-1)*IF(OR(C644="L",C644="S",C644="I"),-1,1),"")</f>
        <v>0</v>
      </c>
      <c r="AW644" s="1030">
        <f t="shared" ref="AW644:AW707" si="65">AX644-N(AV644)</f>
        <v>0</v>
      </c>
      <c r="AX644" s="1030">
        <f>INDEX(V644:AG644,1,MATCH(Parametres!$B$3,V$1:AG$1,0))*IF(OR(C644="L",C644="S",C644="I"),-1,1)</f>
        <v>0</v>
      </c>
      <c r="AY644" s="598" t="s">
        <v>337</v>
      </c>
      <c r="AZ644" s="598" t="e">
        <f>+VLOOKUP($AJ644,Data_Validation!$A:$E,5,0)</f>
        <v>#N/A</v>
      </c>
    </row>
    <row r="645" spans="1:52" ht="15" customHeight="1">
      <c r="A645" s="832" t="s">
        <v>1150</v>
      </c>
      <c r="B645" s="832">
        <v>2025</v>
      </c>
      <c r="C645" s="832" t="s">
        <v>2426</v>
      </c>
      <c r="D645" s="832" t="s">
        <v>2427</v>
      </c>
      <c r="E645" s="832" t="s">
        <v>333</v>
      </c>
      <c r="F645" s="832" t="s">
        <v>2222</v>
      </c>
      <c r="G645" s="832">
        <v>0</v>
      </c>
      <c r="H645" s="832">
        <v>0</v>
      </c>
      <c r="I645" s="832">
        <v>0</v>
      </c>
      <c r="J645" s="832">
        <v>0</v>
      </c>
      <c r="K645" s="832">
        <v>0</v>
      </c>
      <c r="L645" s="832">
        <v>0</v>
      </c>
      <c r="M645" s="832">
        <v>0</v>
      </c>
      <c r="N645" s="832">
        <v>0</v>
      </c>
      <c r="O645" s="832">
        <v>0</v>
      </c>
      <c r="P645" s="832">
        <v>0</v>
      </c>
      <c r="Q645" s="832">
        <v>0</v>
      </c>
      <c r="R645" s="832">
        <v>0</v>
      </c>
      <c r="S645" s="832">
        <v>0</v>
      </c>
      <c r="T645" s="832">
        <v>0</v>
      </c>
      <c r="U645" s="832">
        <v>0</v>
      </c>
      <c r="V645" s="832">
        <v>0</v>
      </c>
      <c r="W645" s="832">
        <v>0</v>
      </c>
      <c r="X645" s="832">
        <v>0</v>
      </c>
      <c r="Y645" s="832">
        <v>0</v>
      </c>
      <c r="Z645" s="832">
        <v>0</v>
      </c>
      <c r="AA645" s="832">
        <v>0</v>
      </c>
      <c r="AB645" s="832">
        <v>0</v>
      </c>
      <c r="AC645" s="832">
        <v>0</v>
      </c>
      <c r="AD645" s="832">
        <v>0</v>
      </c>
      <c r="AE645" s="832">
        <v>0</v>
      </c>
      <c r="AF645" s="832">
        <v>0</v>
      </c>
      <c r="AG645" s="832">
        <v>0</v>
      </c>
      <c r="AH645" s="832">
        <v>0</v>
      </c>
      <c r="AI645" s="832">
        <v>0</v>
      </c>
      <c r="AJ645" s="1030" t="str">
        <f t="shared" si="60"/>
        <v>H39200</v>
      </c>
      <c r="AK645" s="1030" t="str">
        <f t="shared" si="61"/>
        <v>GAIN/PERTE DISPOSITION</v>
      </c>
      <c r="AL645" s="1030">
        <f>IFERROR(INDEX(G645:R645,1,MATCH(Parametres!$B$3,G$1:R$1,0)-1)*IF(OR(F645="L",F645="S",F645="I"),-1,1),"")</f>
        <v>0</v>
      </c>
      <c r="AM645" s="1030">
        <f t="shared" si="62"/>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t="str">
        <f t="shared" si="63"/>
        <v>H39200</v>
      </c>
      <c r="AU645" s="599" t="str">
        <f t="shared" si="64"/>
        <v>GAIN/PERTE DISPOSITION</v>
      </c>
      <c r="AV645" s="1030">
        <f>IFERROR(INDEX(V645:AG645,1,MATCH(Parametres!$B$3,V$1:AG$1,0)-1)*IF(OR(C645="L",C645="S",C645="I"),-1,1),"")</f>
        <v>0</v>
      </c>
      <c r="AW645" s="1030">
        <f t="shared" si="65"/>
        <v>0</v>
      </c>
      <c r="AX645" s="1030">
        <f>INDEX(V645:AG645,1,MATCH(Parametres!$B$3,V$1:AG$1,0))*IF(OR(C645="L",C645="S",C645="I"),-1,1)</f>
        <v>0</v>
      </c>
      <c r="AY645" s="598" t="s">
        <v>337</v>
      </c>
      <c r="AZ645" s="598" t="e">
        <f>+VLOOKUP($AJ645,Data_Validation!$A:$E,5,0)</f>
        <v>#N/A</v>
      </c>
    </row>
    <row r="646" spans="1:52" ht="15" customHeight="1">
      <c r="A646" s="832" t="s">
        <v>1150</v>
      </c>
      <c r="B646" s="832">
        <v>2025</v>
      </c>
      <c r="C646" s="832" t="s">
        <v>2428</v>
      </c>
      <c r="D646" s="832" t="s">
        <v>2429</v>
      </c>
      <c r="E646" s="832" t="s">
        <v>333</v>
      </c>
      <c r="F646" s="832" t="s">
        <v>2222</v>
      </c>
      <c r="G646" s="832">
        <v>0</v>
      </c>
      <c r="H646" s="832">
        <v>0</v>
      </c>
      <c r="I646" s="832">
        <v>0</v>
      </c>
      <c r="J646" s="832">
        <v>0</v>
      </c>
      <c r="K646" s="832">
        <v>0</v>
      </c>
      <c r="L646" s="832">
        <v>0</v>
      </c>
      <c r="M646" s="832">
        <v>0</v>
      </c>
      <c r="N646" s="832">
        <v>0</v>
      </c>
      <c r="O646" s="832">
        <v>0</v>
      </c>
      <c r="P646" s="832">
        <v>0</v>
      </c>
      <c r="Q646" s="832">
        <v>0</v>
      </c>
      <c r="R646" s="832">
        <v>0</v>
      </c>
      <c r="S646" s="832">
        <v>0</v>
      </c>
      <c r="T646" s="832">
        <v>0</v>
      </c>
      <c r="U646" s="832">
        <v>0</v>
      </c>
      <c r="V646" s="832">
        <v>0</v>
      </c>
      <c r="W646" s="832">
        <v>0</v>
      </c>
      <c r="X646" s="832">
        <v>0</v>
      </c>
      <c r="Y646" s="832">
        <v>0</v>
      </c>
      <c r="Z646" s="832">
        <v>0</v>
      </c>
      <c r="AA646" s="832">
        <v>0</v>
      </c>
      <c r="AB646" s="832">
        <v>0</v>
      </c>
      <c r="AC646" s="832">
        <v>0</v>
      </c>
      <c r="AD646" s="832">
        <v>0</v>
      </c>
      <c r="AE646" s="832">
        <v>0</v>
      </c>
      <c r="AF646" s="832">
        <v>0</v>
      </c>
      <c r="AG646" s="832">
        <v>0</v>
      </c>
      <c r="AH646" s="832">
        <v>0</v>
      </c>
      <c r="AI646" s="832">
        <v>0</v>
      </c>
      <c r="AJ646" s="1030" t="str">
        <f t="shared" si="60"/>
        <v>H39300</v>
      </c>
      <c r="AK646" s="1030" t="str">
        <f t="shared" si="61"/>
        <v>AUTRE DEPARTEMENT</v>
      </c>
      <c r="AL646" s="1030">
        <f>IFERROR(INDEX(G646:R646,1,MATCH(Parametres!$B$3,G$1:R$1,0)-1)*IF(OR(F646="L",F646="S",F646="I"),-1,1),"")</f>
        <v>0</v>
      </c>
      <c r="AM646" s="1030">
        <f t="shared" si="62"/>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t="str">
        <f t="shared" si="63"/>
        <v>H39300</v>
      </c>
      <c r="AU646" s="599" t="str">
        <f t="shared" si="64"/>
        <v>AUTRE DEPARTEMENT</v>
      </c>
      <c r="AV646" s="1030">
        <f>IFERROR(INDEX(V646:AG646,1,MATCH(Parametres!$B$3,V$1:AG$1,0)-1)*IF(OR(C646="L",C646="S",C646="I"),-1,1),"")</f>
        <v>0</v>
      </c>
      <c r="AW646" s="1030">
        <f t="shared" si="65"/>
        <v>0</v>
      </c>
      <c r="AX646" s="1030">
        <f>INDEX(V646:AG646,1,MATCH(Parametres!$B$3,V$1:AG$1,0))*IF(OR(C646="L",C646="S",C646="I"),-1,1)</f>
        <v>0</v>
      </c>
      <c r="AY646" s="598" t="s">
        <v>337</v>
      </c>
      <c r="AZ646" s="598" t="e">
        <f>+VLOOKUP($AJ646,Data_Validation!$A:$E,5,0)</f>
        <v>#N/A</v>
      </c>
    </row>
    <row r="647" spans="1:52" ht="15" customHeight="1">
      <c r="A647" s="832" t="s">
        <v>1150</v>
      </c>
      <c r="B647" s="832">
        <v>2025</v>
      </c>
      <c r="C647" s="832" t="s">
        <v>2430</v>
      </c>
      <c r="D647" s="832" t="s">
        <v>2429</v>
      </c>
      <c r="E647" s="832" t="s">
        <v>333</v>
      </c>
      <c r="F647" s="832" t="s">
        <v>2222</v>
      </c>
      <c r="G647" s="832">
        <v>0</v>
      </c>
      <c r="H647" s="832">
        <v>0</v>
      </c>
      <c r="I647" s="832">
        <v>0</v>
      </c>
      <c r="J647" s="832">
        <v>0</v>
      </c>
      <c r="K647" s="832">
        <v>0</v>
      </c>
      <c r="L647" s="832">
        <v>0</v>
      </c>
      <c r="M647" s="832">
        <v>0</v>
      </c>
      <c r="N647" s="832">
        <v>0</v>
      </c>
      <c r="O647" s="832">
        <v>0</v>
      </c>
      <c r="P647" s="832">
        <v>0</v>
      </c>
      <c r="Q647" s="832">
        <v>0</v>
      </c>
      <c r="R647" s="832">
        <v>0</v>
      </c>
      <c r="S647" s="832">
        <v>0</v>
      </c>
      <c r="T647" s="832">
        <v>0</v>
      </c>
      <c r="U647" s="832">
        <v>0</v>
      </c>
      <c r="V647" s="832">
        <v>0</v>
      </c>
      <c r="W647" s="832">
        <v>0</v>
      </c>
      <c r="X647" s="832">
        <v>0</v>
      </c>
      <c r="Y647" s="832">
        <v>0</v>
      </c>
      <c r="Z647" s="832">
        <v>0</v>
      </c>
      <c r="AA647" s="832">
        <v>0</v>
      </c>
      <c r="AB647" s="832">
        <v>0</v>
      </c>
      <c r="AC647" s="832">
        <v>0</v>
      </c>
      <c r="AD647" s="832">
        <v>0</v>
      </c>
      <c r="AE647" s="832">
        <v>0</v>
      </c>
      <c r="AF647" s="832">
        <v>0</v>
      </c>
      <c r="AG647" s="832">
        <v>0</v>
      </c>
      <c r="AH647" s="832">
        <v>0</v>
      </c>
      <c r="AI647" s="832">
        <v>0</v>
      </c>
      <c r="AJ647" s="1030" t="str">
        <f t="shared" si="60"/>
        <v>H39400</v>
      </c>
      <c r="AK647" s="1030" t="str">
        <f t="shared" si="61"/>
        <v>AUTRE DEPARTEMENT</v>
      </c>
      <c r="AL647" s="1030">
        <f>IFERROR(INDEX(G647:R647,1,MATCH(Parametres!$B$3,G$1:R$1,0)-1)*IF(OR(F647="L",F647="S",F647="I"),-1,1),"")</f>
        <v>0</v>
      </c>
      <c r="AM647" s="1030">
        <f t="shared" si="62"/>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t="str">
        <f t="shared" si="63"/>
        <v>H39400</v>
      </c>
      <c r="AU647" s="599" t="str">
        <f t="shared" si="64"/>
        <v>AUTRE DEPARTEMENT</v>
      </c>
      <c r="AV647" s="1030">
        <f>IFERROR(INDEX(V647:AG647,1,MATCH(Parametres!$B$3,V$1:AG$1,0)-1)*IF(OR(C647="L",C647="S",C647="I"),-1,1),"")</f>
        <v>0</v>
      </c>
      <c r="AW647" s="1030">
        <f t="shared" si="65"/>
        <v>0</v>
      </c>
      <c r="AX647" s="1030">
        <f>INDEX(V647:AG647,1,MATCH(Parametres!$B$3,V$1:AG$1,0))*IF(OR(C647="L",C647="S",C647="I"),-1,1)</f>
        <v>0</v>
      </c>
      <c r="AY647" s="598" t="s">
        <v>337</v>
      </c>
      <c r="AZ647" s="598" t="e">
        <f>+VLOOKUP($AJ647,Data_Validation!$A:$E,5,0)</f>
        <v>#N/A</v>
      </c>
    </row>
    <row r="648" spans="1:52" ht="15" customHeight="1">
      <c r="A648" s="832" t="s">
        <v>1150</v>
      </c>
      <c r="B648" s="832">
        <v>2025</v>
      </c>
      <c r="C648" s="832" t="s">
        <v>2431</v>
      </c>
      <c r="D648" s="832" t="s">
        <v>2429</v>
      </c>
      <c r="E648" s="832" t="s">
        <v>333</v>
      </c>
      <c r="F648" s="832" t="s">
        <v>2222</v>
      </c>
      <c r="G648" s="832">
        <v>0</v>
      </c>
      <c r="H648" s="832">
        <v>0</v>
      </c>
      <c r="I648" s="832">
        <v>0</v>
      </c>
      <c r="J648" s="832">
        <v>0</v>
      </c>
      <c r="K648" s="832">
        <v>0</v>
      </c>
      <c r="L648" s="832">
        <v>0</v>
      </c>
      <c r="M648" s="832">
        <v>0</v>
      </c>
      <c r="N648" s="832">
        <v>0</v>
      </c>
      <c r="O648" s="832">
        <v>0</v>
      </c>
      <c r="P648" s="832">
        <v>0</v>
      </c>
      <c r="Q648" s="832">
        <v>0</v>
      </c>
      <c r="R648" s="832">
        <v>0</v>
      </c>
      <c r="S648" s="832">
        <v>0</v>
      </c>
      <c r="T648" s="832">
        <v>0</v>
      </c>
      <c r="U648" s="832">
        <v>0</v>
      </c>
      <c r="V648" s="832">
        <v>0</v>
      </c>
      <c r="W648" s="832">
        <v>0</v>
      </c>
      <c r="X648" s="832">
        <v>0</v>
      </c>
      <c r="Y648" s="832">
        <v>0</v>
      </c>
      <c r="Z648" s="832">
        <v>0</v>
      </c>
      <c r="AA648" s="832">
        <v>0</v>
      </c>
      <c r="AB648" s="832">
        <v>0</v>
      </c>
      <c r="AC648" s="832">
        <v>0</v>
      </c>
      <c r="AD648" s="832">
        <v>0</v>
      </c>
      <c r="AE648" s="832">
        <v>0</v>
      </c>
      <c r="AF648" s="832">
        <v>0</v>
      </c>
      <c r="AG648" s="832">
        <v>0</v>
      </c>
      <c r="AH648" s="832">
        <v>0</v>
      </c>
      <c r="AI648" s="832">
        <v>0</v>
      </c>
      <c r="AJ648" s="1030" t="str">
        <f t="shared" si="60"/>
        <v>H39500</v>
      </c>
      <c r="AK648" s="1030" t="str">
        <f t="shared" si="61"/>
        <v>AUTRE DEPARTEMENT</v>
      </c>
      <c r="AL648" s="1030">
        <f>IFERROR(INDEX(G648:R648,1,MATCH(Parametres!$B$3,G$1:R$1,0)-1)*IF(OR(F648="L",F648="S",F648="I"),-1,1),"")</f>
        <v>0</v>
      </c>
      <c r="AM648" s="1030">
        <f t="shared" si="62"/>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t="str">
        <f t="shared" si="63"/>
        <v>H39500</v>
      </c>
      <c r="AU648" s="599" t="str">
        <f t="shared" si="64"/>
        <v>AUTRE DEPARTEMENT</v>
      </c>
      <c r="AV648" s="1030">
        <f>IFERROR(INDEX(V648:AG648,1,MATCH(Parametres!$B$3,V$1:AG$1,0)-1)*IF(OR(C648="L",C648="S",C648="I"),-1,1),"")</f>
        <v>0</v>
      </c>
      <c r="AW648" s="1030">
        <f t="shared" si="65"/>
        <v>0</v>
      </c>
      <c r="AX648" s="1030">
        <f>INDEX(V648:AG648,1,MATCH(Parametres!$B$3,V$1:AG$1,0))*IF(OR(C648="L",C648="S",C648="I"),-1,1)</f>
        <v>0</v>
      </c>
      <c r="AY648" s="598" t="s">
        <v>337</v>
      </c>
      <c r="AZ648" s="598" t="e">
        <f>+VLOOKUP($AJ648,Data_Validation!$A:$E,5,0)</f>
        <v>#N/A</v>
      </c>
    </row>
    <row r="649" spans="1:52" ht="15" customHeight="1">
      <c r="A649" s="832" t="s">
        <v>1150</v>
      </c>
      <c r="B649" s="832">
        <v>2025</v>
      </c>
      <c r="C649" s="832" t="s">
        <v>2432</v>
      </c>
      <c r="D649" s="832" t="s">
        <v>2429</v>
      </c>
      <c r="E649" s="832" t="s">
        <v>333</v>
      </c>
      <c r="F649" s="832" t="s">
        <v>2222</v>
      </c>
      <c r="G649" s="832">
        <v>0</v>
      </c>
      <c r="H649" s="832">
        <v>0</v>
      </c>
      <c r="I649" s="832">
        <v>0</v>
      </c>
      <c r="J649" s="832">
        <v>0</v>
      </c>
      <c r="K649" s="832">
        <v>0</v>
      </c>
      <c r="L649" s="832">
        <v>0</v>
      </c>
      <c r="M649" s="832">
        <v>0</v>
      </c>
      <c r="N649" s="832">
        <v>0</v>
      </c>
      <c r="O649" s="832">
        <v>0</v>
      </c>
      <c r="P649" s="832">
        <v>0</v>
      </c>
      <c r="Q649" s="832">
        <v>0</v>
      </c>
      <c r="R649" s="832">
        <v>0</v>
      </c>
      <c r="S649" s="832">
        <v>0</v>
      </c>
      <c r="T649" s="832">
        <v>0</v>
      </c>
      <c r="U649" s="832">
        <v>0</v>
      </c>
      <c r="V649" s="832">
        <v>0</v>
      </c>
      <c r="W649" s="832">
        <v>0</v>
      </c>
      <c r="X649" s="832">
        <v>0</v>
      </c>
      <c r="Y649" s="832">
        <v>0</v>
      </c>
      <c r="Z649" s="832">
        <v>0</v>
      </c>
      <c r="AA649" s="832">
        <v>0</v>
      </c>
      <c r="AB649" s="832">
        <v>0</v>
      </c>
      <c r="AC649" s="832">
        <v>0</v>
      </c>
      <c r="AD649" s="832">
        <v>0</v>
      </c>
      <c r="AE649" s="832">
        <v>0</v>
      </c>
      <c r="AF649" s="832">
        <v>0</v>
      </c>
      <c r="AG649" s="832">
        <v>0</v>
      </c>
      <c r="AH649" s="832">
        <v>0</v>
      </c>
      <c r="AI649" s="832">
        <v>0</v>
      </c>
      <c r="AJ649" s="1030" t="str">
        <f t="shared" si="60"/>
        <v>H39600</v>
      </c>
      <c r="AK649" s="1030" t="str">
        <f t="shared" si="61"/>
        <v>AUTRE DEPARTEMENT</v>
      </c>
      <c r="AL649" s="1030">
        <f>IFERROR(INDEX(G649:R649,1,MATCH(Parametres!$B$3,G$1:R$1,0)-1)*IF(OR(F649="L",F649="S",F649="I"),-1,1),"")</f>
        <v>0</v>
      </c>
      <c r="AM649" s="1030">
        <f t="shared" si="62"/>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t="str">
        <f t="shared" si="63"/>
        <v>H39600</v>
      </c>
      <c r="AU649" s="599" t="str">
        <f t="shared" si="64"/>
        <v>AUTRE DEPARTEMENT</v>
      </c>
      <c r="AV649" s="1030">
        <f>IFERROR(INDEX(V649:AG649,1,MATCH(Parametres!$B$3,V$1:AG$1,0)-1)*IF(OR(C649="L",C649="S",C649="I"),-1,1),"")</f>
        <v>0</v>
      </c>
      <c r="AW649" s="1030">
        <f t="shared" si="65"/>
        <v>0</v>
      </c>
      <c r="AX649" s="1030">
        <f>INDEX(V649:AG649,1,MATCH(Parametres!$B$3,V$1:AG$1,0))*IF(OR(C649="L",C649="S",C649="I"),-1,1)</f>
        <v>0</v>
      </c>
      <c r="AY649" s="598" t="s">
        <v>337</v>
      </c>
      <c r="AZ649" s="598" t="e">
        <f>+VLOOKUP($AJ649,Data_Validation!$A:$E,5,0)</f>
        <v>#N/A</v>
      </c>
    </row>
    <row r="650" spans="1:52" ht="15" customHeight="1">
      <c r="A650" s="832" t="s">
        <v>1150</v>
      </c>
      <c r="B650" s="832">
        <v>2025</v>
      </c>
      <c r="C650" s="832" t="s">
        <v>2433</v>
      </c>
      <c r="D650" s="832" t="s">
        <v>2429</v>
      </c>
      <c r="E650" s="832" t="s">
        <v>333</v>
      </c>
      <c r="F650" s="832" t="s">
        <v>2222</v>
      </c>
      <c r="G650" s="832">
        <v>0</v>
      </c>
      <c r="H650" s="832">
        <v>0</v>
      </c>
      <c r="I650" s="832">
        <v>0</v>
      </c>
      <c r="J650" s="832">
        <v>0</v>
      </c>
      <c r="K650" s="832">
        <v>0</v>
      </c>
      <c r="L650" s="832">
        <v>0</v>
      </c>
      <c r="M650" s="832">
        <v>0</v>
      </c>
      <c r="N650" s="832">
        <v>0</v>
      </c>
      <c r="O650" s="832">
        <v>0</v>
      </c>
      <c r="P650" s="832">
        <v>0</v>
      </c>
      <c r="Q650" s="832">
        <v>0</v>
      </c>
      <c r="R650" s="832">
        <v>0</v>
      </c>
      <c r="S650" s="832">
        <v>0</v>
      </c>
      <c r="T650" s="832">
        <v>0</v>
      </c>
      <c r="U650" s="832">
        <v>0</v>
      </c>
      <c r="V650" s="832">
        <v>0</v>
      </c>
      <c r="W650" s="832">
        <v>0</v>
      </c>
      <c r="X650" s="832">
        <v>0</v>
      </c>
      <c r="Y650" s="832">
        <v>0</v>
      </c>
      <c r="Z650" s="832">
        <v>0</v>
      </c>
      <c r="AA650" s="832">
        <v>0</v>
      </c>
      <c r="AB650" s="832">
        <v>0</v>
      </c>
      <c r="AC650" s="832">
        <v>0</v>
      </c>
      <c r="AD650" s="832">
        <v>0</v>
      </c>
      <c r="AE650" s="832">
        <v>0</v>
      </c>
      <c r="AF650" s="832">
        <v>0</v>
      </c>
      <c r="AG650" s="832">
        <v>0</v>
      </c>
      <c r="AH650" s="832">
        <v>0</v>
      </c>
      <c r="AI650" s="832">
        <v>0</v>
      </c>
      <c r="AJ650" s="1030" t="str">
        <f t="shared" si="60"/>
        <v>H39700</v>
      </c>
      <c r="AK650" s="1030" t="str">
        <f t="shared" si="61"/>
        <v>AUTRE DEPARTEMENT</v>
      </c>
      <c r="AL650" s="1030">
        <f>IFERROR(INDEX(G650:R650,1,MATCH(Parametres!$B$3,G$1:R$1,0)-1)*IF(OR(F650="L",F650="S",F650="I"),-1,1),"")</f>
        <v>0</v>
      </c>
      <c r="AM650" s="1030">
        <f t="shared" si="62"/>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t="str">
        <f t="shared" si="63"/>
        <v>H39700</v>
      </c>
      <c r="AU650" s="599" t="str">
        <f t="shared" si="64"/>
        <v>AUTRE DEPARTEMENT</v>
      </c>
      <c r="AV650" s="1030">
        <f>IFERROR(INDEX(V650:AG650,1,MATCH(Parametres!$B$3,V$1:AG$1,0)-1)*IF(OR(C650="L",C650="S",C650="I"),-1,1),"")</f>
        <v>0</v>
      </c>
      <c r="AW650" s="1030">
        <f t="shared" si="65"/>
        <v>0</v>
      </c>
      <c r="AX650" s="1030">
        <f>INDEX(V650:AG650,1,MATCH(Parametres!$B$3,V$1:AG$1,0))*IF(OR(C650="L",C650="S",C650="I"),-1,1)</f>
        <v>0</v>
      </c>
      <c r="AY650" s="598" t="s">
        <v>337</v>
      </c>
      <c r="AZ650" s="598" t="e">
        <f>+VLOOKUP($AJ650,Data_Validation!$A:$E,5,0)</f>
        <v>#N/A</v>
      </c>
    </row>
    <row r="651" spans="1:52" ht="15" customHeight="1">
      <c r="A651" s="832" t="s">
        <v>1150</v>
      </c>
      <c r="B651" s="832">
        <v>2025</v>
      </c>
      <c r="C651" s="832" t="s">
        <v>2434</v>
      </c>
      <c r="D651" s="832" t="s">
        <v>2429</v>
      </c>
      <c r="E651" s="832" t="s">
        <v>333</v>
      </c>
      <c r="F651" s="832" t="s">
        <v>2222</v>
      </c>
      <c r="G651" s="832">
        <v>0</v>
      </c>
      <c r="H651" s="832">
        <v>0</v>
      </c>
      <c r="I651" s="832">
        <v>0</v>
      </c>
      <c r="J651" s="832">
        <v>0</v>
      </c>
      <c r="K651" s="832">
        <v>0</v>
      </c>
      <c r="L651" s="832">
        <v>0</v>
      </c>
      <c r="M651" s="832">
        <v>0</v>
      </c>
      <c r="N651" s="832">
        <v>0</v>
      </c>
      <c r="O651" s="832">
        <v>0</v>
      </c>
      <c r="P651" s="832">
        <v>0</v>
      </c>
      <c r="Q651" s="832">
        <v>0</v>
      </c>
      <c r="R651" s="832">
        <v>0</v>
      </c>
      <c r="S651" s="832">
        <v>0</v>
      </c>
      <c r="T651" s="832">
        <v>0</v>
      </c>
      <c r="U651" s="832">
        <v>0</v>
      </c>
      <c r="V651" s="832">
        <v>0</v>
      </c>
      <c r="W651" s="832">
        <v>0</v>
      </c>
      <c r="X651" s="832">
        <v>0</v>
      </c>
      <c r="Y651" s="832">
        <v>0</v>
      </c>
      <c r="Z651" s="832">
        <v>0</v>
      </c>
      <c r="AA651" s="832">
        <v>0</v>
      </c>
      <c r="AB651" s="832">
        <v>0</v>
      </c>
      <c r="AC651" s="832">
        <v>0</v>
      </c>
      <c r="AD651" s="832">
        <v>0</v>
      </c>
      <c r="AE651" s="832">
        <v>0</v>
      </c>
      <c r="AF651" s="832">
        <v>0</v>
      </c>
      <c r="AG651" s="832">
        <v>0</v>
      </c>
      <c r="AH651" s="832">
        <v>0</v>
      </c>
      <c r="AI651" s="832">
        <v>0</v>
      </c>
      <c r="AJ651" s="1030" t="str">
        <f t="shared" si="60"/>
        <v>H39800</v>
      </c>
      <c r="AK651" s="1030" t="str">
        <f t="shared" si="61"/>
        <v>AUTRE DEPARTEMENT</v>
      </c>
      <c r="AL651" s="1030">
        <f>IFERROR(INDEX(G651:R651,1,MATCH(Parametres!$B$3,G$1:R$1,0)-1)*IF(OR(F651="L",F651="S",F651="I"),-1,1),"")</f>
        <v>0</v>
      </c>
      <c r="AM651" s="1030">
        <f t="shared" si="62"/>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t="str">
        <f t="shared" si="63"/>
        <v>H39800</v>
      </c>
      <c r="AU651" s="599" t="str">
        <f t="shared" si="64"/>
        <v>AUTRE DEPARTEMENT</v>
      </c>
      <c r="AV651" s="1030">
        <f>IFERROR(INDEX(V651:AG651,1,MATCH(Parametres!$B$3,V$1:AG$1,0)-1)*IF(OR(C651="L",C651="S",C651="I"),-1,1),"")</f>
        <v>0</v>
      </c>
      <c r="AW651" s="1030">
        <f t="shared" si="65"/>
        <v>0</v>
      </c>
      <c r="AX651" s="1030">
        <f>INDEX(V651:AG651,1,MATCH(Parametres!$B$3,V$1:AG$1,0))*IF(OR(C651="L",C651="S",C651="I"),-1,1)</f>
        <v>0</v>
      </c>
      <c r="AY651" s="598" t="s">
        <v>337</v>
      </c>
      <c r="AZ651" s="598" t="e">
        <f>+VLOOKUP($AJ651,Data_Validation!$A:$E,5,0)</f>
        <v>#N/A</v>
      </c>
    </row>
    <row r="652" spans="1:52" ht="15" customHeight="1">
      <c r="A652" s="832" t="s">
        <v>1150</v>
      </c>
      <c r="B652" s="832">
        <v>2025</v>
      </c>
      <c r="C652" s="832" t="s">
        <v>2435</v>
      </c>
      <c r="D652" s="832" t="s">
        <v>2429</v>
      </c>
      <c r="E652" s="832" t="s">
        <v>333</v>
      </c>
      <c r="F652" s="832" t="s">
        <v>2222</v>
      </c>
      <c r="G652" s="832">
        <v>0</v>
      </c>
      <c r="H652" s="832">
        <v>0</v>
      </c>
      <c r="I652" s="832">
        <v>0</v>
      </c>
      <c r="J652" s="832">
        <v>0</v>
      </c>
      <c r="K652" s="832">
        <v>0</v>
      </c>
      <c r="L652" s="832">
        <v>0</v>
      </c>
      <c r="M652" s="832">
        <v>0</v>
      </c>
      <c r="N652" s="832">
        <v>0</v>
      </c>
      <c r="O652" s="832">
        <v>0</v>
      </c>
      <c r="P652" s="832">
        <v>0</v>
      </c>
      <c r="Q652" s="832">
        <v>0</v>
      </c>
      <c r="R652" s="832">
        <v>0</v>
      </c>
      <c r="S652" s="832">
        <v>0</v>
      </c>
      <c r="T652" s="832">
        <v>0</v>
      </c>
      <c r="U652" s="832">
        <v>0</v>
      </c>
      <c r="V652" s="832">
        <v>0</v>
      </c>
      <c r="W652" s="832">
        <v>0</v>
      </c>
      <c r="X652" s="832">
        <v>0</v>
      </c>
      <c r="Y652" s="832">
        <v>0</v>
      </c>
      <c r="Z652" s="832">
        <v>0</v>
      </c>
      <c r="AA652" s="832">
        <v>0</v>
      </c>
      <c r="AB652" s="832">
        <v>0</v>
      </c>
      <c r="AC652" s="832">
        <v>0</v>
      </c>
      <c r="AD652" s="832">
        <v>0</v>
      </c>
      <c r="AE652" s="832">
        <v>0</v>
      </c>
      <c r="AF652" s="832">
        <v>0</v>
      </c>
      <c r="AG652" s="832">
        <v>0</v>
      </c>
      <c r="AH652" s="832">
        <v>0</v>
      </c>
      <c r="AI652" s="832">
        <v>0</v>
      </c>
      <c r="AJ652" s="1030" t="str">
        <f t="shared" si="60"/>
        <v>H39900</v>
      </c>
      <c r="AK652" s="1030" t="str">
        <f t="shared" si="61"/>
        <v>AUTRE DEPARTEMENT</v>
      </c>
      <c r="AL652" s="1030">
        <f>IFERROR(INDEX(G652:R652,1,MATCH(Parametres!$B$3,G$1:R$1,0)-1)*IF(OR(F652="L",F652="S",F652="I"),-1,1),"")</f>
        <v>0</v>
      </c>
      <c r="AM652" s="1030">
        <f t="shared" si="62"/>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t="str">
        <f t="shared" si="63"/>
        <v>H39900</v>
      </c>
      <c r="AU652" s="599" t="str">
        <f t="shared" si="64"/>
        <v>AUTRE DEPARTEMENT</v>
      </c>
      <c r="AV652" s="1030">
        <f>IFERROR(INDEX(V652:AG652,1,MATCH(Parametres!$B$3,V$1:AG$1,0)-1)*IF(OR(C652="L",C652="S",C652="I"),-1,1),"")</f>
        <v>0</v>
      </c>
      <c r="AW652" s="1030">
        <f t="shared" si="65"/>
        <v>0</v>
      </c>
      <c r="AX652" s="1030">
        <f>INDEX(V652:AG652,1,MATCH(Parametres!$B$3,V$1:AG$1,0))*IF(OR(C652="L",C652="S",C652="I"),-1,1)</f>
        <v>0</v>
      </c>
      <c r="AY652" s="598" t="s">
        <v>337</v>
      </c>
      <c r="AZ652" s="598" t="e">
        <f>+VLOOKUP($AJ652,Data_Validation!$A:$E,5,0)</f>
        <v>#N/A</v>
      </c>
    </row>
    <row r="653" spans="1:52" ht="15" customHeight="1">
      <c r="A653" s="832" t="s">
        <v>1150</v>
      </c>
      <c r="B653" s="832">
        <v>2025</v>
      </c>
      <c r="C653" s="832" t="s">
        <v>2436</v>
      </c>
      <c r="D653" s="832" t="s">
        <v>2437</v>
      </c>
      <c r="E653" s="832" t="s">
        <v>1889</v>
      </c>
      <c r="F653" s="832" t="s">
        <v>2438</v>
      </c>
      <c r="G653" s="832">
        <v>0</v>
      </c>
      <c r="H653" s="832">
        <v>0</v>
      </c>
      <c r="I653" s="832">
        <v>0</v>
      </c>
      <c r="J653" s="832">
        <v>0</v>
      </c>
      <c r="K653" s="832">
        <v>0</v>
      </c>
      <c r="L653" s="832">
        <v>0</v>
      </c>
      <c r="M653" s="832">
        <v>0</v>
      </c>
      <c r="N653" s="832">
        <v>0</v>
      </c>
      <c r="O653" s="832">
        <v>0</v>
      </c>
      <c r="P653" s="832">
        <v>0</v>
      </c>
      <c r="Q653" s="832">
        <v>0</v>
      </c>
      <c r="R653" s="832">
        <v>0</v>
      </c>
      <c r="S653" s="832">
        <v>0</v>
      </c>
      <c r="T653" s="832">
        <v>0</v>
      </c>
      <c r="U653" s="832">
        <v>0</v>
      </c>
      <c r="V653" s="832">
        <v>0</v>
      </c>
      <c r="W653" s="832">
        <v>0</v>
      </c>
      <c r="X653" s="832">
        <v>0</v>
      </c>
      <c r="Y653" s="832">
        <v>0</v>
      </c>
      <c r="Z653" s="832">
        <v>0</v>
      </c>
      <c r="AA653" s="832">
        <v>0</v>
      </c>
      <c r="AB653" s="832">
        <v>0</v>
      </c>
      <c r="AC653" s="832">
        <v>0</v>
      </c>
      <c r="AD653" s="832">
        <v>0</v>
      </c>
      <c r="AE653" s="832">
        <v>0</v>
      </c>
      <c r="AF653" s="832">
        <v>0</v>
      </c>
      <c r="AG653" s="832">
        <v>0</v>
      </c>
      <c r="AH653" s="832">
        <v>0</v>
      </c>
      <c r="AI653" s="832">
        <v>0</v>
      </c>
      <c r="AJ653" s="1030" t="str">
        <f t="shared" si="60"/>
        <v>H40100</v>
      </c>
      <c r="AK653" s="1030" t="str">
        <f t="shared" si="61"/>
        <v>CT VEH NF ACCENT 4 PORTES</v>
      </c>
      <c r="AL653" s="1030">
        <f>IFERROR(INDEX(G653:R653,1,MATCH(Parametres!$B$3,G$1:R$1,0)-1)*IF(OR(F653="L",F653="S",F653="I"),-1,1),"")</f>
        <v>0</v>
      </c>
      <c r="AM653" s="1030">
        <f t="shared" si="62"/>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t="str">
        <f t="shared" si="63"/>
        <v>H40100</v>
      </c>
      <c r="AU653" s="599" t="str">
        <f t="shared" si="64"/>
        <v>CT VEH NF ACCENT 4 PORTES</v>
      </c>
      <c r="AV653" s="1030">
        <f>IFERROR(INDEX(V653:AG653,1,MATCH(Parametres!$B$3,V$1:AG$1,0)-1)*IF(OR(C653="L",C653="S",C653="I"),-1,1),"")</f>
        <v>0</v>
      </c>
      <c r="AW653" s="1030">
        <f t="shared" si="65"/>
        <v>0</v>
      </c>
      <c r="AX653" s="1030">
        <f>INDEX(V653:AG653,1,MATCH(Parametres!$B$3,V$1:AG$1,0))*IF(OR(C653="L",C653="S",C653="I"),-1,1)</f>
        <v>0</v>
      </c>
      <c r="AY653" s="598" t="s">
        <v>337</v>
      </c>
      <c r="AZ653" s="598" t="e">
        <f>+VLOOKUP($AJ653,Data_Validation!$A:$E,5,0)</f>
        <v>#N/A</v>
      </c>
    </row>
    <row r="654" spans="1:52" ht="15" customHeight="1">
      <c r="A654" s="832" t="s">
        <v>1150</v>
      </c>
      <c r="B654" s="832">
        <v>2025</v>
      </c>
      <c r="C654" s="832" t="s">
        <v>2439</v>
      </c>
      <c r="D654" s="832" t="s">
        <v>2440</v>
      </c>
      <c r="E654" s="832" t="s">
        <v>1889</v>
      </c>
      <c r="F654" s="832" t="s">
        <v>2438</v>
      </c>
      <c r="G654" s="832">
        <v>0</v>
      </c>
      <c r="H654" s="832">
        <v>0</v>
      </c>
      <c r="I654" s="832">
        <v>0</v>
      </c>
      <c r="J654" s="832">
        <v>0</v>
      </c>
      <c r="K654" s="832">
        <v>0</v>
      </c>
      <c r="L654" s="832">
        <v>0</v>
      </c>
      <c r="M654" s="832">
        <v>0</v>
      </c>
      <c r="N654" s="832">
        <v>0</v>
      </c>
      <c r="O654" s="832">
        <v>0</v>
      </c>
      <c r="P654" s="832">
        <v>0</v>
      </c>
      <c r="Q654" s="832">
        <v>0</v>
      </c>
      <c r="R654" s="832">
        <v>0</v>
      </c>
      <c r="S654" s="832">
        <v>0</v>
      </c>
      <c r="T654" s="832">
        <v>0</v>
      </c>
      <c r="U654" s="832">
        <v>0</v>
      </c>
      <c r="V654" s="832">
        <v>0</v>
      </c>
      <c r="W654" s="832">
        <v>0</v>
      </c>
      <c r="X654" s="832">
        <v>0</v>
      </c>
      <c r="Y654" s="832">
        <v>0</v>
      </c>
      <c r="Z654" s="832">
        <v>0</v>
      </c>
      <c r="AA654" s="832">
        <v>0</v>
      </c>
      <c r="AB654" s="832">
        <v>0</v>
      </c>
      <c r="AC654" s="832">
        <v>0</v>
      </c>
      <c r="AD654" s="832">
        <v>0</v>
      </c>
      <c r="AE654" s="832">
        <v>0</v>
      </c>
      <c r="AF654" s="832">
        <v>0</v>
      </c>
      <c r="AG654" s="832">
        <v>0</v>
      </c>
      <c r="AH654" s="832">
        <v>0</v>
      </c>
      <c r="AI654" s="832">
        <v>0</v>
      </c>
      <c r="AJ654" s="1030" t="str">
        <f t="shared" si="60"/>
        <v>H40101</v>
      </c>
      <c r="AK654" s="1030" t="str">
        <f t="shared" si="61"/>
        <v>CT ACCENT BERLINE 4P</v>
      </c>
      <c r="AL654" s="1030">
        <f>IFERROR(INDEX(G654:R654,1,MATCH(Parametres!$B$3,G$1:R$1,0)-1)*IF(OR(F654="L",F654="S",F654="I"),-1,1),"")</f>
        <v>0</v>
      </c>
      <c r="AM654" s="1030">
        <f t="shared" si="62"/>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t="str">
        <f t="shared" si="63"/>
        <v>H40101</v>
      </c>
      <c r="AU654" s="599" t="str">
        <f t="shared" si="64"/>
        <v>CT ACCENT BERLINE 4P</v>
      </c>
      <c r="AV654" s="1030">
        <f>IFERROR(INDEX(V654:AG654,1,MATCH(Parametres!$B$3,V$1:AG$1,0)-1)*IF(OR(C654="L",C654="S",C654="I"),-1,1),"")</f>
        <v>0</v>
      </c>
      <c r="AW654" s="1030">
        <f t="shared" si="65"/>
        <v>0</v>
      </c>
      <c r="AX654" s="1030">
        <f>INDEX(V654:AG654,1,MATCH(Parametres!$B$3,V$1:AG$1,0))*IF(OR(C654="L",C654="S",C654="I"),-1,1)</f>
        <v>0</v>
      </c>
      <c r="AY654" s="598" t="s">
        <v>337</v>
      </c>
      <c r="AZ654" s="598" t="e">
        <f>+VLOOKUP($AJ654,Data_Validation!$A:$E,5,0)</f>
        <v>#N/A</v>
      </c>
    </row>
    <row r="655" spans="1:52" ht="15" customHeight="1">
      <c r="A655" s="832" t="s">
        <v>1150</v>
      </c>
      <c r="B655" s="832">
        <v>2025</v>
      </c>
      <c r="C655" s="832" t="s">
        <v>2441</v>
      </c>
      <c r="D655" s="832" t="s">
        <v>2442</v>
      </c>
      <c r="E655" s="832" t="s">
        <v>1889</v>
      </c>
      <c r="F655" s="832" t="s">
        <v>2438</v>
      </c>
      <c r="G655" s="832">
        <v>0</v>
      </c>
      <c r="H655" s="832">
        <v>0</v>
      </c>
      <c r="I655" s="832">
        <v>0</v>
      </c>
      <c r="J655" s="832">
        <v>0</v>
      </c>
      <c r="K655" s="832">
        <v>0</v>
      </c>
      <c r="L655" s="832">
        <v>0</v>
      </c>
      <c r="M655" s="832">
        <v>0</v>
      </c>
      <c r="N655" s="832">
        <v>0</v>
      </c>
      <c r="O655" s="832">
        <v>0</v>
      </c>
      <c r="P655" s="832">
        <v>0</v>
      </c>
      <c r="Q655" s="832">
        <v>0</v>
      </c>
      <c r="R655" s="832">
        <v>0</v>
      </c>
      <c r="S655" s="832">
        <v>0</v>
      </c>
      <c r="T655" s="832">
        <v>0</v>
      </c>
      <c r="U655" s="832">
        <v>0</v>
      </c>
      <c r="V655" s="832">
        <v>0</v>
      </c>
      <c r="W655" s="832">
        <v>0</v>
      </c>
      <c r="X655" s="832">
        <v>0</v>
      </c>
      <c r="Y655" s="832">
        <v>0</v>
      </c>
      <c r="Z655" s="832">
        <v>0</v>
      </c>
      <c r="AA655" s="832">
        <v>0</v>
      </c>
      <c r="AB655" s="832">
        <v>0</v>
      </c>
      <c r="AC655" s="832">
        <v>0</v>
      </c>
      <c r="AD655" s="832">
        <v>0</v>
      </c>
      <c r="AE655" s="832">
        <v>0</v>
      </c>
      <c r="AF655" s="832">
        <v>0</v>
      </c>
      <c r="AG655" s="832">
        <v>0</v>
      </c>
      <c r="AH655" s="832">
        <v>0</v>
      </c>
      <c r="AI655" s="832">
        <v>0</v>
      </c>
      <c r="AJ655" s="1030" t="str">
        <f t="shared" si="60"/>
        <v>H40200</v>
      </c>
      <c r="AK655" s="1030" t="str">
        <f t="shared" si="61"/>
        <v>CT VHE NF ACCENT 5 PORTES</v>
      </c>
      <c r="AL655" s="1030">
        <f>IFERROR(INDEX(G655:R655,1,MATCH(Parametres!$B$3,G$1:R$1,0)-1)*IF(OR(F655="L",F655="S",F655="I"),-1,1),"")</f>
        <v>0</v>
      </c>
      <c r="AM655" s="1030">
        <f t="shared" si="62"/>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t="str">
        <f t="shared" si="63"/>
        <v>H40200</v>
      </c>
      <c r="AU655" s="599" t="str">
        <f t="shared" si="64"/>
        <v>CT VHE NF ACCENT 5 PORTES</v>
      </c>
      <c r="AV655" s="1030">
        <f>IFERROR(INDEX(V655:AG655,1,MATCH(Parametres!$B$3,V$1:AG$1,0)-1)*IF(OR(C655="L",C655="S",C655="I"),-1,1),"")</f>
        <v>0</v>
      </c>
      <c r="AW655" s="1030">
        <f t="shared" si="65"/>
        <v>0</v>
      </c>
      <c r="AX655" s="1030">
        <f>INDEX(V655:AG655,1,MATCH(Parametres!$B$3,V$1:AG$1,0))*IF(OR(C655="L",C655="S",C655="I"),-1,1)</f>
        <v>0</v>
      </c>
      <c r="AY655" s="598" t="s">
        <v>337</v>
      </c>
      <c r="AZ655" s="598" t="e">
        <f>+VLOOKUP($AJ655,Data_Validation!$A:$E,5,0)</f>
        <v>#N/A</v>
      </c>
    </row>
    <row r="656" spans="1:52" ht="15" customHeight="1">
      <c r="A656" s="832" t="s">
        <v>1150</v>
      </c>
      <c r="B656" s="832">
        <v>2025</v>
      </c>
      <c r="C656" s="832" t="s">
        <v>2443</v>
      </c>
      <c r="D656" s="832" t="s">
        <v>2444</v>
      </c>
      <c r="E656" s="832" t="s">
        <v>1889</v>
      </c>
      <c r="F656" s="832" t="s">
        <v>2438</v>
      </c>
      <c r="G656" s="832">
        <v>0</v>
      </c>
      <c r="H656" s="832">
        <v>0</v>
      </c>
      <c r="I656" s="832">
        <v>0</v>
      </c>
      <c r="J656" s="832">
        <v>0</v>
      </c>
      <c r="K656" s="832">
        <v>0</v>
      </c>
      <c r="L656" s="832">
        <v>0</v>
      </c>
      <c r="M656" s="832">
        <v>0</v>
      </c>
      <c r="N656" s="832">
        <v>0</v>
      </c>
      <c r="O656" s="832">
        <v>0</v>
      </c>
      <c r="P656" s="832">
        <v>0</v>
      </c>
      <c r="Q656" s="832">
        <v>0</v>
      </c>
      <c r="R656" s="832">
        <v>0</v>
      </c>
      <c r="S656" s="832">
        <v>0</v>
      </c>
      <c r="T656" s="832">
        <v>0</v>
      </c>
      <c r="U656" s="832">
        <v>0</v>
      </c>
      <c r="V656" s="832">
        <v>0</v>
      </c>
      <c r="W656" s="832">
        <v>0</v>
      </c>
      <c r="X656" s="832">
        <v>0</v>
      </c>
      <c r="Y656" s="832">
        <v>0</v>
      </c>
      <c r="Z656" s="832">
        <v>0</v>
      </c>
      <c r="AA656" s="832">
        <v>0</v>
      </c>
      <c r="AB656" s="832">
        <v>0</v>
      </c>
      <c r="AC656" s="832">
        <v>0</v>
      </c>
      <c r="AD656" s="832">
        <v>0</v>
      </c>
      <c r="AE656" s="832">
        <v>0</v>
      </c>
      <c r="AF656" s="832">
        <v>0</v>
      </c>
      <c r="AG656" s="832">
        <v>0</v>
      </c>
      <c r="AH656" s="832">
        <v>0</v>
      </c>
      <c r="AI656" s="832">
        <v>0</v>
      </c>
      <c r="AJ656" s="1030" t="str">
        <f t="shared" si="60"/>
        <v>H40300</v>
      </c>
      <c r="AK656" s="1030" t="str">
        <f t="shared" si="61"/>
        <v>CT VEH NF GENESIS COUPE</v>
      </c>
      <c r="AL656" s="1030">
        <f>IFERROR(INDEX(G656:R656,1,MATCH(Parametres!$B$3,G$1:R$1,0)-1)*IF(OR(F656="L",F656="S",F656="I"),-1,1),"")</f>
        <v>0</v>
      </c>
      <c r="AM656" s="1030">
        <f t="shared" si="62"/>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t="str">
        <f t="shared" si="63"/>
        <v>H40300</v>
      </c>
      <c r="AU656" s="599" t="str">
        <f t="shared" si="64"/>
        <v>CT VEH NF GENESIS COUPE</v>
      </c>
      <c r="AV656" s="1030">
        <f>IFERROR(INDEX(V656:AG656,1,MATCH(Parametres!$B$3,V$1:AG$1,0)-1)*IF(OR(C656="L",C656="S",C656="I"),-1,1),"")</f>
        <v>0</v>
      </c>
      <c r="AW656" s="1030">
        <f t="shared" si="65"/>
        <v>0</v>
      </c>
      <c r="AX656" s="1030">
        <f>INDEX(V656:AG656,1,MATCH(Parametres!$B$3,V$1:AG$1,0))*IF(OR(C656="L",C656="S",C656="I"),-1,1)</f>
        <v>0</v>
      </c>
      <c r="AY656" s="598" t="s">
        <v>337</v>
      </c>
      <c r="AZ656" s="598" t="e">
        <f>+VLOOKUP($AJ656,Data_Validation!$A:$E,5,0)</f>
        <v>#N/A</v>
      </c>
    </row>
    <row r="657" spans="1:52" ht="15" customHeight="1">
      <c r="A657" s="832" t="s">
        <v>1150</v>
      </c>
      <c r="B657" s="832">
        <v>2025</v>
      </c>
      <c r="C657" s="832" t="s">
        <v>2445</v>
      </c>
      <c r="D657" s="832" t="s">
        <v>2446</v>
      </c>
      <c r="E657" s="832" t="s">
        <v>1889</v>
      </c>
      <c r="F657" s="832" t="s">
        <v>2438</v>
      </c>
      <c r="G657" s="832">
        <v>0</v>
      </c>
      <c r="H657" s="832">
        <v>0</v>
      </c>
      <c r="I657" s="832">
        <v>103313.23</v>
      </c>
      <c r="J657" s="832">
        <v>155019.23000000001</v>
      </c>
      <c r="K657" s="832">
        <v>205359.23</v>
      </c>
      <c r="L657" s="832">
        <v>368118.1</v>
      </c>
      <c r="M657" s="832">
        <v>368118.1</v>
      </c>
      <c r="N657" s="832">
        <v>412120.1</v>
      </c>
      <c r="O657" s="832">
        <v>645107.06000000006</v>
      </c>
      <c r="P657" s="832">
        <v>645107.06000000006</v>
      </c>
      <c r="Q657" s="832">
        <v>692612.81</v>
      </c>
      <c r="R657" s="832">
        <v>751862.59</v>
      </c>
      <c r="S657" s="832">
        <v>62964.800000000003</v>
      </c>
      <c r="T657" s="832">
        <v>62964.800000000003</v>
      </c>
      <c r="U657" s="832">
        <v>0</v>
      </c>
      <c r="V657" s="832">
        <v>0</v>
      </c>
      <c r="W657" s="832">
        <v>0</v>
      </c>
      <c r="X657" s="832">
        <v>0</v>
      </c>
      <c r="Y657" s="832">
        <v>0</v>
      </c>
      <c r="Z657" s="832">
        <v>0</v>
      </c>
      <c r="AA657" s="832">
        <v>0</v>
      </c>
      <c r="AB657" s="832">
        <v>0</v>
      </c>
      <c r="AC657" s="832">
        <v>0</v>
      </c>
      <c r="AD657" s="832">
        <v>0</v>
      </c>
      <c r="AE657" s="832">
        <v>0</v>
      </c>
      <c r="AF657" s="832">
        <v>0</v>
      </c>
      <c r="AG657" s="832">
        <v>0</v>
      </c>
      <c r="AH657" s="832">
        <v>0</v>
      </c>
      <c r="AI657" s="832">
        <v>0</v>
      </c>
      <c r="AJ657" s="1030" t="str">
        <f t="shared" si="60"/>
        <v>H40400</v>
      </c>
      <c r="AK657" s="1030" t="str">
        <f t="shared" si="61"/>
        <v>CT SANTA FE</v>
      </c>
      <c r="AL657" s="1030">
        <f>IFERROR(INDEX(G657:R657,1,MATCH(Parametres!$B$3,G$1:R$1,0)-1)*IF(OR(F657="L",F657="S",F657="I"),-1,1),"")</f>
        <v>155019.23000000001</v>
      </c>
      <c r="AM657" s="1030">
        <f t="shared" si="62"/>
        <v>50340</v>
      </c>
      <c r="AN657" s="1030">
        <f>INDEX(G657:R657,1,MATCH(Parametres!$B$3,G$1:R$1,0))*IF(OR(F657="L",F657="S",F657="I"),-1,1)</f>
        <v>205359.23</v>
      </c>
      <c r="AO657" s="598" t="str">
        <f>+VLOOKUP($AJ657,Data_Validation!$A:$D,1,0)</f>
        <v>H40400</v>
      </c>
      <c r="AP657" s="598" t="str">
        <f>+VLOOKUP($AJ657,Data_Validation!$A:$D,3,0)</f>
        <v>Véhicules neufs</v>
      </c>
      <c r="AQ657" s="598" t="str">
        <f>+VLOOKUP($AJ657,Data_Validation!$A:$D,4,0)</f>
        <v>Camions détail</v>
      </c>
      <c r="AR657" s="598" t="s">
        <v>299</v>
      </c>
      <c r="AS657" s="598">
        <f>+VLOOKUP($AJ657,Data_Validation!$A:$E,5,0)</f>
        <v>0</v>
      </c>
      <c r="AT657" s="1036" t="str">
        <f t="shared" si="63"/>
        <v>H40400</v>
      </c>
      <c r="AU657" s="599" t="str">
        <f t="shared" si="64"/>
        <v>CT SANTA FE</v>
      </c>
      <c r="AV657" s="1030">
        <f>IFERROR(INDEX(V657:AG657,1,MATCH(Parametres!$B$3,V$1:AG$1,0)-1)*IF(OR(C657="L",C657="S",C657="I"),-1,1),"")</f>
        <v>0</v>
      </c>
      <c r="AW657" s="1030">
        <f t="shared" si="65"/>
        <v>0</v>
      </c>
      <c r="AX657" s="1030">
        <f>INDEX(V657:AG657,1,MATCH(Parametres!$B$3,V$1:AG$1,0))*IF(OR(C657="L",C657="S",C657="I"),-1,1)</f>
        <v>0</v>
      </c>
      <c r="AY657" s="598" t="s">
        <v>337</v>
      </c>
      <c r="AZ657" s="598">
        <f>+VLOOKUP($AJ657,Data_Validation!$A:$E,5,0)</f>
        <v>0</v>
      </c>
    </row>
    <row r="658" spans="1:52" ht="15" customHeight="1">
      <c r="A658" s="832" t="s">
        <v>1150</v>
      </c>
      <c r="B658" s="832">
        <v>2025</v>
      </c>
      <c r="C658" s="832" t="s">
        <v>2447</v>
      </c>
      <c r="D658" s="832" t="s">
        <v>2448</v>
      </c>
      <c r="E658" s="832" t="s">
        <v>1889</v>
      </c>
      <c r="F658" s="832" t="s">
        <v>2438</v>
      </c>
      <c r="G658" s="832">
        <v>0</v>
      </c>
      <c r="H658" s="832">
        <v>0</v>
      </c>
      <c r="I658" s="832">
        <v>0</v>
      </c>
      <c r="J658" s="832">
        <v>0</v>
      </c>
      <c r="K658" s="832">
        <v>0</v>
      </c>
      <c r="L658" s="832">
        <v>0</v>
      </c>
      <c r="M658" s="832">
        <v>0</v>
      </c>
      <c r="N658" s="832">
        <v>0</v>
      </c>
      <c r="O658" s="832">
        <v>0</v>
      </c>
      <c r="P658" s="832">
        <v>0</v>
      </c>
      <c r="Q658" s="832">
        <v>0</v>
      </c>
      <c r="R658" s="832">
        <v>0</v>
      </c>
      <c r="S658" s="832">
        <v>0</v>
      </c>
      <c r="T658" s="832">
        <v>0</v>
      </c>
      <c r="U658" s="832">
        <v>0</v>
      </c>
      <c r="V658" s="832">
        <v>0</v>
      </c>
      <c r="W658" s="832">
        <v>0</v>
      </c>
      <c r="X658" s="832">
        <v>0</v>
      </c>
      <c r="Y658" s="832">
        <v>0</v>
      </c>
      <c r="Z658" s="832">
        <v>0</v>
      </c>
      <c r="AA658" s="832">
        <v>0</v>
      </c>
      <c r="AB658" s="832">
        <v>0</v>
      </c>
      <c r="AC658" s="832">
        <v>0</v>
      </c>
      <c r="AD658" s="832">
        <v>0</v>
      </c>
      <c r="AE658" s="832">
        <v>0</v>
      </c>
      <c r="AF658" s="832">
        <v>0</v>
      </c>
      <c r="AG658" s="832">
        <v>0</v>
      </c>
      <c r="AH658" s="832">
        <v>0</v>
      </c>
      <c r="AI658" s="832">
        <v>0</v>
      </c>
      <c r="AJ658" s="1030" t="str">
        <f t="shared" si="60"/>
        <v>H40401</v>
      </c>
      <c r="AK658" s="1030" t="str">
        <f t="shared" si="61"/>
        <v>CT SANTA FE XL</v>
      </c>
      <c r="AL658" s="1030">
        <f>IFERROR(INDEX(G658:R658,1,MATCH(Parametres!$B$3,G$1:R$1,0)-1)*IF(OR(F658="L",F658="S",F658="I"),-1,1),"")</f>
        <v>0</v>
      </c>
      <c r="AM658" s="1030">
        <f t="shared" si="62"/>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t="str">
        <f t="shared" si="63"/>
        <v>H40401</v>
      </c>
      <c r="AU658" s="599" t="str">
        <f t="shared" si="64"/>
        <v>CT SANTA FE XL</v>
      </c>
      <c r="AV658" s="1030">
        <f>IFERROR(INDEX(V658:AG658,1,MATCH(Parametres!$B$3,V$1:AG$1,0)-1)*IF(OR(C658="L",C658="S",C658="I"),-1,1),"")</f>
        <v>0</v>
      </c>
      <c r="AW658" s="1030">
        <f t="shared" si="65"/>
        <v>0</v>
      </c>
      <c r="AX658" s="1030">
        <f>INDEX(V658:AG658,1,MATCH(Parametres!$B$3,V$1:AG$1,0))*IF(OR(C658="L",C658="S",C658="I"),-1,1)</f>
        <v>0</v>
      </c>
      <c r="AY658" s="598" t="s">
        <v>337</v>
      </c>
      <c r="AZ658" s="598" t="e">
        <f>+VLOOKUP($AJ658,Data_Validation!$A:$E,5,0)</f>
        <v>#N/A</v>
      </c>
    </row>
    <row r="659" spans="1:52" ht="15" customHeight="1">
      <c r="A659" s="832" t="s">
        <v>1150</v>
      </c>
      <c r="B659" s="832">
        <v>2025</v>
      </c>
      <c r="C659" s="832" t="s">
        <v>2449</v>
      </c>
      <c r="D659" s="832" t="s">
        <v>2450</v>
      </c>
      <c r="E659" s="832" t="s">
        <v>1889</v>
      </c>
      <c r="F659" s="832" t="s">
        <v>2438</v>
      </c>
      <c r="G659" s="832">
        <v>235121.72</v>
      </c>
      <c r="H659" s="832">
        <v>235121.72</v>
      </c>
      <c r="I659" s="832">
        <v>369452.18</v>
      </c>
      <c r="J659" s="832">
        <v>551900.57999999996</v>
      </c>
      <c r="K659" s="832">
        <v>812167.42</v>
      </c>
      <c r="L659" s="832">
        <v>991729.91</v>
      </c>
      <c r="M659" s="832">
        <v>1082969.69</v>
      </c>
      <c r="N659" s="832">
        <v>1082969.69</v>
      </c>
      <c r="O659" s="832">
        <v>1129246.69</v>
      </c>
      <c r="P659" s="832">
        <v>1176798.69</v>
      </c>
      <c r="Q659" s="832">
        <v>1176798.69</v>
      </c>
      <c r="R659" s="832">
        <v>1231890.72</v>
      </c>
      <c r="S659" s="832">
        <v>106981.7</v>
      </c>
      <c r="T659" s="832">
        <v>106981.7</v>
      </c>
      <c r="U659" s="832">
        <v>0</v>
      </c>
      <c r="V659" s="832">
        <v>0</v>
      </c>
      <c r="W659" s="832">
        <v>0</v>
      </c>
      <c r="X659" s="832">
        <v>0</v>
      </c>
      <c r="Y659" s="832">
        <v>0</v>
      </c>
      <c r="Z659" s="832">
        <v>0</v>
      </c>
      <c r="AA659" s="832">
        <v>0</v>
      </c>
      <c r="AB659" s="832">
        <v>0</v>
      </c>
      <c r="AC659" s="832">
        <v>0</v>
      </c>
      <c r="AD659" s="832">
        <v>0</v>
      </c>
      <c r="AE659" s="832">
        <v>0</v>
      </c>
      <c r="AF659" s="832">
        <v>0</v>
      </c>
      <c r="AG659" s="832">
        <v>0</v>
      </c>
      <c r="AH659" s="832">
        <v>0</v>
      </c>
      <c r="AI659" s="832">
        <v>0</v>
      </c>
      <c r="AJ659" s="1030" t="str">
        <f t="shared" ref="AJ659:AJ722" si="66">C659</f>
        <v>H40402</v>
      </c>
      <c r="AK659" s="1030" t="str">
        <f t="shared" ref="AK659:AK722" si="67">D659</f>
        <v>CT SANTA FE HYBRIDE</v>
      </c>
      <c r="AL659" s="1030">
        <f>IFERROR(INDEX(G659:R659,1,MATCH(Parametres!$B$3,G$1:R$1,0)-1)*IF(OR(F659="L",F659="S",F659="I"),-1,1),"")</f>
        <v>551900.57999999996</v>
      </c>
      <c r="AM659" s="1030">
        <f t="shared" si="62"/>
        <v>260266.84000000008</v>
      </c>
      <c r="AN659" s="1030">
        <f>INDEX(G659:R659,1,MATCH(Parametres!$B$3,G$1:R$1,0))*IF(OR(F659="L",F659="S",F659="I"),-1,1)</f>
        <v>812167.42</v>
      </c>
      <c r="AO659" s="598" t="str">
        <f>+VLOOKUP($AJ659,Data_Validation!$A:$D,1,0)</f>
        <v>H40402</v>
      </c>
      <c r="AP659" s="598" t="str">
        <f>+VLOOKUP($AJ659,Data_Validation!$A:$D,3,0)</f>
        <v>Véhicules neufs</v>
      </c>
      <c r="AQ659" s="598" t="str">
        <f>+VLOOKUP($AJ659,Data_Validation!$A:$D,4,0)</f>
        <v>Camions détail</v>
      </c>
      <c r="AR659" s="598" t="s">
        <v>299</v>
      </c>
      <c r="AS659" s="598">
        <f>+VLOOKUP($AJ659,Data_Validation!$A:$E,5,0)</f>
        <v>0</v>
      </c>
      <c r="AT659" s="1036" t="str">
        <f t="shared" si="63"/>
        <v>H40402</v>
      </c>
      <c r="AU659" s="599" t="str">
        <f t="shared" si="64"/>
        <v>CT SANTA FE HYBRIDE</v>
      </c>
      <c r="AV659" s="1030">
        <f>IFERROR(INDEX(V659:AG659,1,MATCH(Parametres!$B$3,V$1:AG$1,0)-1)*IF(OR(C659="L",C659="S",C659="I"),-1,1),"")</f>
        <v>0</v>
      </c>
      <c r="AW659" s="1030">
        <f t="shared" si="65"/>
        <v>0</v>
      </c>
      <c r="AX659" s="1030">
        <f>INDEX(V659:AG659,1,MATCH(Parametres!$B$3,V$1:AG$1,0))*IF(OR(C659="L",C659="S",C659="I"),-1,1)</f>
        <v>0</v>
      </c>
      <c r="AY659" s="598" t="s">
        <v>337</v>
      </c>
      <c r="AZ659" s="598">
        <f>+VLOOKUP($AJ659,Data_Validation!$A:$E,5,0)</f>
        <v>0</v>
      </c>
    </row>
    <row r="660" spans="1:52" ht="15" customHeight="1">
      <c r="A660" s="832" t="s">
        <v>1150</v>
      </c>
      <c r="B660" s="832">
        <v>2025</v>
      </c>
      <c r="C660" s="832" t="s">
        <v>2451</v>
      </c>
      <c r="D660" s="832" t="s">
        <v>2452</v>
      </c>
      <c r="E660" s="832" t="s">
        <v>1889</v>
      </c>
      <c r="F660" s="832" t="s">
        <v>2438</v>
      </c>
      <c r="G660" s="832">
        <v>0</v>
      </c>
      <c r="H660" s="832">
        <v>0</v>
      </c>
      <c r="I660" s="832">
        <v>0</v>
      </c>
      <c r="J660" s="832">
        <v>0</v>
      </c>
      <c r="K660" s="832">
        <v>0</v>
      </c>
      <c r="L660" s="832">
        <v>0</v>
      </c>
      <c r="M660" s="832">
        <v>0</v>
      </c>
      <c r="N660" s="832">
        <v>0</v>
      </c>
      <c r="O660" s="832">
        <v>0</v>
      </c>
      <c r="P660" s="832">
        <v>0</v>
      </c>
      <c r="Q660" s="832">
        <v>0</v>
      </c>
      <c r="R660" s="832">
        <v>0</v>
      </c>
      <c r="S660" s="832">
        <v>0</v>
      </c>
      <c r="T660" s="832">
        <v>0</v>
      </c>
      <c r="U660" s="832">
        <v>0</v>
      </c>
      <c r="V660" s="832">
        <v>0</v>
      </c>
      <c r="W660" s="832">
        <v>0</v>
      </c>
      <c r="X660" s="832">
        <v>0</v>
      </c>
      <c r="Y660" s="832">
        <v>0</v>
      </c>
      <c r="Z660" s="832">
        <v>0</v>
      </c>
      <c r="AA660" s="832">
        <v>0</v>
      </c>
      <c r="AB660" s="832">
        <v>0</v>
      </c>
      <c r="AC660" s="832">
        <v>0</v>
      </c>
      <c r="AD660" s="832">
        <v>0</v>
      </c>
      <c r="AE660" s="832">
        <v>0</v>
      </c>
      <c r="AF660" s="832">
        <v>0</v>
      </c>
      <c r="AG660" s="832">
        <v>0</v>
      </c>
      <c r="AH660" s="832">
        <v>0</v>
      </c>
      <c r="AI660" s="832">
        <v>0</v>
      </c>
      <c r="AJ660" s="1030" t="str">
        <f t="shared" si="66"/>
        <v>H40403</v>
      </c>
      <c r="AK660" s="1030" t="str">
        <f t="shared" si="67"/>
        <v>CT VENTE SANTA FE PHEV</v>
      </c>
      <c r="AL660" s="1030">
        <f>IFERROR(INDEX(G660:R660,1,MATCH(Parametres!$B$3,G$1:R$1,0)-1)*IF(OR(F660="L",F660="S",F660="I"),-1,1),"")</f>
        <v>0</v>
      </c>
      <c r="AM660" s="1030">
        <f t="shared" si="62"/>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t="str">
        <f t="shared" si="63"/>
        <v>H40403</v>
      </c>
      <c r="AU660" s="599" t="str">
        <f t="shared" si="64"/>
        <v>CT VENTE SANTA FE PHEV</v>
      </c>
      <c r="AV660" s="1030">
        <f>IFERROR(INDEX(V660:AG660,1,MATCH(Parametres!$B$3,V$1:AG$1,0)-1)*IF(OR(C660="L",C660="S",C660="I"),-1,1),"")</f>
        <v>0</v>
      </c>
      <c r="AW660" s="1030">
        <f t="shared" si="65"/>
        <v>0</v>
      </c>
      <c r="AX660" s="1030">
        <f>INDEX(V660:AG660,1,MATCH(Parametres!$B$3,V$1:AG$1,0))*IF(OR(C660="L",C660="S",C660="I"),-1,1)</f>
        <v>0</v>
      </c>
      <c r="AY660" s="598" t="s">
        <v>337</v>
      </c>
      <c r="AZ660" s="598" t="e">
        <f>+VLOOKUP($AJ660,Data_Validation!$A:$E,5,0)</f>
        <v>#N/A</v>
      </c>
    </row>
    <row r="661" spans="1:52" ht="15" customHeight="1">
      <c r="A661" s="832" t="s">
        <v>1150</v>
      </c>
      <c r="B661" s="832">
        <v>2025</v>
      </c>
      <c r="C661" s="832" t="s">
        <v>2453</v>
      </c>
      <c r="D661" s="832" t="s">
        <v>2454</v>
      </c>
      <c r="E661" s="832" t="s">
        <v>1889</v>
      </c>
      <c r="F661" s="832" t="s">
        <v>2438</v>
      </c>
      <c r="G661" s="832">
        <v>0</v>
      </c>
      <c r="H661" s="832">
        <v>0</v>
      </c>
      <c r="I661" s="832">
        <v>0</v>
      </c>
      <c r="J661" s="832">
        <v>0</v>
      </c>
      <c r="K661" s="832">
        <v>0</v>
      </c>
      <c r="L661" s="832">
        <v>0</v>
      </c>
      <c r="M661" s="832">
        <v>0</v>
      </c>
      <c r="N661" s="832">
        <v>0</v>
      </c>
      <c r="O661" s="832">
        <v>0</v>
      </c>
      <c r="P661" s="832">
        <v>0</v>
      </c>
      <c r="Q661" s="832">
        <v>0</v>
      </c>
      <c r="R661" s="832">
        <v>0</v>
      </c>
      <c r="S661" s="832">
        <v>0</v>
      </c>
      <c r="T661" s="832">
        <v>0</v>
      </c>
      <c r="U661" s="832">
        <v>0</v>
      </c>
      <c r="V661" s="832">
        <v>0</v>
      </c>
      <c r="W661" s="832">
        <v>0</v>
      </c>
      <c r="X661" s="832">
        <v>0</v>
      </c>
      <c r="Y661" s="832">
        <v>0</v>
      </c>
      <c r="Z661" s="832">
        <v>0</v>
      </c>
      <c r="AA661" s="832">
        <v>0</v>
      </c>
      <c r="AB661" s="832">
        <v>0</v>
      </c>
      <c r="AC661" s="832">
        <v>0</v>
      </c>
      <c r="AD661" s="832">
        <v>0</v>
      </c>
      <c r="AE661" s="832">
        <v>0</v>
      </c>
      <c r="AF661" s="832">
        <v>0</v>
      </c>
      <c r="AG661" s="832">
        <v>0</v>
      </c>
      <c r="AH661" s="832">
        <v>0</v>
      </c>
      <c r="AI661" s="832">
        <v>0</v>
      </c>
      <c r="AJ661" s="1030" t="str">
        <f t="shared" si="66"/>
        <v>H40410</v>
      </c>
      <c r="AK661" s="1030" t="str">
        <f t="shared" si="67"/>
        <v>CT SANTA FE  LWB</v>
      </c>
      <c r="AL661" s="1030">
        <f>IFERROR(INDEX(G661:R661,1,MATCH(Parametres!$B$3,G$1:R$1,0)-1)*IF(OR(F661="L",F661="S",F661="I"),-1,1),"")</f>
        <v>0</v>
      </c>
      <c r="AM661" s="1030">
        <f t="shared" si="62"/>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t="str">
        <f t="shared" si="63"/>
        <v>H40410</v>
      </c>
      <c r="AU661" s="599" t="str">
        <f t="shared" si="64"/>
        <v>CT SANTA FE  LWB</v>
      </c>
      <c r="AV661" s="1030">
        <f>IFERROR(INDEX(V661:AG661,1,MATCH(Parametres!$B$3,V$1:AG$1,0)-1)*IF(OR(C661="L",C661="S",C661="I"),-1,1),"")</f>
        <v>0</v>
      </c>
      <c r="AW661" s="1030">
        <f t="shared" si="65"/>
        <v>0</v>
      </c>
      <c r="AX661" s="1030">
        <f>INDEX(V661:AG661,1,MATCH(Parametres!$B$3,V$1:AG$1,0))*IF(OR(C661="L",C661="S",C661="I"),-1,1)</f>
        <v>0</v>
      </c>
      <c r="AY661" s="598" t="s">
        <v>337</v>
      </c>
      <c r="AZ661" s="598" t="e">
        <f>+VLOOKUP($AJ661,Data_Validation!$A:$E,5,0)</f>
        <v>#N/A</v>
      </c>
    </row>
    <row r="662" spans="1:52" ht="15" customHeight="1">
      <c r="A662" s="832" t="s">
        <v>1150</v>
      </c>
      <c r="B662" s="832">
        <v>2025</v>
      </c>
      <c r="C662" s="832" t="s">
        <v>2455</v>
      </c>
      <c r="D662" s="832" t="s">
        <v>2456</v>
      </c>
      <c r="E662" s="832" t="s">
        <v>1889</v>
      </c>
      <c r="F662" s="832" t="s">
        <v>2438</v>
      </c>
      <c r="G662" s="832">
        <v>0</v>
      </c>
      <c r="H662" s="832">
        <v>0</v>
      </c>
      <c r="I662" s="832">
        <v>0</v>
      </c>
      <c r="J662" s="832">
        <v>0</v>
      </c>
      <c r="K662" s="832">
        <v>0</v>
      </c>
      <c r="L662" s="832">
        <v>0</v>
      </c>
      <c r="M662" s="832">
        <v>0</v>
      </c>
      <c r="N662" s="832">
        <v>0</v>
      </c>
      <c r="O662" s="832">
        <v>0</v>
      </c>
      <c r="P662" s="832">
        <v>0</v>
      </c>
      <c r="Q662" s="832">
        <v>0</v>
      </c>
      <c r="R662" s="832">
        <v>0</v>
      </c>
      <c r="S662" s="832">
        <v>0</v>
      </c>
      <c r="T662" s="832">
        <v>0</v>
      </c>
      <c r="U662" s="832">
        <v>0</v>
      </c>
      <c r="V662" s="832">
        <v>0</v>
      </c>
      <c r="W662" s="832">
        <v>0</v>
      </c>
      <c r="X662" s="832">
        <v>0</v>
      </c>
      <c r="Y662" s="832">
        <v>0</v>
      </c>
      <c r="Z662" s="832">
        <v>0</v>
      </c>
      <c r="AA662" s="832">
        <v>0</v>
      </c>
      <c r="AB662" s="832">
        <v>0</v>
      </c>
      <c r="AC662" s="832">
        <v>0</v>
      </c>
      <c r="AD662" s="832">
        <v>0</v>
      </c>
      <c r="AE662" s="832">
        <v>0</v>
      </c>
      <c r="AF662" s="832">
        <v>0</v>
      </c>
      <c r="AG662" s="832">
        <v>0</v>
      </c>
      <c r="AH662" s="832">
        <v>0</v>
      </c>
      <c r="AI662" s="832">
        <v>0</v>
      </c>
      <c r="AJ662" s="1030" t="str">
        <f t="shared" si="66"/>
        <v>H40500</v>
      </c>
      <c r="AK662" s="1030" t="str">
        <f t="shared" si="67"/>
        <v>CT SONATA HYBRYDE</v>
      </c>
      <c r="AL662" s="1030">
        <f>IFERROR(INDEX(G662:R662,1,MATCH(Parametres!$B$3,G$1:R$1,0)-1)*IF(OR(F662="L",F662="S",F662="I"),-1,1),"")</f>
        <v>0</v>
      </c>
      <c r="AM662" s="1030">
        <f t="shared" si="62"/>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t="str">
        <f t="shared" si="63"/>
        <v>H40500</v>
      </c>
      <c r="AU662" s="599" t="str">
        <f t="shared" si="64"/>
        <v>CT SONATA HYBRYDE</v>
      </c>
      <c r="AV662" s="1030">
        <f>IFERROR(INDEX(V662:AG662,1,MATCH(Parametres!$B$3,V$1:AG$1,0)-1)*IF(OR(C662="L",C662="S",C662="I"),-1,1),"")</f>
        <v>0</v>
      </c>
      <c r="AW662" s="1030">
        <f t="shared" si="65"/>
        <v>0</v>
      </c>
      <c r="AX662" s="1030">
        <f>INDEX(V662:AG662,1,MATCH(Parametres!$B$3,V$1:AG$1,0))*IF(OR(C662="L",C662="S",C662="I"),-1,1)</f>
        <v>0</v>
      </c>
      <c r="AY662" s="598" t="s">
        <v>337</v>
      </c>
      <c r="AZ662" s="598" t="e">
        <f>+VLOOKUP($AJ662,Data_Validation!$A:$E,5,0)</f>
        <v>#N/A</v>
      </c>
    </row>
    <row r="663" spans="1:52" ht="15" customHeight="1">
      <c r="A663" s="832" t="s">
        <v>1150</v>
      </c>
      <c r="B663" s="832">
        <v>2025</v>
      </c>
      <c r="C663" s="832" t="s">
        <v>2457</v>
      </c>
      <c r="D663" s="832" t="s">
        <v>2458</v>
      </c>
      <c r="E663" s="832" t="s">
        <v>1889</v>
      </c>
      <c r="F663" s="832" t="s">
        <v>2438</v>
      </c>
      <c r="G663" s="832">
        <v>0</v>
      </c>
      <c r="H663" s="832">
        <v>0</v>
      </c>
      <c r="I663" s="832">
        <v>0</v>
      </c>
      <c r="J663" s="832">
        <v>0</v>
      </c>
      <c r="K663" s="832">
        <v>0</v>
      </c>
      <c r="L663" s="832">
        <v>0</v>
      </c>
      <c r="M663" s="832">
        <v>0</v>
      </c>
      <c r="N663" s="832">
        <v>0</v>
      </c>
      <c r="O663" s="832">
        <v>0</v>
      </c>
      <c r="P663" s="832">
        <v>0</v>
      </c>
      <c r="Q663" s="832">
        <v>0</v>
      </c>
      <c r="R663" s="832">
        <v>0</v>
      </c>
      <c r="S663" s="832">
        <v>0</v>
      </c>
      <c r="T663" s="832">
        <v>0</v>
      </c>
      <c r="U663" s="832">
        <v>0</v>
      </c>
      <c r="V663" s="832">
        <v>0</v>
      </c>
      <c r="W663" s="832">
        <v>0</v>
      </c>
      <c r="X663" s="832">
        <v>0</v>
      </c>
      <c r="Y663" s="832">
        <v>0</v>
      </c>
      <c r="Z663" s="832">
        <v>0</v>
      </c>
      <c r="AA663" s="832">
        <v>0</v>
      </c>
      <c r="AB663" s="832">
        <v>0</v>
      </c>
      <c r="AC663" s="832">
        <v>0</v>
      </c>
      <c r="AD663" s="832">
        <v>0</v>
      </c>
      <c r="AE663" s="832">
        <v>0</v>
      </c>
      <c r="AF663" s="832">
        <v>0</v>
      </c>
      <c r="AG663" s="832">
        <v>0</v>
      </c>
      <c r="AH663" s="832">
        <v>0</v>
      </c>
      <c r="AI663" s="832">
        <v>0</v>
      </c>
      <c r="AJ663" s="1030" t="str">
        <f t="shared" si="66"/>
        <v>H40600</v>
      </c>
      <c r="AK663" s="1030" t="str">
        <f t="shared" si="67"/>
        <v>CT ELANTRA  TOURING</v>
      </c>
      <c r="AL663" s="1030">
        <f>IFERROR(INDEX(G663:R663,1,MATCH(Parametres!$B$3,G$1:R$1,0)-1)*IF(OR(F663="L",F663="S",F663="I"),-1,1),"")</f>
        <v>0</v>
      </c>
      <c r="AM663" s="1030">
        <f t="shared" si="62"/>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t="str">
        <f t="shared" si="63"/>
        <v>H40600</v>
      </c>
      <c r="AU663" s="599" t="str">
        <f t="shared" si="64"/>
        <v>CT ELANTRA  TOURING</v>
      </c>
      <c r="AV663" s="1030">
        <f>IFERROR(INDEX(V663:AG663,1,MATCH(Parametres!$B$3,V$1:AG$1,0)-1)*IF(OR(C663="L",C663="S",C663="I"),-1,1),"")</f>
        <v>0</v>
      </c>
      <c r="AW663" s="1030">
        <f t="shared" si="65"/>
        <v>0</v>
      </c>
      <c r="AX663" s="1030">
        <f>INDEX(V663:AG663,1,MATCH(Parametres!$B$3,V$1:AG$1,0))*IF(OR(C663="L",C663="S",C663="I"),-1,1)</f>
        <v>0</v>
      </c>
      <c r="AY663" s="598" t="s">
        <v>337</v>
      </c>
      <c r="AZ663" s="598" t="e">
        <f>+VLOOKUP($AJ663,Data_Validation!$A:$E,5,0)</f>
        <v>#N/A</v>
      </c>
    </row>
    <row r="664" spans="1:52" ht="15" customHeight="1">
      <c r="A664" s="832" t="s">
        <v>1150</v>
      </c>
      <c r="B664" s="832">
        <v>2025</v>
      </c>
      <c r="C664" s="832" t="s">
        <v>2459</v>
      </c>
      <c r="D664" s="832" t="s">
        <v>2460</v>
      </c>
      <c r="E664" s="832" t="s">
        <v>1889</v>
      </c>
      <c r="F664" s="832" t="s">
        <v>2438</v>
      </c>
      <c r="G664" s="832">
        <v>219728.81</v>
      </c>
      <c r="H664" s="832">
        <v>326738.76</v>
      </c>
      <c r="I664" s="832">
        <v>428234.54</v>
      </c>
      <c r="J664" s="832">
        <v>861375.98</v>
      </c>
      <c r="K664" s="832">
        <v>1176653.55</v>
      </c>
      <c r="L664" s="832">
        <v>1479800.39</v>
      </c>
      <c r="M664" s="832">
        <v>1772648.07</v>
      </c>
      <c r="N664" s="832">
        <v>1886009.83</v>
      </c>
      <c r="O664" s="832">
        <v>2046018.86</v>
      </c>
      <c r="P664" s="832">
        <v>2332822.2799999998</v>
      </c>
      <c r="Q664" s="832">
        <v>2542877.1</v>
      </c>
      <c r="R664" s="832">
        <v>2644281.5699999998</v>
      </c>
      <c r="S664" s="832">
        <v>231170.65</v>
      </c>
      <c r="T664" s="832">
        <v>231170.65</v>
      </c>
      <c r="U664" s="832">
        <v>0</v>
      </c>
      <c r="V664" s="832">
        <v>0</v>
      </c>
      <c r="W664" s="832">
        <v>0</v>
      </c>
      <c r="X664" s="832">
        <v>0</v>
      </c>
      <c r="Y664" s="832">
        <v>0</v>
      </c>
      <c r="Z664" s="832">
        <v>0</v>
      </c>
      <c r="AA664" s="832">
        <v>0</v>
      </c>
      <c r="AB664" s="832">
        <v>0</v>
      </c>
      <c r="AC664" s="832">
        <v>0</v>
      </c>
      <c r="AD664" s="832">
        <v>0</v>
      </c>
      <c r="AE664" s="832">
        <v>0</v>
      </c>
      <c r="AF664" s="832">
        <v>0</v>
      </c>
      <c r="AG664" s="832">
        <v>0</v>
      </c>
      <c r="AH664" s="832">
        <v>0</v>
      </c>
      <c r="AI664" s="832">
        <v>0</v>
      </c>
      <c r="AJ664" s="1030" t="str">
        <f t="shared" si="66"/>
        <v>H40601</v>
      </c>
      <c r="AK664" s="1030" t="str">
        <f t="shared" si="67"/>
        <v>CT ELANTRA</v>
      </c>
      <c r="AL664" s="1030">
        <f>IFERROR(INDEX(G664:R664,1,MATCH(Parametres!$B$3,G$1:R$1,0)-1)*IF(OR(F664="L",F664="S",F664="I"),-1,1),"")</f>
        <v>861375.98</v>
      </c>
      <c r="AM664" s="1030">
        <f t="shared" si="62"/>
        <v>315277.57000000007</v>
      </c>
      <c r="AN664" s="1030">
        <f>INDEX(G664:R664,1,MATCH(Parametres!$B$3,G$1:R$1,0))*IF(OR(F664="L",F664="S",F664="I"),-1,1)</f>
        <v>1176653.55</v>
      </c>
      <c r="AO664" s="598" t="str">
        <f>+VLOOKUP($AJ664,Data_Validation!$A:$D,1,0)</f>
        <v>H40601</v>
      </c>
      <c r="AP664" s="598" t="str">
        <f>+VLOOKUP($AJ664,Data_Validation!$A:$D,3,0)</f>
        <v>Véhicules neufs</v>
      </c>
      <c r="AQ664" s="598" t="str">
        <f>+VLOOKUP($AJ664,Data_Validation!$A:$D,4,0)</f>
        <v>Autos détail</v>
      </c>
      <c r="AR664" s="598" t="s">
        <v>299</v>
      </c>
      <c r="AS664" s="598">
        <f>+VLOOKUP($AJ664,Data_Validation!$A:$E,5,0)</f>
        <v>0</v>
      </c>
      <c r="AT664" s="1036" t="str">
        <f t="shared" si="63"/>
        <v>H40601</v>
      </c>
      <c r="AU664" s="599" t="str">
        <f t="shared" si="64"/>
        <v>CT ELANTRA</v>
      </c>
      <c r="AV664" s="1030">
        <f>IFERROR(INDEX(V664:AG664,1,MATCH(Parametres!$B$3,V$1:AG$1,0)-1)*IF(OR(C664="L",C664="S",C664="I"),-1,1),"")</f>
        <v>0</v>
      </c>
      <c r="AW664" s="1030">
        <f t="shared" si="65"/>
        <v>0</v>
      </c>
      <c r="AX664" s="1030">
        <f>INDEX(V664:AG664,1,MATCH(Parametres!$B$3,V$1:AG$1,0))*IF(OR(C664="L",C664="S",C664="I"),-1,1)</f>
        <v>0</v>
      </c>
      <c r="AY664" s="598" t="s">
        <v>337</v>
      </c>
      <c r="AZ664" s="598">
        <f>+VLOOKUP($AJ664,Data_Validation!$A:$E,5,0)</f>
        <v>0</v>
      </c>
    </row>
    <row r="665" spans="1:52" ht="15" customHeight="1">
      <c r="A665" s="832" t="s">
        <v>1150</v>
      </c>
      <c r="B665" s="832">
        <v>2025</v>
      </c>
      <c r="C665" s="832" t="s">
        <v>2461</v>
      </c>
      <c r="D665" s="832" t="s">
        <v>2462</v>
      </c>
      <c r="E665" s="832" t="s">
        <v>1889</v>
      </c>
      <c r="F665" s="832" t="s">
        <v>2438</v>
      </c>
      <c r="G665" s="832">
        <v>0</v>
      </c>
      <c r="H665" s="832">
        <v>0</v>
      </c>
      <c r="I665" s="832">
        <v>0</v>
      </c>
      <c r="J665" s="832">
        <v>0</v>
      </c>
      <c r="K665" s="832">
        <v>0</v>
      </c>
      <c r="L665" s="832">
        <v>0</v>
      </c>
      <c r="M665" s="832">
        <v>0</v>
      </c>
      <c r="N665" s="832">
        <v>0</v>
      </c>
      <c r="O665" s="832">
        <v>0</v>
      </c>
      <c r="P665" s="832">
        <v>0</v>
      </c>
      <c r="Q665" s="832">
        <v>0</v>
      </c>
      <c r="R665" s="832">
        <v>0</v>
      </c>
      <c r="S665" s="832">
        <v>0</v>
      </c>
      <c r="T665" s="832">
        <v>0</v>
      </c>
      <c r="U665" s="832">
        <v>0</v>
      </c>
      <c r="V665" s="832">
        <v>0</v>
      </c>
      <c r="W665" s="832">
        <v>0</v>
      </c>
      <c r="X665" s="832">
        <v>0</v>
      </c>
      <c r="Y665" s="832">
        <v>0</v>
      </c>
      <c r="Z665" s="832">
        <v>0</v>
      </c>
      <c r="AA665" s="832">
        <v>0</v>
      </c>
      <c r="AB665" s="832">
        <v>0</v>
      </c>
      <c r="AC665" s="832">
        <v>0</v>
      </c>
      <c r="AD665" s="832">
        <v>0</v>
      </c>
      <c r="AE665" s="832">
        <v>0</v>
      </c>
      <c r="AF665" s="832">
        <v>0</v>
      </c>
      <c r="AG665" s="832">
        <v>0</v>
      </c>
      <c r="AH665" s="832">
        <v>0</v>
      </c>
      <c r="AI665" s="832">
        <v>0</v>
      </c>
      <c r="AJ665" s="1030" t="str">
        <f t="shared" si="66"/>
        <v>H40602</v>
      </c>
      <c r="AK665" s="1030" t="str">
        <f t="shared" si="67"/>
        <v>CT ELANTRA COUPE</v>
      </c>
      <c r="AL665" s="1030">
        <f>IFERROR(INDEX(G665:R665,1,MATCH(Parametres!$B$3,G$1:R$1,0)-1)*IF(OR(F665="L",F665="S",F665="I"),-1,1),"")</f>
        <v>0</v>
      </c>
      <c r="AM665" s="1030">
        <f t="shared" si="62"/>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t="str">
        <f t="shared" si="63"/>
        <v>H40602</v>
      </c>
      <c r="AU665" s="599" t="str">
        <f t="shared" si="64"/>
        <v>CT ELANTRA COUPE</v>
      </c>
      <c r="AV665" s="1030">
        <f>IFERROR(INDEX(V665:AG665,1,MATCH(Parametres!$B$3,V$1:AG$1,0)-1)*IF(OR(C665="L",C665="S",C665="I"),-1,1),"")</f>
        <v>0</v>
      </c>
      <c r="AW665" s="1030">
        <f t="shared" si="65"/>
        <v>0</v>
      </c>
      <c r="AX665" s="1030">
        <f>INDEX(V665:AG665,1,MATCH(Parametres!$B$3,V$1:AG$1,0))*IF(OR(C665="L",C665="S",C665="I"),-1,1)</f>
        <v>0</v>
      </c>
      <c r="AY665" s="598" t="s">
        <v>337</v>
      </c>
      <c r="AZ665" s="598" t="e">
        <f>+VLOOKUP($AJ665,Data_Validation!$A:$E,5,0)</f>
        <v>#N/A</v>
      </c>
    </row>
    <row r="666" spans="1:52" ht="15" customHeight="1">
      <c r="A666" s="832" t="s">
        <v>1150</v>
      </c>
      <c r="B666" s="832">
        <v>2025</v>
      </c>
      <c r="C666" s="832" t="s">
        <v>2463</v>
      </c>
      <c r="D666" s="832" t="s">
        <v>2464</v>
      </c>
      <c r="E666" s="832" t="s">
        <v>1889</v>
      </c>
      <c r="F666" s="832" t="s">
        <v>2438</v>
      </c>
      <c r="G666" s="832">
        <v>0</v>
      </c>
      <c r="H666" s="832">
        <v>0</v>
      </c>
      <c r="I666" s="832">
        <v>0</v>
      </c>
      <c r="J666" s="832">
        <v>0</v>
      </c>
      <c r="K666" s="832">
        <v>0</v>
      </c>
      <c r="L666" s="832">
        <v>0</v>
      </c>
      <c r="M666" s="832">
        <v>0</v>
      </c>
      <c r="N666" s="832">
        <v>0</v>
      </c>
      <c r="O666" s="832">
        <v>0</v>
      </c>
      <c r="P666" s="832">
        <v>0</v>
      </c>
      <c r="Q666" s="832">
        <v>0</v>
      </c>
      <c r="R666" s="832">
        <v>0</v>
      </c>
      <c r="S666" s="832">
        <v>0</v>
      </c>
      <c r="T666" s="832">
        <v>0</v>
      </c>
      <c r="U666" s="832">
        <v>0</v>
      </c>
      <c r="V666" s="832">
        <v>0</v>
      </c>
      <c r="W666" s="832">
        <v>0</v>
      </c>
      <c r="X666" s="832">
        <v>0</v>
      </c>
      <c r="Y666" s="832">
        <v>0</v>
      </c>
      <c r="Z666" s="832">
        <v>0</v>
      </c>
      <c r="AA666" s="832">
        <v>0</v>
      </c>
      <c r="AB666" s="832">
        <v>0</v>
      </c>
      <c r="AC666" s="832">
        <v>0</v>
      </c>
      <c r="AD666" s="832">
        <v>0</v>
      </c>
      <c r="AE666" s="832">
        <v>0</v>
      </c>
      <c r="AF666" s="832">
        <v>0</v>
      </c>
      <c r="AG666" s="832">
        <v>0</v>
      </c>
      <c r="AH666" s="832">
        <v>0</v>
      </c>
      <c r="AI666" s="832">
        <v>0</v>
      </c>
      <c r="AJ666" s="1030" t="str">
        <f t="shared" si="66"/>
        <v>H40603</v>
      </c>
      <c r="AK666" s="1030" t="str">
        <f t="shared" si="67"/>
        <v>CT ELANTRA GT</v>
      </c>
      <c r="AL666" s="1030">
        <f>IFERROR(INDEX(G666:R666,1,MATCH(Parametres!$B$3,G$1:R$1,0)-1)*IF(OR(F666="L",F666="S",F666="I"),-1,1),"")</f>
        <v>0</v>
      </c>
      <c r="AM666" s="1030">
        <f t="shared" si="62"/>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t="str">
        <f t="shared" si="63"/>
        <v>H40603</v>
      </c>
      <c r="AU666" s="599" t="str">
        <f t="shared" si="64"/>
        <v>CT ELANTRA GT</v>
      </c>
      <c r="AV666" s="1030">
        <f>IFERROR(INDEX(V666:AG666,1,MATCH(Parametres!$B$3,V$1:AG$1,0)-1)*IF(OR(C666="L",C666="S",C666="I"),-1,1),"")</f>
        <v>0</v>
      </c>
      <c r="AW666" s="1030">
        <f t="shared" si="65"/>
        <v>0</v>
      </c>
      <c r="AX666" s="1030">
        <f>INDEX(V666:AG666,1,MATCH(Parametres!$B$3,V$1:AG$1,0))*IF(OR(C666="L",C666="S",C666="I"),-1,1)</f>
        <v>0</v>
      </c>
      <c r="AY666" s="598" t="s">
        <v>337</v>
      </c>
      <c r="AZ666" s="598" t="e">
        <f>+VLOOKUP($AJ666,Data_Validation!$A:$E,5,0)</f>
        <v>#N/A</v>
      </c>
    </row>
    <row r="667" spans="1:52" ht="15" customHeight="1">
      <c r="A667" s="832" t="s">
        <v>1150</v>
      </c>
      <c r="B667" s="832">
        <v>2025</v>
      </c>
      <c r="C667" s="832" t="s">
        <v>2465</v>
      </c>
      <c r="D667" s="832" t="s">
        <v>2466</v>
      </c>
      <c r="E667" s="832" t="s">
        <v>1889</v>
      </c>
      <c r="F667" s="832" t="s">
        <v>2438</v>
      </c>
      <c r="G667" s="832">
        <v>0</v>
      </c>
      <c r="H667" s="832">
        <v>0</v>
      </c>
      <c r="I667" s="832">
        <v>64993.24</v>
      </c>
      <c r="J667" s="832">
        <v>64993.24</v>
      </c>
      <c r="K667" s="832">
        <v>161729.47</v>
      </c>
      <c r="L667" s="832">
        <v>194099.47</v>
      </c>
      <c r="M667" s="832">
        <v>194099.47</v>
      </c>
      <c r="N667" s="832">
        <v>194099.47</v>
      </c>
      <c r="O667" s="832">
        <v>194099.47</v>
      </c>
      <c r="P667" s="832">
        <v>194099.47</v>
      </c>
      <c r="Q667" s="832">
        <v>226566.42</v>
      </c>
      <c r="R667" s="832">
        <v>257046.03</v>
      </c>
      <c r="S667" s="832">
        <v>20596.95</v>
      </c>
      <c r="T667" s="832">
        <v>20596.95</v>
      </c>
      <c r="U667" s="832">
        <v>0</v>
      </c>
      <c r="V667" s="832">
        <v>0</v>
      </c>
      <c r="W667" s="832">
        <v>0</v>
      </c>
      <c r="X667" s="832">
        <v>0</v>
      </c>
      <c r="Y667" s="832">
        <v>0</v>
      </c>
      <c r="Z667" s="832">
        <v>0</v>
      </c>
      <c r="AA667" s="832">
        <v>0</v>
      </c>
      <c r="AB667" s="832">
        <v>0</v>
      </c>
      <c r="AC667" s="832">
        <v>0</v>
      </c>
      <c r="AD667" s="832">
        <v>0</v>
      </c>
      <c r="AE667" s="832">
        <v>0</v>
      </c>
      <c r="AF667" s="832">
        <v>0</v>
      </c>
      <c r="AG667" s="832">
        <v>0</v>
      </c>
      <c r="AH667" s="832">
        <v>0</v>
      </c>
      <c r="AI667" s="832">
        <v>0</v>
      </c>
      <c r="AJ667" s="1030" t="str">
        <f t="shared" si="66"/>
        <v>H40604</v>
      </c>
      <c r="AK667" s="1030" t="str">
        <f t="shared" si="67"/>
        <v>CT ELANTRA HYBRIDE</v>
      </c>
      <c r="AL667" s="1030">
        <f>IFERROR(INDEX(G667:R667,1,MATCH(Parametres!$B$3,G$1:R$1,0)-1)*IF(OR(F667="L",F667="S",F667="I"),-1,1),"")</f>
        <v>64993.24</v>
      </c>
      <c r="AM667" s="1030">
        <f t="shared" si="62"/>
        <v>96736.23000000001</v>
      </c>
      <c r="AN667" s="1030">
        <f>INDEX(G667:R667,1,MATCH(Parametres!$B$3,G$1:R$1,0))*IF(OR(F667="L",F667="S",F667="I"),-1,1)</f>
        <v>161729.47</v>
      </c>
      <c r="AO667" s="598" t="str">
        <f>+VLOOKUP($AJ667,Data_Validation!$A:$D,1,0)</f>
        <v>H40604</v>
      </c>
      <c r="AP667" s="598" t="str">
        <f>+VLOOKUP($AJ667,Data_Validation!$A:$D,3,0)</f>
        <v>Véhicules neufs</v>
      </c>
      <c r="AQ667" s="598" t="str">
        <f>+VLOOKUP($AJ667,Data_Validation!$A:$D,4,0)</f>
        <v>Autos détail</v>
      </c>
      <c r="AR667" s="598" t="s">
        <v>299</v>
      </c>
      <c r="AS667" s="598">
        <f>+VLOOKUP($AJ667,Data_Validation!$A:$E,5,0)</f>
        <v>0</v>
      </c>
      <c r="AT667" s="1036" t="str">
        <f t="shared" si="63"/>
        <v>H40604</v>
      </c>
      <c r="AU667" s="599" t="str">
        <f t="shared" si="64"/>
        <v>CT ELANTRA HYBRIDE</v>
      </c>
      <c r="AV667" s="1030">
        <f>IFERROR(INDEX(V667:AG667,1,MATCH(Parametres!$B$3,V$1:AG$1,0)-1)*IF(OR(C667="L",C667="S",C667="I"),-1,1),"")</f>
        <v>0</v>
      </c>
      <c r="AW667" s="1030">
        <f t="shared" si="65"/>
        <v>0</v>
      </c>
      <c r="AX667" s="1030">
        <f>INDEX(V667:AG667,1,MATCH(Parametres!$B$3,V$1:AG$1,0))*IF(OR(C667="L",C667="S",C667="I"),-1,1)</f>
        <v>0</v>
      </c>
      <c r="AY667" s="598" t="s">
        <v>337</v>
      </c>
      <c r="AZ667" s="598">
        <f>+VLOOKUP($AJ667,Data_Validation!$A:$E,5,0)</f>
        <v>0</v>
      </c>
    </row>
    <row r="668" spans="1:52" ht="15" customHeight="1">
      <c r="A668" s="832" t="s">
        <v>1150</v>
      </c>
      <c r="B668" s="832">
        <v>2025</v>
      </c>
      <c r="C668" s="832" t="s">
        <v>2467</v>
      </c>
      <c r="D668" s="832" t="s">
        <v>2462</v>
      </c>
      <c r="E668" s="832" t="s">
        <v>1889</v>
      </c>
      <c r="F668" s="832" t="s">
        <v>2438</v>
      </c>
      <c r="G668" s="832">
        <v>0</v>
      </c>
      <c r="H668" s="832">
        <v>0</v>
      </c>
      <c r="I668" s="832">
        <v>0</v>
      </c>
      <c r="J668" s="832">
        <v>0</v>
      </c>
      <c r="K668" s="832">
        <v>0</v>
      </c>
      <c r="L668" s="832">
        <v>0</v>
      </c>
      <c r="M668" s="832">
        <v>0</v>
      </c>
      <c r="N668" s="832">
        <v>0</v>
      </c>
      <c r="O668" s="832">
        <v>0</v>
      </c>
      <c r="P668" s="832">
        <v>0</v>
      </c>
      <c r="Q668" s="832">
        <v>0</v>
      </c>
      <c r="R668" s="832">
        <v>0</v>
      </c>
      <c r="S668" s="832">
        <v>0</v>
      </c>
      <c r="T668" s="832">
        <v>0</v>
      </c>
      <c r="U668" s="832">
        <v>0</v>
      </c>
      <c r="V668" s="832">
        <v>0</v>
      </c>
      <c r="W668" s="832">
        <v>0</v>
      </c>
      <c r="X668" s="832">
        <v>0</v>
      </c>
      <c r="Y668" s="832">
        <v>0</v>
      </c>
      <c r="Z668" s="832">
        <v>0</v>
      </c>
      <c r="AA668" s="832">
        <v>0</v>
      </c>
      <c r="AB668" s="832">
        <v>0</v>
      </c>
      <c r="AC668" s="832">
        <v>0</v>
      </c>
      <c r="AD668" s="832">
        <v>0</v>
      </c>
      <c r="AE668" s="832">
        <v>0</v>
      </c>
      <c r="AF668" s="832">
        <v>0</v>
      </c>
      <c r="AG668" s="832">
        <v>0</v>
      </c>
      <c r="AH668" s="832">
        <v>0</v>
      </c>
      <c r="AI668" s="832">
        <v>0</v>
      </c>
      <c r="AJ668" s="1030" t="str">
        <f t="shared" si="66"/>
        <v>H40620</v>
      </c>
      <c r="AK668" s="1030" t="str">
        <f t="shared" si="67"/>
        <v>CT ELANTRA COUPE</v>
      </c>
      <c r="AL668" s="1030">
        <f>IFERROR(INDEX(G668:R668,1,MATCH(Parametres!$B$3,G$1:R$1,0)-1)*IF(OR(F668="L",F668="S",F668="I"),-1,1),"")</f>
        <v>0</v>
      </c>
      <c r="AM668" s="1030">
        <f t="shared" si="62"/>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t="str">
        <f t="shared" si="63"/>
        <v>H40620</v>
      </c>
      <c r="AU668" s="599" t="str">
        <f t="shared" si="64"/>
        <v>CT ELANTRA COUPE</v>
      </c>
      <c r="AV668" s="1030">
        <f>IFERROR(INDEX(V668:AG668,1,MATCH(Parametres!$B$3,V$1:AG$1,0)-1)*IF(OR(C668="L",C668="S",C668="I"),-1,1),"")</f>
        <v>0</v>
      </c>
      <c r="AW668" s="1030">
        <f t="shared" si="65"/>
        <v>0</v>
      </c>
      <c r="AX668" s="1030">
        <f>INDEX(V668:AG668,1,MATCH(Parametres!$B$3,V$1:AG$1,0))*IF(OR(C668="L",C668="S",C668="I"),-1,1)</f>
        <v>0</v>
      </c>
      <c r="AY668" s="598" t="s">
        <v>337</v>
      </c>
      <c r="AZ668" s="598" t="e">
        <f>+VLOOKUP($AJ668,Data_Validation!$A:$E,5,0)</f>
        <v>#N/A</v>
      </c>
    </row>
    <row r="669" spans="1:52" ht="15" customHeight="1">
      <c r="A669" s="832" t="s">
        <v>1150</v>
      </c>
      <c r="B669" s="832">
        <v>2025</v>
      </c>
      <c r="C669" s="832" t="s">
        <v>2468</v>
      </c>
      <c r="D669" s="832" t="s">
        <v>2469</v>
      </c>
      <c r="E669" s="832" t="s">
        <v>1889</v>
      </c>
      <c r="F669" s="832" t="s">
        <v>2438</v>
      </c>
      <c r="G669" s="832">
        <v>0</v>
      </c>
      <c r="H669" s="832">
        <v>0</v>
      </c>
      <c r="I669" s="832">
        <v>0</v>
      </c>
      <c r="J669" s="832">
        <v>0</v>
      </c>
      <c r="K669" s="832">
        <v>0</v>
      </c>
      <c r="L669" s="832">
        <v>0</v>
      </c>
      <c r="M669" s="832">
        <v>0</v>
      </c>
      <c r="N669" s="832">
        <v>0</v>
      </c>
      <c r="O669" s="832">
        <v>0</v>
      </c>
      <c r="P669" s="832">
        <v>0</v>
      </c>
      <c r="Q669" s="832">
        <v>0</v>
      </c>
      <c r="R669" s="832">
        <v>0</v>
      </c>
      <c r="S669" s="832">
        <v>0</v>
      </c>
      <c r="T669" s="832">
        <v>0</v>
      </c>
      <c r="U669" s="832">
        <v>0</v>
      </c>
      <c r="V669" s="832">
        <v>0</v>
      </c>
      <c r="W669" s="832">
        <v>0</v>
      </c>
      <c r="X669" s="832">
        <v>0</v>
      </c>
      <c r="Y669" s="832">
        <v>0</v>
      </c>
      <c r="Z669" s="832">
        <v>0</v>
      </c>
      <c r="AA669" s="832">
        <v>0</v>
      </c>
      <c r="AB669" s="832">
        <v>0</v>
      </c>
      <c r="AC669" s="832">
        <v>0</v>
      </c>
      <c r="AD669" s="832">
        <v>0</v>
      </c>
      <c r="AE669" s="832">
        <v>0</v>
      </c>
      <c r="AF669" s="832">
        <v>0</v>
      </c>
      <c r="AG669" s="832">
        <v>0</v>
      </c>
      <c r="AH669" s="832">
        <v>0</v>
      </c>
      <c r="AI669" s="832">
        <v>0</v>
      </c>
      <c r="AJ669" s="1030" t="str">
        <f t="shared" si="66"/>
        <v>H40700</v>
      </c>
      <c r="AK669" s="1030" t="str">
        <f t="shared" si="67"/>
        <v>CT VEH NF GENESIS</v>
      </c>
      <c r="AL669" s="1030">
        <f>IFERROR(INDEX(G669:R669,1,MATCH(Parametres!$B$3,G$1:R$1,0)-1)*IF(OR(F669="L",F669="S",F669="I"),-1,1),"")</f>
        <v>0</v>
      </c>
      <c r="AM669" s="1030">
        <f t="shared" si="62"/>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t="str">
        <f t="shared" si="63"/>
        <v>H40700</v>
      </c>
      <c r="AU669" s="599" t="str">
        <f t="shared" si="64"/>
        <v>CT VEH NF GENESIS</v>
      </c>
      <c r="AV669" s="1030">
        <f>IFERROR(INDEX(V669:AG669,1,MATCH(Parametres!$B$3,V$1:AG$1,0)-1)*IF(OR(C669="L",C669="S",C669="I"),-1,1),"")</f>
        <v>0</v>
      </c>
      <c r="AW669" s="1030">
        <f t="shared" si="65"/>
        <v>0</v>
      </c>
      <c r="AX669" s="1030">
        <f>INDEX(V669:AG669,1,MATCH(Parametres!$B$3,V$1:AG$1,0))*IF(OR(C669="L",C669="S",C669="I"),-1,1)</f>
        <v>0</v>
      </c>
      <c r="AY669" s="598" t="s">
        <v>337</v>
      </c>
      <c r="AZ669" s="598" t="e">
        <f>+VLOOKUP($AJ669,Data_Validation!$A:$E,5,0)</f>
        <v>#N/A</v>
      </c>
    </row>
    <row r="670" spans="1:52" ht="15" customHeight="1">
      <c r="A670" s="832" t="s">
        <v>1150</v>
      </c>
      <c r="B670" s="832">
        <v>2025</v>
      </c>
      <c r="C670" s="832" t="s">
        <v>2470</v>
      </c>
      <c r="D670" s="832" t="s">
        <v>2471</v>
      </c>
      <c r="E670" s="832" t="s">
        <v>1889</v>
      </c>
      <c r="F670" s="832" t="s">
        <v>2438</v>
      </c>
      <c r="G670" s="832">
        <v>0</v>
      </c>
      <c r="H670" s="832">
        <v>0</v>
      </c>
      <c r="I670" s="832">
        <v>0</v>
      </c>
      <c r="J670" s="832">
        <v>0</v>
      </c>
      <c r="K670" s="832">
        <v>0</v>
      </c>
      <c r="L670" s="832">
        <v>0</v>
      </c>
      <c r="M670" s="832">
        <v>0</v>
      </c>
      <c r="N670" s="832">
        <v>0</v>
      </c>
      <c r="O670" s="832">
        <v>0</v>
      </c>
      <c r="P670" s="832">
        <v>0</v>
      </c>
      <c r="Q670" s="832">
        <v>0</v>
      </c>
      <c r="R670" s="832">
        <v>0</v>
      </c>
      <c r="S670" s="832">
        <v>0</v>
      </c>
      <c r="T670" s="832">
        <v>0</v>
      </c>
      <c r="U670" s="832">
        <v>0</v>
      </c>
      <c r="V670" s="832">
        <v>0</v>
      </c>
      <c r="W670" s="832">
        <v>0</v>
      </c>
      <c r="X670" s="832">
        <v>0</v>
      </c>
      <c r="Y670" s="832">
        <v>0</v>
      </c>
      <c r="Z670" s="832">
        <v>0</v>
      </c>
      <c r="AA670" s="832">
        <v>0</v>
      </c>
      <c r="AB670" s="832">
        <v>0</v>
      </c>
      <c r="AC670" s="832">
        <v>0</v>
      </c>
      <c r="AD670" s="832">
        <v>0</v>
      </c>
      <c r="AE670" s="832">
        <v>0</v>
      </c>
      <c r="AF670" s="832">
        <v>0</v>
      </c>
      <c r="AG670" s="832">
        <v>0</v>
      </c>
      <c r="AH670" s="832">
        <v>0</v>
      </c>
      <c r="AI670" s="832">
        <v>0</v>
      </c>
      <c r="AJ670" s="1030" t="str">
        <f t="shared" si="66"/>
        <v>H40800</v>
      </c>
      <c r="AK670" s="1030" t="str">
        <f t="shared" si="67"/>
        <v>CT VEH NF IONIQ EV ET H</v>
      </c>
      <c r="AL670" s="1030">
        <f>IFERROR(INDEX(G670:R670,1,MATCH(Parametres!$B$3,G$1:R$1,0)-1)*IF(OR(F670="L",F670="S",F670="I"),-1,1),"")</f>
        <v>0</v>
      </c>
      <c r="AM670" s="1030">
        <f t="shared" si="62"/>
        <v>0</v>
      </c>
      <c r="AN670" s="1030">
        <f>INDEX(G670:R670,1,MATCH(Parametres!$B$3,G$1:R$1,0))*IF(OR(F670="L",F670="S",F670="I"),-1,1)</f>
        <v>0</v>
      </c>
      <c r="AO670" s="598" t="str">
        <f>+VLOOKUP($AJ670,Data_Validation!$A:$D,1,0)</f>
        <v>H40800</v>
      </c>
      <c r="AP670" s="598" t="str">
        <f>+VLOOKUP($AJ670,Data_Validation!$A:$D,3,0)</f>
        <v>Véhicules neufs</v>
      </c>
      <c r="AQ670" s="598" t="str">
        <f>+VLOOKUP($AJ670,Data_Validation!$A:$D,4,0)</f>
        <v>Voitures electriques</v>
      </c>
      <c r="AR670" s="598" t="s">
        <v>299</v>
      </c>
      <c r="AS670" s="598">
        <f>+VLOOKUP($AJ670,Data_Validation!$A:$E,5,0)</f>
        <v>0</v>
      </c>
      <c r="AT670" s="1036" t="str">
        <f t="shared" si="63"/>
        <v>H40800</v>
      </c>
      <c r="AU670" s="599" t="str">
        <f t="shared" si="64"/>
        <v>CT VEH NF IONIQ EV ET H</v>
      </c>
      <c r="AV670" s="1030">
        <f>IFERROR(INDEX(V670:AG670,1,MATCH(Parametres!$B$3,V$1:AG$1,0)-1)*IF(OR(C670="L",C670="S",C670="I"),-1,1),"")</f>
        <v>0</v>
      </c>
      <c r="AW670" s="1030">
        <f t="shared" si="65"/>
        <v>0</v>
      </c>
      <c r="AX670" s="1030">
        <f>INDEX(V670:AG670,1,MATCH(Parametres!$B$3,V$1:AG$1,0))*IF(OR(C670="L",C670="S",C670="I"),-1,1)</f>
        <v>0</v>
      </c>
      <c r="AY670" s="598" t="s">
        <v>337</v>
      </c>
      <c r="AZ670" s="598">
        <f>+VLOOKUP($AJ670,Data_Validation!$A:$E,5,0)</f>
        <v>0</v>
      </c>
    </row>
    <row r="671" spans="1:52" ht="15" customHeight="1">
      <c r="A671" s="832" t="s">
        <v>1150</v>
      </c>
      <c r="B671" s="832">
        <v>2025</v>
      </c>
      <c r="C671" s="832" t="s">
        <v>2472</v>
      </c>
      <c r="D671" s="832" t="s">
        <v>2473</v>
      </c>
      <c r="E671" s="832" t="s">
        <v>1889</v>
      </c>
      <c r="F671" s="832" t="s">
        <v>2438</v>
      </c>
      <c r="G671" s="832">
        <v>0</v>
      </c>
      <c r="H671" s="832">
        <v>0</v>
      </c>
      <c r="I671" s="832">
        <v>0</v>
      </c>
      <c r="J671" s="832">
        <v>0</v>
      </c>
      <c r="K671" s="832">
        <v>0</v>
      </c>
      <c r="L671" s="832">
        <v>0</v>
      </c>
      <c r="M671" s="832">
        <v>0</v>
      </c>
      <c r="N671" s="832">
        <v>0</v>
      </c>
      <c r="O671" s="832">
        <v>0</v>
      </c>
      <c r="P671" s="832">
        <v>0</v>
      </c>
      <c r="Q671" s="832">
        <v>0</v>
      </c>
      <c r="R671" s="832">
        <v>0</v>
      </c>
      <c r="S671" s="832">
        <v>0</v>
      </c>
      <c r="T671" s="832">
        <v>0</v>
      </c>
      <c r="U671" s="832">
        <v>0</v>
      </c>
      <c r="V671" s="832">
        <v>0</v>
      </c>
      <c r="W671" s="832">
        <v>0</v>
      </c>
      <c r="X671" s="832">
        <v>0</v>
      </c>
      <c r="Y671" s="832">
        <v>0</v>
      </c>
      <c r="Z671" s="832">
        <v>0</v>
      </c>
      <c r="AA671" s="832">
        <v>0</v>
      </c>
      <c r="AB671" s="832">
        <v>0</v>
      </c>
      <c r="AC671" s="832">
        <v>0</v>
      </c>
      <c r="AD671" s="832">
        <v>0</v>
      </c>
      <c r="AE671" s="832">
        <v>0</v>
      </c>
      <c r="AF671" s="832">
        <v>0</v>
      </c>
      <c r="AG671" s="832">
        <v>0</v>
      </c>
      <c r="AH671" s="832">
        <v>0</v>
      </c>
      <c r="AI671" s="832">
        <v>0</v>
      </c>
      <c r="AJ671" s="1030" t="str">
        <f t="shared" si="66"/>
        <v>H40801</v>
      </c>
      <c r="AK671" s="1030" t="str">
        <f t="shared" si="67"/>
        <v>CT VEH NF IONIQ HYBRIDE</v>
      </c>
      <c r="AL671" s="1030">
        <f>IFERROR(INDEX(G671:R671,1,MATCH(Parametres!$B$3,G$1:R$1,0)-1)*IF(OR(F671="L",F671="S",F671="I"),-1,1),"")</f>
        <v>0</v>
      </c>
      <c r="AM671" s="1030">
        <f t="shared" si="62"/>
        <v>0</v>
      </c>
      <c r="AN671" s="1030">
        <f>INDEX(G671:R671,1,MATCH(Parametres!$B$3,G$1:R$1,0))*IF(OR(F671="L",F671="S",F671="I"),-1,1)</f>
        <v>0</v>
      </c>
      <c r="AO671" s="598" t="str">
        <f>+VLOOKUP($AJ671,Data_Validation!$A:$D,1,0)</f>
        <v>H40801</v>
      </c>
      <c r="AP671" s="598" t="str">
        <f>+VLOOKUP($AJ671,Data_Validation!$A:$D,3,0)</f>
        <v>Véhicules neufs</v>
      </c>
      <c r="AQ671" s="598" t="str">
        <f>+VLOOKUP($AJ671,Data_Validation!$A:$D,4,0)</f>
        <v>Voitures electriques</v>
      </c>
      <c r="AR671" s="598" t="s">
        <v>299</v>
      </c>
      <c r="AS671" s="598">
        <f>+VLOOKUP($AJ671,Data_Validation!$A:$E,5,0)</f>
        <v>0</v>
      </c>
      <c r="AT671" s="1036" t="str">
        <f t="shared" si="63"/>
        <v>H40801</v>
      </c>
      <c r="AU671" s="599" t="str">
        <f t="shared" si="64"/>
        <v>CT VEH NF IONIQ HYBRIDE</v>
      </c>
      <c r="AV671" s="1030">
        <f>IFERROR(INDEX(V671:AG671,1,MATCH(Parametres!$B$3,V$1:AG$1,0)-1)*IF(OR(C671="L",C671="S",C671="I"),-1,1),"")</f>
        <v>0</v>
      </c>
      <c r="AW671" s="1030">
        <f t="shared" si="65"/>
        <v>0</v>
      </c>
      <c r="AX671" s="1030">
        <f>INDEX(V671:AG671,1,MATCH(Parametres!$B$3,V$1:AG$1,0))*IF(OR(C671="L",C671="S",C671="I"),-1,1)</f>
        <v>0</v>
      </c>
      <c r="AY671" s="598" t="s">
        <v>337</v>
      </c>
      <c r="AZ671" s="598">
        <f>+VLOOKUP($AJ671,Data_Validation!$A:$E,5,0)</f>
        <v>0</v>
      </c>
    </row>
    <row r="672" spans="1:52" ht="15" customHeight="1">
      <c r="A672" s="832" t="s">
        <v>1150</v>
      </c>
      <c r="B672" s="832">
        <v>2025</v>
      </c>
      <c r="C672" s="832" t="s">
        <v>2474</v>
      </c>
      <c r="D672" s="832" t="s">
        <v>2475</v>
      </c>
      <c r="E672" s="832" t="s">
        <v>1889</v>
      </c>
      <c r="F672" s="832" t="s">
        <v>2438</v>
      </c>
      <c r="G672" s="832">
        <v>393899.13</v>
      </c>
      <c r="H672" s="832">
        <v>800076.26</v>
      </c>
      <c r="I672" s="832">
        <v>1379889.49</v>
      </c>
      <c r="J672" s="832">
        <v>2239296.63</v>
      </c>
      <c r="K672" s="832">
        <v>2767475.49</v>
      </c>
      <c r="L672" s="832">
        <v>3668187.9</v>
      </c>
      <c r="M672" s="832">
        <v>4113581.74</v>
      </c>
      <c r="N672" s="832">
        <v>5049009.93</v>
      </c>
      <c r="O672" s="832">
        <v>5490416.9199999999</v>
      </c>
      <c r="P672" s="832">
        <v>6388680.1699999999</v>
      </c>
      <c r="Q672" s="832">
        <v>6577965.3300000001</v>
      </c>
      <c r="R672" s="832">
        <v>7073717.4100000001</v>
      </c>
      <c r="S672" s="832">
        <v>597996.85</v>
      </c>
      <c r="T672" s="832">
        <v>597996.85</v>
      </c>
      <c r="U672" s="832">
        <v>0</v>
      </c>
      <c r="V672" s="832">
        <v>0</v>
      </c>
      <c r="W672" s="832">
        <v>0</v>
      </c>
      <c r="X672" s="832">
        <v>0</v>
      </c>
      <c r="Y672" s="832">
        <v>0</v>
      </c>
      <c r="Z672" s="832">
        <v>0</v>
      </c>
      <c r="AA672" s="832">
        <v>0</v>
      </c>
      <c r="AB672" s="832">
        <v>0</v>
      </c>
      <c r="AC672" s="832">
        <v>0</v>
      </c>
      <c r="AD672" s="832">
        <v>0</v>
      </c>
      <c r="AE672" s="832">
        <v>0</v>
      </c>
      <c r="AF672" s="832">
        <v>0</v>
      </c>
      <c r="AG672" s="832">
        <v>0</v>
      </c>
      <c r="AH672" s="832">
        <v>0</v>
      </c>
      <c r="AI672" s="832">
        <v>0</v>
      </c>
      <c r="AJ672" s="1030" t="str">
        <f t="shared" si="66"/>
        <v>H40900</v>
      </c>
      <c r="AK672" s="1030" t="str">
        <f t="shared" si="67"/>
        <v>CT KONA</v>
      </c>
      <c r="AL672" s="1030">
        <f>IFERROR(INDEX(G672:R672,1,MATCH(Parametres!$B$3,G$1:R$1,0)-1)*IF(OR(F672="L",F672="S",F672="I"),-1,1),"")</f>
        <v>2239296.63</v>
      </c>
      <c r="AM672" s="1030">
        <f t="shared" si="62"/>
        <v>528178.86000000034</v>
      </c>
      <c r="AN672" s="1030">
        <f>INDEX(G672:R672,1,MATCH(Parametres!$B$3,G$1:R$1,0))*IF(OR(F672="L",F672="S",F672="I"),-1,1)</f>
        <v>2767475.49</v>
      </c>
      <c r="AO672" s="598" t="str">
        <f>+VLOOKUP($AJ672,Data_Validation!$A:$D,1,0)</f>
        <v>H40900</v>
      </c>
      <c r="AP672" s="598" t="str">
        <f>+VLOOKUP($AJ672,Data_Validation!$A:$D,3,0)</f>
        <v>Véhicules neufs</v>
      </c>
      <c r="AQ672" s="598" t="str">
        <f>+VLOOKUP($AJ672,Data_Validation!$A:$D,4,0)</f>
        <v>Camions détail</v>
      </c>
      <c r="AR672" s="598" t="s">
        <v>299</v>
      </c>
      <c r="AS672" s="598">
        <f>+VLOOKUP($AJ672,Data_Validation!$A:$E,5,0)</f>
        <v>0</v>
      </c>
      <c r="AT672" s="1036" t="str">
        <f t="shared" si="63"/>
        <v>H40900</v>
      </c>
      <c r="AU672" s="599" t="str">
        <f t="shared" si="64"/>
        <v>CT KONA</v>
      </c>
      <c r="AV672" s="1030">
        <f>IFERROR(INDEX(V672:AG672,1,MATCH(Parametres!$B$3,V$1:AG$1,0)-1)*IF(OR(C672="L",C672="S",C672="I"),-1,1),"")</f>
        <v>0</v>
      </c>
      <c r="AW672" s="1030">
        <f t="shared" si="65"/>
        <v>0</v>
      </c>
      <c r="AX672" s="1030">
        <f>INDEX(V672:AG672,1,MATCH(Parametres!$B$3,V$1:AG$1,0))*IF(OR(C672="L",C672="S",C672="I"),-1,1)</f>
        <v>0</v>
      </c>
      <c r="AY672" s="598" t="s">
        <v>337</v>
      </c>
      <c r="AZ672" s="598">
        <f>+VLOOKUP($AJ672,Data_Validation!$A:$E,5,0)</f>
        <v>0</v>
      </c>
    </row>
    <row r="673" spans="1:52" ht="15" customHeight="1">
      <c r="A673" s="832" t="s">
        <v>1150</v>
      </c>
      <c r="B673" s="832">
        <v>2025</v>
      </c>
      <c r="C673" s="832" t="s">
        <v>2476</v>
      </c>
      <c r="D673" s="832" t="s">
        <v>2477</v>
      </c>
      <c r="E673" s="832" t="s">
        <v>1889</v>
      </c>
      <c r="F673" s="832" t="s">
        <v>2438</v>
      </c>
      <c r="G673" s="832">
        <v>372077.14</v>
      </c>
      <c r="H673" s="832">
        <v>372077.14</v>
      </c>
      <c r="I673" s="832">
        <v>372077.14</v>
      </c>
      <c r="J673" s="832">
        <v>467963.88</v>
      </c>
      <c r="K673" s="832">
        <v>1069379.81</v>
      </c>
      <c r="L673" s="832">
        <v>1414941.61</v>
      </c>
      <c r="M673" s="832">
        <v>2278445.94</v>
      </c>
      <c r="N673" s="832">
        <v>2905144.8</v>
      </c>
      <c r="O673" s="832">
        <v>3694353.17</v>
      </c>
      <c r="P673" s="832">
        <v>4343913.18</v>
      </c>
      <c r="Q673" s="832">
        <v>4856282.24</v>
      </c>
      <c r="R673" s="832">
        <v>5230038.25</v>
      </c>
      <c r="S673" s="832">
        <v>441480.2</v>
      </c>
      <c r="T673" s="832">
        <v>441480.2</v>
      </c>
      <c r="U673" s="832">
        <v>0</v>
      </c>
      <c r="V673" s="832">
        <v>0</v>
      </c>
      <c r="W673" s="832">
        <v>0</v>
      </c>
      <c r="X673" s="832">
        <v>0</v>
      </c>
      <c r="Y673" s="832">
        <v>0</v>
      </c>
      <c r="Z673" s="832">
        <v>0</v>
      </c>
      <c r="AA673" s="832">
        <v>0</v>
      </c>
      <c r="AB673" s="832">
        <v>0</v>
      </c>
      <c r="AC673" s="832">
        <v>0</v>
      </c>
      <c r="AD673" s="832">
        <v>0</v>
      </c>
      <c r="AE673" s="832">
        <v>0</v>
      </c>
      <c r="AF673" s="832">
        <v>0</v>
      </c>
      <c r="AG673" s="832">
        <v>0</v>
      </c>
      <c r="AH673" s="832">
        <v>0</v>
      </c>
      <c r="AI673" s="832">
        <v>0</v>
      </c>
      <c r="AJ673" s="1030" t="str">
        <f t="shared" si="66"/>
        <v>H40901</v>
      </c>
      <c r="AK673" s="1030" t="str">
        <f t="shared" si="67"/>
        <v>CT KONA EV</v>
      </c>
      <c r="AL673" s="1030">
        <f>IFERROR(INDEX(G673:R673,1,MATCH(Parametres!$B$3,G$1:R$1,0)-1)*IF(OR(F673="L",F673="S",F673="I"),-1,1),"")</f>
        <v>467963.88</v>
      </c>
      <c r="AM673" s="1030">
        <f t="shared" si="62"/>
        <v>601415.93000000005</v>
      </c>
      <c r="AN673" s="1030">
        <f>INDEX(G673:R673,1,MATCH(Parametres!$B$3,G$1:R$1,0))*IF(OR(F673="L",F673="S",F673="I"),-1,1)</f>
        <v>1069379.81</v>
      </c>
      <c r="AO673" s="598" t="str">
        <f>+VLOOKUP($AJ673,Data_Validation!$A:$D,1,0)</f>
        <v>H40901</v>
      </c>
      <c r="AP673" s="598" t="str">
        <f>+VLOOKUP($AJ673,Data_Validation!$A:$D,3,0)</f>
        <v>Véhicules neufs</v>
      </c>
      <c r="AQ673" s="598" t="str">
        <f>+VLOOKUP($AJ673,Data_Validation!$A:$D,4,0)</f>
        <v>Voitures electriques</v>
      </c>
      <c r="AR673" s="598" t="s">
        <v>299</v>
      </c>
      <c r="AS673" s="598">
        <f>+VLOOKUP($AJ673,Data_Validation!$A:$E,5,0)</f>
        <v>0</v>
      </c>
      <c r="AT673" s="1036" t="str">
        <f t="shared" si="63"/>
        <v>H40901</v>
      </c>
      <c r="AU673" s="599" t="str">
        <f t="shared" si="64"/>
        <v>CT KONA EV</v>
      </c>
      <c r="AV673" s="1030">
        <f>IFERROR(INDEX(V673:AG673,1,MATCH(Parametres!$B$3,V$1:AG$1,0)-1)*IF(OR(C673="L",C673="S",C673="I"),-1,1),"")</f>
        <v>0</v>
      </c>
      <c r="AW673" s="1030">
        <f t="shared" si="65"/>
        <v>0</v>
      </c>
      <c r="AX673" s="1030">
        <f>INDEX(V673:AG673,1,MATCH(Parametres!$B$3,V$1:AG$1,0))*IF(OR(C673="L",C673="S",C673="I"),-1,1)</f>
        <v>0</v>
      </c>
      <c r="AY673" s="598" t="s">
        <v>337</v>
      </c>
      <c r="AZ673" s="598">
        <f>+VLOOKUP($AJ673,Data_Validation!$A:$E,5,0)</f>
        <v>0</v>
      </c>
    </row>
    <row r="674" spans="1:52" ht="15" customHeight="1">
      <c r="A674" s="832" t="s">
        <v>1150</v>
      </c>
      <c r="B674" s="832">
        <v>2025</v>
      </c>
      <c r="C674" s="832" t="s">
        <v>2478</v>
      </c>
      <c r="D674" s="832" t="s">
        <v>2479</v>
      </c>
      <c r="E674" s="832" t="s">
        <v>1889</v>
      </c>
      <c r="F674" s="832" t="s">
        <v>2438</v>
      </c>
      <c r="G674" s="832">
        <v>0</v>
      </c>
      <c r="H674" s="832">
        <v>0</v>
      </c>
      <c r="I674" s="832">
        <v>35851.18</v>
      </c>
      <c r="J674" s="832">
        <v>71745.67</v>
      </c>
      <c r="K674" s="832">
        <v>108563.54</v>
      </c>
      <c r="L674" s="832">
        <v>179376.28</v>
      </c>
      <c r="M674" s="832">
        <v>179376.28</v>
      </c>
      <c r="N674" s="832">
        <v>216040.68</v>
      </c>
      <c r="O674" s="832">
        <v>216040.68</v>
      </c>
      <c r="P674" s="832">
        <v>289143.81</v>
      </c>
      <c r="Q674" s="832">
        <v>327045.42</v>
      </c>
      <c r="R674" s="832">
        <v>327045.42</v>
      </c>
      <c r="S674" s="832">
        <v>29731.4</v>
      </c>
      <c r="T674" s="832">
        <v>29731.4</v>
      </c>
      <c r="U674" s="832">
        <v>0</v>
      </c>
      <c r="V674" s="832">
        <v>0</v>
      </c>
      <c r="W674" s="832">
        <v>0</v>
      </c>
      <c r="X674" s="832">
        <v>0</v>
      </c>
      <c r="Y674" s="832">
        <v>0</v>
      </c>
      <c r="Z674" s="832">
        <v>0</v>
      </c>
      <c r="AA674" s="832">
        <v>0</v>
      </c>
      <c r="AB674" s="832">
        <v>0</v>
      </c>
      <c r="AC674" s="832">
        <v>0</v>
      </c>
      <c r="AD674" s="832">
        <v>0</v>
      </c>
      <c r="AE674" s="832">
        <v>0</v>
      </c>
      <c r="AF674" s="832">
        <v>0</v>
      </c>
      <c r="AG674" s="832">
        <v>0</v>
      </c>
      <c r="AH674" s="832">
        <v>0</v>
      </c>
      <c r="AI674" s="832">
        <v>0</v>
      </c>
      <c r="AJ674" s="1030" t="str">
        <f t="shared" si="66"/>
        <v>H41000</v>
      </c>
      <c r="AK674" s="1030" t="str">
        <f t="shared" si="67"/>
        <v>CT SONATA</v>
      </c>
      <c r="AL674" s="1030">
        <f>IFERROR(INDEX(G674:R674,1,MATCH(Parametres!$B$3,G$1:R$1,0)-1)*IF(OR(F674="L",F674="S",F674="I"),-1,1),"")</f>
        <v>71745.67</v>
      </c>
      <c r="AM674" s="1030">
        <f t="shared" si="62"/>
        <v>36817.869999999995</v>
      </c>
      <c r="AN674" s="1030">
        <f>INDEX(G674:R674,1,MATCH(Parametres!$B$3,G$1:R$1,0))*IF(OR(F674="L",F674="S",F674="I"),-1,1)</f>
        <v>108563.54</v>
      </c>
      <c r="AO674" s="598" t="str">
        <f>+VLOOKUP($AJ674,Data_Validation!$A:$D,1,0)</f>
        <v>H41000</v>
      </c>
      <c r="AP674" s="598" t="str">
        <f>+VLOOKUP($AJ674,Data_Validation!$A:$D,3,0)</f>
        <v>Véhicules neufs</v>
      </c>
      <c r="AQ674" s="598" t="str">
        <f>+VLOOKUP($AJ674,Data_Validation!$A:$D,4,0)</f>
        <v>Autos détail</v>
      </c>
      <c r="AR674" s="598" t="s">
        <v>299</v>
      </c>
      <c r="AS674" s="598">
        <f>+VLOOKUP($AJ674,Data_Validation!$A:$E,5,0)</f>
        <v>0</v>
      </c>
      <c r="AT674" s="1036" t="str">
        <f t="shared" si="63"/>
        <v>H41000</v>
      </c>
      <c r="AU674" s="599" t="str">
        <f t="shared" si="64"/>
        <v>CT SONATA</v>
      </c>
      <c r="AV674" s="1030">
        <f>IFERROR(INDEX(V674:AG674,1,MATCH(Parametres!$B$3,V$1:AG$1,0)-1)*IF(OR(C674="L",C674="S",C674="I"),-1,1),"")</f>
        <v>0</v>
      </c>
      <c r="AW674" s="1030">
        <f t="shared" si="65"/>
        <v>0</v>
      </c>
      <c r="AX674" s="1030">
        <f>INDEX(V674:AG674,1,MATCH(Parametres!$B$3,V$1:AG$1,0))*IF(OR(C674="L",C674="S",C674="I"),-1,1)</f>
        <v>0</v>
      </c>
      <c r="AY674" s="598" t="s">
        <v>337</v>
      </c>
      <c r="AZ674" s="598">
        <f>+VLOOKUP($AJ674,Data_Validation!$A:$E,5,0)</f>
        <v>0</v>
      </c>
    </row>
    <row r="675" spans="1:52" ht="15" customHeight="1">
      <c r="A675" s="832" t="s">
        <v>1150</v>
      </c>
      <c r="B675" s="832">
        <v>2025</v>
      </c>
      <c r="C675" s="832" t="s">
        <v>2480</v>
      </c>
      <c r="D675" s="832" t="s">
        <v>2481</v>
      </c>
      <c r="E675" s="832" t="s">
        <v>1889</v>
      </c>
      <c r="F675" s="832" t="s">
        <v>2438</v>
      </c>
      <c r="G675" s="832">
        <v>0</v>
      </c>
      <c r="H675" s="832">
        <v>0</v>
      </c>
      <c r="I675" s="832">
        <v>0</v>
      </c>
      <c r="J675" s="832">
        <v>0</v>
      </c>
      <c r="K675" s="832">
        <v>0</v>
      </c>
      <c r="L675" s="832">
        <v>0</v>
      </c>
      <c r="M675" s="832">
        <v>0</v>
      </c>
      <c r="N675" s="832">
        <v>0</v>
      </c>
      <c r="O675" s="832">
        <v>0</v>
      </c>
      <c r="P675" s="832">
        <v>0</v>
      </c>
      <c r="Q675" s="832">
        <v>0</v>
      </c>
      <c r="R675" s="832">
        <v>0</v>
      </c>
      <c r="S675" s="832">
        <v>0</v>
      </c>
      <c r="T675" s="832">
        <v>0</v>
      </c>
      <c r="U675" s="832">
        <v>0</v>
      </c>
      <c r="V675" s="832">
        <v>0</v>
      </c>
      <c r="W675" s="832">
        <v>0</v>
      </c>
      <c r="X675" s="832">
        <v>0</v>
      </c>
      <c r="Y675" s="832">
        <v>0</v>
      </c>
      <c r="Z675" s="832">
        <v>0</v>
      </c>
      <c r="AA675" s="832">
        <v>0</v>
      </c>
      <c r="AB675" s="832">
        <v>0</v>
      </c>
      <c r="AC675" s="832">
        <v>0</v>
      </c>
      <c r="AD675" s="832">
        <v>0</v>
      </c>
      <c r="AE675" s="832">
        <v>0</v>
      </c>
      <c r="AF675" s="832">
        <v>0</v>
      </c>
      <c r="AG675" s="832">
        <v>0</v>
      </c>
      <c r="AH675" s="832">
        <v>0</v>
      </c>
      <c r="AI675" s="832">
        <v>0</v>
      </c>
      <c r="AJ675" s="1030" t="str">
        <f t="shared" si="66"/>
        <v>H41100</v>
      </c>
      <c r="AK675" s="1030" t="str">
        <f t="shared" si="67"/>
        <v>CT EQUUS</v>
      </c>
      <c r="AL675" s="1030">
        <f>IFERROR(INDEX(G675:R675,1,MATCH(Parametres!$B$3,G$1:R$1,0)-1)*IF(OR(F675="L",F675="S",F675="I"),-1,1),"")</f>
        <v>0</v>
      </c>
      <c r="AM675" s="1030">
        <f t="shared" si="62"/>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t="str">
        <f t="shared" si="63"/>
        <v>H41100</v>
      </c>
      <c r="AU675" s="599" t="str">
        <f t="shared" si="64"/>
        <v>CT EQUUS</v>
      </c>
      <c r="AV675" s="1030">
        <f>IFERROR(INDEX(V675:AG675,1,MATCH(Parametres!$B$3,V$1:AG$1,0)-1)*IF(OR(C675="L",C675="S",C675="I"),-1,1),"")</f>
        <v>0</v>
      </c>
      <c r="AW675" s="1030">
        <f t="shared" si="65"/>
        <v>0</v>
      </c>
      <c r="AX675" s="1030">
        <f>INDEX(V675:AG675,1,MATCH(Parametres!$B$3,V$1:AG$1,0))*IF(OR(C675="L",C675="S",C675="I"),-1,1)</f>
        <v>0</v>
      </c>
      <c r="AY675" s="598" t="s">
        <v>337</v>
      </c>
      <c r="AZ675" s="598" t="e">
        <f>+VLOOKUP($AJ675,Data_Validation!$A:$E,5,0)</f>
        <v>#N/A</v>
      </c>
    </row>
    <row r="676" spans="1:52" ht="15" customHeight="1">
      <c r="A676" s="832" t="s">
        <v>1150</v>
      </c>
      <c r="B676" s="832">
        <v>2025</v>
      </c>
      <c r="C676" s="832" t="s">
        <v>2482</v>
      </c>
      <c r="D676" s="832" t="s">
        <v>2483</v>
      </c>
      <c r="E676" s="832" t="s">
        <v>1889</v>
      </c>
      <c r="F676" s="832" t="s">
        <v>2438</v>
      </c>
      <c r="G676" s="832">
        <v>0</v>
      </c>
      <c r="H676" s="832">
        <v>0</v>
      </c>
      <c r="I676" s="832">
        <v>0</v>
      </c>
      <c r="J676" s="832">
        <v>0</v>
      </c>
      <c r="K676" s="832">
        <v>0</v>
      </c>
      <c r="L676" s="832">
        <v>0</v>
      </c>
      <c r="M676" s="832">
        <v>0</v>
      </c>
      <c r="N676" s="832">
        <v>0</v>
      </c>
      <c r="O676" s="832">
        <v>0</v>
      </c>
      <c r="P676" s="832">
        <v>0</v>
      </c>
      <c r="Q676" s="832">
        <v>0</v>
      </c>
      <c r="R676" s="832">
        <v>0</v>
      </c>
      <c r="S676" s="832">
        <v>0</v>
      </c>
      <c r="T676" s="832">
        <v>0</v>
      </c>
      <c r="U676" s="832">
        <v>0</v>
      </c>
      <c r="V676" s="832">
        <v>0</v>
      </c>
      <c r="W676" s="832">
        <v>0</v>
      </c>
      <c r="X676" s="832">
        <v>0</v>
      </c>
      <c r="Y676" s="832">
        <v>0</v>
      </c>
      <c r="Z676" s="832">
        <v>0</v>
      </c>
      <c r="AA676" s="832">
        <v>0</v>
      </c>
      <c r="AB676" s="832">
        <v>0</v>
      </c>
      <c r="AC676" s="832">
        <v>0</v>
      </c>
      <c r="AD676" s="832">
        <v>0</v>
      </c>
      <c r="AE676" s="832">
        <v>0</v>
      </c>
      <c r="AF676" s="832">
        <v>0</v>
      </c>
      <c r="AG676" s="832">
        <v>0</v>
      </c>
      <c r="AH676" s="832">
        <v>0</v>
      </c>
      <c r="AI676" s="832">
        <v>0</v>
      </c>
      <c r="AJ676" s="1030" t="str">
        <f t="shared" si="66"/>
        <v>H41200</v>
      </c>
      <c r="AK676" s="1030" t="str">
        <f t="shared" si="67"/>
        <v>CT VELOSTER</v>
      </c>
      <c r="AL676" s="1030">
        <f>IFERROR(INDEX(G676:R676,1,MATCH(Parametres!$B$3,G$1:R$1,0)-1)*IF(OR(F676="L",F676="S",F676="I"),-1,1),"")</f>
        <v>0</v>
      </c>
      <c r="AM676" s="1030">
        <f t="shared" si="62"/>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t="str">
        <f t="shared" si="63"/>
        <v>H41200</v>
      </c>
      <c r="AU676" s="599" t="str">
        <f t="shared" si="64"/>
        <v>CT VELOSTER</v>
      </c>
      <c r="AV676" s="1030">
        <f>IFERROR(INDEX(V676:AG676,1,MATCH(Parametres!$B$3,V$1:AG$1,0)-1)*IF(OR(C676="L",C676="S",C676="I"),-1,1),"")</f>
        <v>0</v>
      </c>
      <c r="AW676" s="1030">
        <f t="shared" si="65"/>
        <v>0</v>
      </c>
      <c r="AX676" s="1030">
        <f>INDEX(V676:AG676,1,MATCH(Parametres!$B$3,V$1:AG$1,0))*IF(OR(C676="L",C676="S",C676="I"),-1,1)</f>
        <v>0</v>
      </c>
      <c r="AY676" s="598" t="s">
        <v>337</v>
      </c>
      <c r="AZ676" s="598" t="e">
        <f>+VLOOKUP($AJ676,Data_Validation!$A:$E,5,0)</f>
        <v>#N/A</v>
      </c>
    </row>
    <row r="677" spans="1:52" ht="15" customHeight="1">
      <c r="A677" s="832" t="s">
        <v>1150</v>
      </c>
      <c r="B677" s="832">
        <v>2025</v>
      </c>
      <c r="C677" s="832" t="s">
        <v>2484</v>
      </c>
      <c r="D677" s="832" t="s">
        <v>2485</v>
      </c>
      <c r="E677" s="832" t="s">
        <v>1889</v>
      </c>
      <c r="F677" s="832" t="s">
        <v>2438</v>
      </c>
      <c r="G677" s="832">
        <v>185629.07</v>
      </c>
      <c r="H677" s="832">
        <v>410062.26</v>
      </c>
      <c r="I677" s="832">
        <v>757841.54</v>
      </c>
      <c r="J677" s="832">
        <v>1215082.5900000001</v>
      </c>
      <c r="K677" s="832">
        <v>1603180.4</v>
      </c>
      <c r="L677" s="832">
        <v>1681309.89</v>
      </c>
      <c r="M677" s="832">
        <v>2164203.79</v>
      </c>
      <c r="N677" s="832">
        <v>2552324.4</v>
      </c>
      <c r="O677" s="832">
        <v>2859889.82</v>
      </c>
      <c r="P677" s="832">
        <v>3361331.87</v>
      </c>
      <c r="Q677" s="832">
        <v>3753644.88</v>
      </c>
      <c r="R677" s="832">
        <v>4144769.64</v>
      </c>
      <c r="S677" s="832">
        <v>341240.44</v>
      </c>
      <c r="T677" s="832">
        <v>341240.44</v>
      </c>
      <c r="U677" s="832">
        <v>0</v>
      </c>
      <c r="V677" s="832">
        <v>0</v>
      </c>
      <c r="W677" s="832">
        <v>0</v>
      </c>
      <c r="X677" s="832">
        <v>0</v>
      </c>
      <c r="Y677" s="832">
        <v>0</v>
      </c>
      <c r="Z677" s="832">
        <v>0</v>
      </c>
      <c r="AA677" s="832">
        <v>0</v>
      </c>
      <c r="AB677" s="832">
        <v>0</v>
      </c>
      <c r="AC677" s="832">
        <v>0</v>
      </c>
      <c r="AD677" s="832">
        <v>0</v>
      </c>
      <c r="AE677" s="832">
        <v>0</v>
      </c>
      <c r="AF677" s="832">
        <v>0</v>
      </c>
      <c r="AG677" s="832">
        <v>0</v>
      </c>
      <c r="AH677" s="832">
        <v>0</v>
      </c>
      <c r="AI677" s="832">
        <v>0</v>
      </c>
      <c r="AJ677" s="1030" t="str">
        <f t="shared" si="66"/>
        <v>H41300</v>
      </c>
      <c r="AK677" s="1030" t="str">
        <f t="shared" si="67"/>
        <v>CT VEH NF TUCSON</v>
      </c>
      <c r="AL677" s="1030">
        <f>IFERROR(INDEX(G677:R677,1,MATCH(Parametres!$B$3,G$1:R$1,0)-1)*IF(OR(F677="L",F677="S",F677="I"),-1,1),"")</f>
        <v>1215082.5900000001</v>
      </c>
      <c r="AM677" s="1030">
        <f t="shared" si="62"/>
        <v>388097.80999999982</v>
      </c>
      <c r="AN677" s="1030">
        <f>INDEX(G677:R677,1,MATCH(Parametres!$B$3,G$1:R$1,0))*IF(OR(F677="L",F677="S",F677="I"),-1,1)</f>
        <v>1603180.4</v>
      </c>
      <c r="AO677" s="598" t="str">
        <f>+VLOOKUP($AJ677,Data_Validation!$A:$D,1,0)</f>
        <v>H41300</v>
      </c>
      <c r="AP677" s="598" t="str">
        <f>+VLOOKUP($AJ677,Data_Validation!$A:$D,3,0)</f>
        <v>Véhicules neufs</v>
      </c>
      <c r="AQ677" s="598" t="str">
        <f>+VLOOKUP($AJ677,Data_Validation!$A:$D,4,0)</f>
        <v>Camions détail</v>
      </c>
      <c r="AR677" s="598" t="s">
        <v>299</v>
      </c>
      <c r="AS677" s="598">
        <f>+VLOOKUP($AJ677,Data_Validation!$A:$E,5,0)</f>
        <v>0</v>
      </c>
      <c r="AT677" s="1036" t="str">
        <f t="shared" si="63"/>
        <v>H41300</v>
      </c>
      <c r="AU677" s="599" t="str">
        <f t="shared" si="64"/>
        <v>CT VEH NF TUCSON</v>
      </c>
      <c r="AV677" s="1030">
        <f>IFERROR(INDEX(V677:AG677,1,MATCH(Parametres!$B$3,V$1:AG$1,0)-1)*IF(OR(C677="L",C677="S",C677="I"),-1,1),"")</f>
        <v>0</v>
      </c>
      <c r="AW677" s="1030">
        <f t="shared" si="65"/>
        <v>0</v>
      </c>
      <c r="AX677" s="1030">
        <f>INDEX(V677:AG677,1,MATCH(Parametres!$B$3,V$1:AG$1,0))*IF(OR(C677="L",C677="S",C677="I"),-1,1)</f>
        <v>0</v>
      </c>
      <c r="AY677" s="598" t="s">
        <v>337</v>
      </c>
      <c r="AZ677" s="598">
        <f>+VLOOKUP($AJ677,Data_Validation!$A:$E,5,0)</f>
        <v>0</v>
      </c>
    </row>
    <row r="678" spans="1:52" ht="15" customHeight="1">
      <c r="A678" s="832" t="s">
        <v>1150</v>
      </c>
      <c r="B678" s="832">
        <v>2025</v>
      </c>
      <c r="C678" s="832" t="s">
        <v>2486</v>
      </c>
      <c r="D678" s="832" t="s">
        <v>2487</v>
      </c>
      <c r="E678" s="832" t="s">
        <v>1889</v>
      </c>
      <c r="F678" s="832" t="s">
        <v>2438</v>
      </c>
      <c r="G678" s="832">
        <v>363990.21</v>
      </c>
      <c r="H678" s="832">
        <v>498719.17</v>
      </c>
      <c r="I678" s="832">
        <v>851256.54</v>
      </c>
      <c r="J678" s="832">
        <v>1345257.86</v>
      </c>
      <c r="K678" s="832">
        <v>1791362.45</v>
      </c>
      <c r="L678" s="832">
        <v>1791362.45</v>
      </c>
      <c r="M678" s="832">
        <v>1838583.4</v>
      </c>
      <c r="N678" s="832">
        <v>1838583.4</v>
      </c>
      <c r="O678" s="832">
        <v>1838583.4</v>
      </c>
      <c r="P678" s="832">
        <v>1926554.38</v>
      </c>
      <c r="Q678" s="832">
        <v>2200004.37</v>
      </c>
      <c r="R678" s="832">
        <v>2293770.94</v>
      </c>
      <c r="S678" s="832">
        <v>200000.4</v>
      </c>
      <c r="T678" s="832">
        <v>200000.4</v>
      </c>
      <c r="U678" s="832">
        <v>0</v>
      </c>
      <c r="V678" s="832">
        <v>0</v>
      </c>
      <c r="W678" s="832">
        <v>0</v>
      </c>
      <c r="X678" s="832">
        <v>0</v>
      </c>
      <c r="Y678" s="832">
        <v>0</v>
      </c>
      <c r="Z678" s="832">
        <v>0</v>
      </c>
      <c r="AA678" s="832">
        <v>0</v>
      </c>
      <c r="AB678" s="832">
        <v>0</v>
      </c>
      <c r="AC678" s="832">
        <v>0</v>
      </c>
      <c r="AD678" s="832">
        <v>0</v>
      </c>
      <c r="AE678" s="832">
        <v>0</v>
      </c>
      <c r="AF678" s="832">
        <v>0</v>
      </c>
      <c r="AG678" s="832">
        <v>0</v>
      </c>
      <c r="AH678" s="832">
        <v>0</v>
      </c>
      <c r="AI678" s="832">
        <v>0</v>
      </c>
      <c r="AJ678" s="1030" t="str">
        <f t="shared" si="66"/>
        <v>H41301</v>
      </c>
      <c r="AK678" s="1030" t="str">
        <f t="shared" si="67"/>
        <v>CT TUCSON HYBRID</v>
      </c>
      <c r="AL678" s="1030">
        <f>IFERROR(INDEX(G678:R678,1,MATCH(Parametres!$B$3,G$1:R$1,0)-1)*IF(OR(F678="L",F678="S",F678="I"),-1,1),"")</f>
        <v>1345257.86</v>
      </c>
      <c r="AM678" s="1030">
        <f t="shared" si="62"/>
        <v>446104.58999999985</v>
      </c>
      <c r="AN678" s="1030">
        <f>INDEX(G678:R678,1,MATCH(Parametres!$B$3,G$1:R$1,0))*IF(OR(F678="L",F678="S",F678="I"),-1,1)</f>
        <v>1791362.45</v>
      </c>
      <c r="AO678" s="598" t="str">
        <f>+VLOOKUP($AJ678,Data_Validation!$A:$D,1,0)</f>
        <v>H41301</v>
      </c>
      <c r="AP678" s="598" t="str">
        <f>+VLOOKUP($AJ678,Data_Validation!$A:$D,3,0)</f>
        <v>Véhicules neufs</v>
      </c>
      <c r="AQ678" s="598" t="str">
        <f>+VLOOKUP($AJ678,Data_Validation!$A:$D,4,0)</f>
        <v>Camions détail</v>
      </c>
      <c r="AR678" s="598" t="s">
        <v>299</v>
      </c>
      <c r="AS678" s="598">
        <f>+VLOOKUP($AJ678,Data_Validation!$A:$E,5,0)</f>
        <v>0</v>
      </c>
      <c r="AT678" s="1036" t="str">
        <f t="shared" si="63"/>
        <v>H41301</v>
      </c>
      <c r="AU678" s="599" t="str">
        <f t="shared" si="64"/>
        <v>CT TUCSON HYBRID</v>
      </c>
      <c r="AV678" s="1030">
        <f>IFERROR(INDEX(V678:AG678,1,MATCH(Parametres!$B$3,V$1:AG$1,0)-1)*IF(OR(C678="L",C678="S",C678="I"),-1,1),"")</f>
        <v>0</v>
      </c>
      <c r="AW678" s="1030">
        <f t="shared" si="65"/>
        <v>0</v>
      </c>
      <c r="AX678" s="1030">
        <f>INDEX(V678:AG678,1,MATCH(Parametres!$B$3,V$1:AG$1,0))*IF(OR(C678="L",C678="S",C678="I"),-1,1)</f>
        <v>0</v>
      </c>
      <c r="AY678" s="598" t="s">
        <v>337</v>
      </c>
      <c r="AZ678" s="598">
        <f>+VLOOKUP($AJ678,Data_Validation!$A:$E,5,0)</f>
        <v>0</v>
      </c>
    </row>
    <row r="679" spans="1:52" ht="15" customHeight="1">
      <c r="A679" s="832" t="s">
        <v>1150</v>
      </c>
      <c r="B679" s="832">
        <v>2025</v>
      </c>
      <c r="C679" s="832" t="s">
        <v>2488</v>
      </c>
      <c r="D679" s="832" t="s">
        <v>2489</v>
      </c>
      <c r="E679" s="832" t="s">
        <v>1889</v>
      </c>
      <c r="F679" s="832" t="s">
        <v>2438</v>
      </c>
      <c r="G679" s="832">
        <v>158097.73000000001</v>
      </c>
      <c r="H679" s="832">
        <v>201060.55</v>
      </c>
      <c r="I679" s="832">
        <v>255753.53</v>
      </c>
      <c r="J679" s="832">
        <v>361775.31</v>
      </c>
      <c r="K679" s="832">
        <v>510745.31</v>
      </c>
      <c r="L679" s="832">
        <v>879267.88</v>
      </c>
      <c r="M679" s="832">
        <v>1394634.23</v>
      </c>
      <c r="N679" s="832">
        <v>1715823.49</v>
      </c>
      <c r="O679" s="832">
        <v>1944081.18</v>
      </c>
      <c r="P679" s="832">
        <v>1944081.18</v>
      </c>
      <c r="Q679" s="832">
        <v>2049060.06</v>
      </c>
      <c r="R679" s="832">
        <v>2201250.58</v>
      </c>
      <c r="S679" s="832">
        <v>186278.19</v>
      </c>
      <c r="T679" s="832">
        <v>186278.19</v>
      </c>
      <c r="U679" s="832">
        <v>0</v>
      </c>
      <c r="V679" s="832">
        <v>0</v>
      </c>
      <c r="W679" s="832">
        <v>0</v>
      </c>
      <c r="X679" s="832">
        <v>0</v>
      </c>
      <c r="Y679" s="832">
        <v>0</v>
      </c>
      <c r="Z679" s="832">
        <v>0</v>
      </c>
      <c r="AA679" s="832">
        <v>0</v>
      </c>
      <c r="AB679" s="832">
        <v>0</v>
      </c>
      <c r="AC679" s="832">
        <v>0</v>
      </c>
      <c r="AD679" s="832">
        <v>0</v>
      </c>
      <c r="AE679" s="832">
        <v>0</v>
      </c>
      <c r="AF679" s="832">
        <v>0</v>
      </c>
      <c r="AG679" s="832">
        <v>0</v>
      </c>
      <c r="AH679" s="832">
        <v>0</v>
      </c>
      <c r="AI679" s="832">
        <v>0</v>
      </c>
      <c r="AJ679" s="1030" t="str">
        <f t="shared" si="66"/>
        <v>H41302</v>
      </c>
      <c r="AK679" s="1030" t="str">
        <f t="shared" si="67"/>
        <v>CT TUCSON PHEV</v>
      </c>
      <c r="AL679" s="1030">
        <f>IFERROR(INDEX(G679:R679,1,MATCH(Parametres!$B$3,G$1:R$1,0)-1)*IF(OR(F679="L",F679="S",F679="I"),-1,1),"")</f>
        <v>361775.31</v>
      </c>
      <c r="AM679" s="1030">
        <f t="shared" si="62"/>
        <v>148970</v>
      </c>
      <c r="AN679" s="1030">
        <f>INDEX(G679:R679,1,MATCH(Parametres!$B$3,G$1:R$1,0))*IF(OR(F679="L",F679="S",F679="I"),-1,1)</f>
        <v>510745.31</v>
      </c>
      <c r="AO679" s="598" t="str">
        <f>+VLOOKUP($AJ679,Data_Validation!$A:$D,1,0)</f>
        <v>H41302</v>
      </c>
      <c r="AP679" s="598" t="str">
        <f>+VLOOKUP($AJ679,Data_Validation!$A:$D,3,0)</f>
        <v>Véhicules neufs</v>
      </c>
      <c r="AQ679" s="598" t="str">
        <f>+VLOOKUP($AJ679,Data_Validation!$A:$D,4,0)</f>
        <v>Voitures electriques</v>
      </c>
      <c r="AR679" s="598" t="s">
        <v>299</v>
      </c>
      <c r="AS679" s="598">
        <f>+VLOOKUP($AJ679,Data_Validation!$A:$E,5,0)</f>
        <v>0</v>
      </c>
      <c r="AT679" s="1036" t="str">
        <f t="shared" si="63"/>
        <v>H41302</v>
      </c>
      <c r="AU679" s="599" t="str">
        <f t="shared" si="64"/>
        <v>CT TUCSON PHEV</v>
      </c>
      <c r="AV679" s="1030">
        <f>IFERROR(INDEX(V679:AG679,1,MATCH(Parametres!$B$3,V$1:AG$1,0)-1)*IF(OR(C679="L",C679="S",C679="I"),-1,1),"")</f>
        <v>0</v>
      </c>
      <c r="AW679" s="1030">
        <f t="shared" si="65"/>
        <v>0</v>
      </c>
      <c r="AX679" s="1030">
        <f>INDEX(V679:AG679,1,MATCH(Parametres!$B$3,V$1:AG$1,0))*IF(OR(C679="L",C679="S",C679="I"),-1,1)</f>
        <v>0</v>
      </c>
      <c r="AY679" s="598" t="s">
        <v>337</v>
      </c>
      <c r="AZ679" s="598">
        <f>+VLOOKUP($AJ679,Data_Validation!$A:$E,5,0)</f>
        <v>0</v>
      </c>
    </row>
    <row r="680" spans="1:52" ht="15" customHeight="1">
      <c r="A680" s="832" t="s">
        <v>1150</v>
      </c>
      <c r="B680" s="832">
        <v>2025</v>
      </c>
      <c r="C680" s="832" t="s">
        <v>2490</v>
      </c>
      <c r="D680" s="832" t="s">
        <v>2491</v>
      </c>
      <c r="E680" s="832" t="s">
        <v>333</v>
      </c>
      <c r="F680" s="832" t="s">
        <v>2438</v>
      </c>
      <c r="G680" s="832">
        <v>0</v>
      </c>
      <c r="H680" s="832">
        <v>0</v>
      </c>
      <c r="I680" s="832">
        <v>0</v>
      </c>
      <c r="J680" s="832">
        <v>0</v>
      </c>
      <c r="K680" s="832">
        <v>0</v>
      </c>
      <c r="L680" s="832">
        <v>0</v>
      </c>
      <c r="M680" s="832">
        <v>0</v>
      </c>
      <c r="N680" s="832">
        <v>0</v>
      </c>
      <c r="O680" s="832">
        <v>0</v>
      </c>
      <c r="P680" s="832">
        <v>0</v>
      </c>
      <c r="Q680" s="832">
        <v>0</v>
      </c>
      <c r="R680" s="832">
        <v>0</v>
      </c>
      <c r="S680" s="832">
        <v>0</v>
      </c>
      <c r="T680" s="832">
        <v>0</v>
      </c>
      <c r="U680" s="832">
        <v>0</v>
      </c>
      <c r="V680" s="832">
        <v>0</v>
      </c>
      <c r="W680" s="832">
        <v>0</v>
      </c>
      <c r="X680" s="832">
        <v>0</v>
      </c>
      <c r="Y680" s="832">
        <v>0</v>
      </c>
      <c r="Z680" s="832">
        <v>0</v>
      </c>
      <c r="AA680" s="832">
        <v>0</v>
      </c>
      <c r="AB680" s="832">
        <v>0</v>
      </c>
      <c r="AC680" s="832">
        <v>0</v>
      </c>
      <c r="AD680" s="832">
        <v>0</v>
      </c>
      <c r="AE680" s="832">
        <v>0</v>
      </c>
      <c r="AF680" s="832">
        <v>0</v>
      </c>
      <c r="AG680" s="832">
        <v>0</v>
      </c>
      <c r="AH680" s="832">
        <v>0</v>
      </c>
      <c r="AI680" s="832">
        <v>0</v>
      </c>
      <c r="AJ680" s="1030" t="str">
        <f t="shared" si="66"/>
        <v>H41400</v>
      </c>
      <c r="AK680" s="1030" t="str">
        <f t="shared" si="67"/>
        <v>CT ACC. INST. CONC.</v>
      </c>
      <c r="AL680" s="1030">
        <f>IFERROR(INDEX(G680:R680,1,MATCH(Parametres!$B$3,G$1:R$1,0)-1)*IF(OR(F680="L",F680="S",F680="I"),-1,1),"")</f>
        <v>0</v>
      </c>
      <c r="AM680" s="1030">
        <f t="shared" si="62"/>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t="str">
        <f t="shared" si="63"/>
        <v>H41400</v>
      </c>
      <c r="AU680" s="599" t="str">
        <f t="shared" si="64"/>
        <v>CT ACC. INST. CONC.</v>
      </c>
      <c r="AV680" s="1030">
        <f>IFERROR(INDEX(V680:AG680,1,MATCH(Parametres!$B$3,V$1:AG$1,0)-1)*IF(OR(C680="L",C680="S",C680="I"),-1,1),"")</f>
        <v>0</v>
      </c>
      <c r="AW680" s="1030">
        <f t="shared" si="65"/>
        <v>0</v>
      </c>
      <c r="AX680" s="1030">
        <f>INDEX(V680:AG680,1,MATCH(Parametres!$B$3,V$1:AG$1,0))*IF(OR(C680="L",C680="S",C680="I"),-1,1)</f>
        <v>0</v>
      </c>
      <c r="AY680" s="598" t="s">
        <v>337</v>
      </c>
      <c r="AZ680" s="598" t="e">
        <f>+VLOOKUP($AJ680,Data_Validation!$A:$E,5,0)</f>
        <v>#N/A</v>
      </c>
    </row>
    <row r="681" spans="1:52" ht="15" customHeight="1">
      <c r="A681" s="832" t="s">
        <v>1150</v>
      </c>
      <c r="B681" s="832">
        <v>2025</v>
      </c>
      <c r="C681" s="832" t="s">
        <v>2492</v>
      </c>
      <c r="D681" s="832" t="s">
        <v>2493</v>
      </c>
      <c r="E681" s="832" t="s">
        <v>333</v>
      </c>
      <c r="F681" s="832" t="s">
        <v>2438</v>
      </c>
      <c r="G681" s="832">
        <v>58578</v>
      </c>
      <c r="H681" s="832">
        <v>80848.36</v>
      </c>
      <c r="I681" s="832">
        <v>109112.36</v>
      </c>
      <c r="J681" s="832">
        <v>184231.23</v>
      </c>
      <c r="K681" s="832">
        <v>237378.23</v>
      </c>
      <c r="L681" s="832">
        <v>273199.23</v>
      </c>
      <c r="M681" s="832">
        <v>307477.23</v>
      </c>
      <c r="N681" s="832">
        <v>347473.23</v>
      </c>
      <c r="O681" s="832">
        <v>377821.23</v>
      </c>
      <c r="P681" s="832">
        <v>428548.24</v>
      </c>
      <c r="Q681" s="832">
        <v>448111.23</v>
      </c>
      <c r="R681" s="832">
        <v>469500.13</v>
      </c>
      <c r="S681" s="832">
        <v>40737.379999999997</v>
      </c>
      <c r="T681" s="832">
        <v>40737.379999999997</v>
      </c>
      <c r="U681" s="832">
        <v>0</v>
      </c>
      <c r="V681" s="832">
        <v>0</v>
      </c>
      <c r="W681" s="832">
        <v>0</v>
      </c>
      <c r="X681" s="832">
        <v>0</v>
      </c>
      <c r="Y681" s="832">
        <v>0</v>
      </c>
      <c r="Z681" s="832">
        <v>0</v>
      </c>
      <c r="AA681" s="832">
        <v>0</v>
      </c>
      <c r="AB681" s="832">
        <v>0</v>
      </c>
      <c r="AC681" s="832">
        <v>0</v>
      </c>
      <c r="AD681" s="832">
        <v>0</v>
      </c>
      <c r="AE681" s="832">
        <v>0</v>
      </c>
      <c r="AF681" s="832">
        <v>0</v>
      </c>
      <c r="AG681" s="832">
        <v>0</v>
      </c>
      <c r="AH681" s="832">
        <v>0</v>
      </c>
      <c r="AI681" s="832">
        <v>0</v>
      </c>
      <c r="AJ681" s="1030" t="str">
        <f t="shared" si="66"/>
        <v>H41500</v>
      </c>
      <c r="AK681" s="1030" t="str">
        <f t="shared" si="67"/>
        <v>CT P.P.H.</v>
      </c>
      <c r="AL681" s="1030">
        <f>IFERROR(INDEX(G681:R681,1,MATCH(Parametres!$B$3,G$1:R$1,0)-1)*IF(OR(F681="L",F681="S",F681="I"),-1,1),"")</f>
        <v>184231.23</v>
      </c>
      <c r="AM681" s="1030">
        <f t="shared" si="62"/>
        <v>53147</v>
      </c>
      <c r="AN681" s="1030">
        <f>INDEX(G681:R681,1,MATCH(Parametres!$B$3,G$1:R$1,0))*IF(OR(F681="L",F681="S",F681="I"),-1,1)</f>
        <v>237378.23</v>
      </c>
      <c r="AO681" s="598" t="str">
        <f>+VLOOKUP($AJ681,Data_Validation!$A:$D,1,0)</f>
        <v>H41500</v>
      </c>
      <c r="AP681" s="598" t="str">
        <f>+VLOOKUP($AJ681,Data_Validation!$A:$D,3,0)</f>
        <v>Véhicules neufs</v>
      </c>
      <c r="AQ681" s="598" t="str">
        <f>+VLOOKUP($AJ681,Data_Validation!$A:$D,4,0)</f>
        <v>Rev. Protections</v>
      </c>
      <c r="AR681" s="598" t="s">
        <v>299</v>
      </c>
      <c r="AS681" s="598">
        <f>+VLOOKUP($AJ681,Data_Validation!$A:$E,5,0)</f>
        <v>0</v>
      </c>
      <c r="AT681" s="1036" t="str">
        <f t="shared" si="63"/>
        <v>H41500</v>
      </c>
      <c r="AU681" s="599" t="str">
        <f t="shared" si="64"/>
        <v>CT P.P.H.</v>
      </c>
      <c r="AV681" s="1030">
        <f>IFERROR(INDEX(V681:AG681,1,MATCH(Parametres!$B$3,V$1:AG$1,0)-1)*IF(OR(C681="L",C681="S",C681="I"),-1,1),"")</f>
        <v>0</v>
      </c>
      <c r="AW681" s="1030">
        <f t="shared" si="65"/>
        <v>0</v>
      </c>
      <c r="AX681" s="1030">
        <f>INDEX(V681:AG681,1,MATCH(Parametres!$B$3,V$1:AG$1,0))*IF(OR(C681="L",C681="S",C681="I"),-1,1)</f>
        <v>0</v>
      </c>
      <c r="AY681" s="598" t="s">
        <v>337</v>
      </c>
      <c r="AZ681" s="598">
        <f>+VLOOKUP($AJ681,Data_Validation!$A:$E,5,0)</f>
        <v>0</v>
      </c>
    </row>
    <row r="682" spans="1:52" ht="15" customHeight="1">
      <c r="A682" s="832" t="s">
        <v>1150</v>
      </c>
      <c r="B682" s="832">
        <v>2025</v>
      </c>
      <c r="C682" s="832" t="s">
        <v>2494</v>
      </c>
      <c r="D682" s="832" t="s">
        <v>2495</v>
      </c>
      <c r="E682" s="832" t="s">
        <v>333</v>
      </c>
      <c r="F682" s="832" t="s">
        <v>2438</v>
      </c>
      <c r="G682" s="832">
        <v>0</v>
      </c>
      <c r="H682" s="832">
        <v>0</v>
      </c>
      <c r="I682" s="832">
        <v>1159.04</v>
      </c>
      <c r="J682" s="832">
        <v>2695.45</v>
      </c>
      <c r="K682" s="832">
        <v>6836.91</v>
      </c>
      <c r="L682" s="832">
        <v>15618.77</v>
      </c>
      <c r="M682" s="832">
        <v>21015.9</v>
      </c>
      <c r="N682" s="832">
        <v>25340.77</v>
      </c>
      <c r="O682" s="832">
        <v>33302.629999999997</v>
      </c>
      <c r="P682" s="832">
        <v>33302.629999999997</v>
      </c>
      <c r="Q682" s="832">
        <v>33302.629999999997</v>
      </c>
      <c r="R682" s="832">
        <v>33302.629999999997</v>
      </c>
      <c r="S682" s="832">
        <v>3027.51</v>
      </c>
      <c r="T682" s="832">
        <v>3027.51</v>
      </c>
      <c r="U682" s="832">
        <v>0</v>
      </c>
      <c r="V682" s="832">
        <v>0</v>
      </c>
      <c r="W682" s="832">
        <v>0</v>
      </c>
      <c r="X682" s="832">
        <v>0</v>
      </c>
      <c r="Y682" s="832">
        <v>0</v>
      </c>
      <c r="Z682" s="832">
        <v>0</v>
      </c>
      <c r="AA682" s="832">
        <v>0</v>
      </c>
      <c r="AB682" s="832">
        <v>0</v>
      </c>
      <c r="AC682" s="832">
        <v>0</v>
      </c>
      <c r="AD682" s="832">
        <v>0</v>
      </c>
      <c r="AE682" s="832">
        <v>0</v>
      </c>
      <c r="AF682" s="832">
        <v>0</v>
      </c>
      <c r="AG682" s="832">
        <v>0</v>
      </c>
      <c r="AH682" s="832">
        <v>0</v>
      </c>
      <c r="AI682" s="832">
        <v>0</v>
      </c>
      <c r="AJ682" s="1030" t="str">
        <f t="shared" si="66"/>
        <v>H41600</v>
      </c>
      <c r="AK682" s="1030" t="str">
        <f t="shared" si="67"/>
        <v>CT VEH NF REV ASSURANCE</v>
      </c>
      <c r="AL682" s="1030">
        <f>IFERROR(INDEX(G682:R682,1,MATCH(Parametres!$B$3,G$1:R$1,0)-1)*IF(OR(F682="L",F682="S",F682="I"),-1,1),"")</f>
        <v>2695.45</v>
      </c>
      <c r="AM682" s="1030">
        <f t="shared" si="62"/>
        <v>4141.46</v>
      </c>
      <c r="AN682" s="1030">
        <f>INDEX(G682:R682,1,MATCH(Parametres!$B$3,G$1:R$1,0))*IF(OR(F682="L",F682="S",F682="I"),-1,1)</f>
        <v>6836.91</v>
      </c>
      <c r="AO682" s="598" t="str">
        <f>+VLOOKUP($AJ682,Data_Validation!$A:$D,1,0)</f>
        <v>H41600</v>
      </c>
      <c r="AP682" s="598" t="str">
        <f>+VLOOKUP($AJ682,Data_Validation!$A:$D,3,0)</f>
        <v>Véhicules neufs</v>
      </c>
      <c r="AQ682" s="598" t="str">
        <f>+VLOOKUP($AJ682,Data_Validation!$A:$D,4,0)</f>
        <v>Rev. Protections</v>
      </c>
      <c r="AR682" s="598" t="s">
        <v>299</v>
      </c>
      <c r="AS682" s="598">
        <f>+VLOOKUP($AJ682,Data_Validation!$A:$E,5,0)</f>
        <v>0</v>
      </c>
      <c r="AT682" s="1036" t="str">
        <f t="shared" si="63"/>
        <v>H41600</v>
      </c>
      <c r="AU682" s="599" t="str">
        <f t="shared" si="64"/>
        <v>CT VEH NF REV ASSURANCE</v>
      </c>
      <c r="AV682" s="1030">
        <f>IFERROR(INDEX(V682:AG682,1,MATCH(Parametres!$B$3,V$1:AG$1,0)-1)*IF(OR(C682="L",C682="S",C682="I"),-1,1),"")</f>
        <v>0</v>
      </c>
      <c r="AW682" s="1030">
        <f t="shared" si="65"/>
        <v>0</v>
      </c>
      <c r="AX682" s="1030">
        <f>INDEX(V682:AG682,1,MATCH(Parametres!$B$3,V$1:AG$1,0))*IF(OR(C682="L",C682="S",C682="I"),-1,1)</f>
        <v>0</v>
      </c>
      <c r="AY682" s="598" t="s">
        <v>337</v>
      </c>
      <c r="AZ682" s="598">
        <f>+VLOOKUP($AJ682,Data_Validation!$A:$E,5,0)</f>
        <v>0</v>
      </c>
    </row>
    <row r="683" spans="1:52" ht="15" customHeight="1">
      <c r="A683" s="832" t="s">
        <v>1150</v>
      </c>
      <c r="B683" s="832">
        <v>2025</v>
      </c>
      <c r="C683" s="832" t="s">
        <v>2496</v>
      </c>
      <c r="D683" s="832" t="s">
        <v>2497</v>
      </c>
      <c r="E683" s="832" t="s">
        <v>333</v>
      </c>
      <c r="F683" s="832" t="s">
        <v>2438</v>
      </c>
      <c r="G683" s="832">
        <v>0</v>
      </c>
      <c r="H683" s="832">
        <v>0</v>
      </c>
      <c r="I683" s="832">
        <v>0</v>
      </c>
      <c r="J683" s="832">
        <v>0</v>
      </c>
      <c r="K683" s="832">
        <v>0</v>
      </c>
      <c r="L683" s="832">
        <v>0</v>
      </c>
      <c r="M683" s="832">
        <v>0</v>
      </c>
      <c r="N683" s="832">
        <v>0</v>
      </c>
      <c r="O683" s="832">
        <v>0</v>
      </c>
      <c r="P683" s="832">
        <v>0</v>
      </c>
      <c r="Q683" s="832">
        <v>0</v>
      </c>
      <c r="R683" s="832">
        <v>0</v>
      </c>
      <c r="S683" s="832">
        <v>0</v>
      </c>
      <c r="T683" s="832">
        <v>0</v>
      </c>
      <c r="U683" s="832">
        <v>0</v>
      </c>
      <c r="V683" s="832">
        <v>0</v>
      </c>
      <c r="W683" s="832">
        <v>0</v>
      </c>
      <c r="X683" s="832">
        <v>0</v>
      </c>
      <c r="Y683" s="832">
        <v>0</v>
      </c>
      <c r="Z683" s="832">
        <v>0</v>
      </c>
      <c r="AA683" s="832">
        <v>0</v>
      </c>
      <c r="AB683" s="832">
        <v>0</v>
      </c>
      <c r="AC683" s="832">
        <v>0</v>
      </c>
      <c r="AD683" s="832">
        <v>0</v>
      </c>
      <c r="AE683" s="832">
        <v>0</v>
      </c>
      <c r="AF683" s="832">
        <v>0</v>
      </c>
      <c r="AG683" s="832">
        <v>0</v>
      </c>
      <c r="AH683" s="832">
        <v>0</v>
      </c>
      <c r="AI683" s="832">
        <v>0</v>
      </c>
      <c r="AJ683" s="1030" t="str">
        <f t="shared" si="66"/>
        <v>H41610</v>
      </c>
      <c r="AK683" s="1030" t="str">
        <f t="shared" si="67"/>
        <v>CT ASSURANCE ROUTIERE</v>
      </c>
      <c r="AL683" s="1030">
        <f>IFERROR(INDEX(G683:R683,1,MATCH(Parametres!$B$3,G$1:R$1,0)-1)*IF(OR(F683="L",F683="S",F683="I"),-1,1),"")</f>
        <v>0</v>
      </c>
      <c r="AM683" s="1030">
        <f t="shared" si="62"/>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t="str">
        <f t="shared" si="63"/>
        <v>H41610</v>
      </c>
      <c r="AU683" s="599" t="str">
        <f t="shared" si="64"/>
        <v>CT ASSURANCE ROUTIERE</v>
      </c>
      <c r="AV683" s="1030">
        <f>IFERROR(INDEX(V683:AG683,1,MATCH(Parametres!$B$3,V$1:AG$1,0)-1)*IF(OR(C683="L",C683="S",C683="I"),-1,1),"")</f>
        <v>0</v>
      </c>
      <c r="AW683" s="1030">
        <f t="shared" si="65"/>
        <v>0</v>
      </c>
      <c r="AX683" s="1030">
        <f>INDEX(V683:AG683,1,MATCH(Parametres!$B$3,V$1:AG$1,0))*IF(OR(C683="L",C683="S",C683="I"),-1,1)</f>
        <v>0</v>
      </c>
      <c r="AY683" s="598" t="s">
        <v>337</v>
      </c>
      <c r="AZ683" s="598" t="e">
        <f>+VLOOKUP($AJ683,Data_Validation!$A:$E,5,0)</f>
        <v>#N/A</v>
      </c>
    </row>
    <row r="684" spans="1:52" ht="15" customHeight="1">
      <c r="A684" s="832" t="s">
        <v>1150</v>
      </c>
      <c r="B684" s="832">
        <v>2025</v>
      </c>
      <c r="C684" s="832" t="s">
        <v>2498</v>
      </c>
      <c r="D684" s="832" t="s">
        <v>2497</v>
      </c>
      <c r="E684" s="832" t="s">
        <v>333</v>
      </c>
      <c r="F684" s="832" t="s">
        <v>2438</v>
      </c>
      <c r="G684" s="832">
        <v>2800</v>
      </c>
      <c r="H684" s="832">
        <v>2800</v>
      </c>
      <c r="I684" s="832">
        <v>2800</v>
      </c>
      <c r="J684" s="832">
        <v>2800</v>
      </c>
      <c r="K684" s="832">
        <v>2800</v>
      </c>
      <c r="L684" s="832">
        <v>2800</v>
      </c>
      <c r="M684" s="832">
        <v>2800</v>
      </c>
      <c r="N684" s="832">
        <v>3944</v>
      </c>
      <c r="O684" s="832">
        <v>3944</v>
      </c>
      <c r="P684" s="832">
        <v>3944</v>
      </c>
      <c r="Q684" s="832">
        <v>3944</v>
      </c>
      <c r="R684" s="832">
        <v>6310</v>
      </c>
      <c r="S684" s="832">
        <v>358.55</v>
      </c>
      <c r="T684" s="832">
        <v>358.55</v>
      </c>
      <c r="U684" s="832">
        <v>0</v>
      </c>
      <c r="V684" s="832">
        <v>0</v>
      </c>
      <c r="W684" s="832">
        <v>0</v>
      </c>
      <c r="X684" s="832">
        <v>0</v>
      </c>
      <c r="Y684" s="832">
        <v>0</v>
      </c>
      <c r="Z684" s="832">
        <v>0</v>
      </c>
      <c r="AA684" s="832">
        <v>0</v>
      </c>
      <c r="AB684" s="832">
        <v>0</v>
      </c>
      <c r="AC684" s="832">
        <v>0</v>
      </c>
      <c r="AD684" s="832">
        <v>0</v>
      </c>
      <c r="AE684" s="832">
        <v>0</v>
      </c>
      <c r="AF684" s="832">
        <v>0</v>
      </c>
      <c r="AG684" s="832">
        <v>0</v>
      </c>
      <c r="AH684" s="832">
        <v>0</v>
      </c>
      <c r="AI684" s="832">
        <v>0</v>
      </c>
      <c r="AJ684" s="1030" t="str">
        <f t="shared" si="66"/>
        <v>H41640</v>
      </c>
      <c r="AK684" s="1030" t="str">
        <f t="shared" si="67"/>
        <v>CT ASSURANCE ROUTIERE</v>
      </c>
      <c r="AL684" s="1030">
        <f>IFERROR(INDEX(G684:R684,1,MATCH(Parametres!$B$3,G$1:R$1,0)-1)*IF(OR(F684="L",F684="S",F684="I"),-1,1),"")</f>
        <v>2800</v>
      </c>
      <c r="AM684" s="1030">
        <f t="shared" si="62"/>
        <v>0</v>
      </c>
      <c r="AN684" s="1030">
        <f>INDEX(G684:R684,1,MATCH(Parametres!$B$3,G$1:R$1,0))*IF(OR(F684="L",F684="S",F684="I"),-1,1)</f>
        <v>2800</v>
      </c>
      <c r="AO684" s="598" t="str">
        <f>+VLOOKUP($AJ684,Data_Validation!$A:$D,1,0)</f>
        <v>H41640</v>
      </c>
      <c r="AP684" s="598" t="str">
        <f>+VLOOKUP($AJ684,Data_Validation!$A:$D,3,0)</f>
        <v>Véhicules neufs</v>
      </c>
      <c r="AQ684" s="598" t="str">
        <f>+VLOOKUP($AJ684,Data_Validation!$A:$D,4,0)</f>
        <v>Rev. Protections</v>
      </c>
      <c r="AR684" s="598" t="s">
        <v>299</v>
      </c>
      <c r="AS684" s="598">
        <f>+VLOOKUP($AJ684,Data_Validation!$A:$E,5,0)</f>
        <v>0</v>
      </c>
      <c r="AT684" s="1036" t="str">
        <f t="shared" si="63"/>
        <v>H41640</v>
      </c>
      <c r="AU684" s="599" t="str">
        <f t="shared" si="64"/>
        <v>CT ASSURANCE ROUTIERE</v>
      </c>
      <c r="AV684" s="1030">
        <f>IFERROR(INDEX(V684:AG684,1,MATCH(Parametres!$B$3,V$1:AG$1,0)-1)*IF(OR(C684="L",C684="S",C684="I"),-1,1),"")</f>
        <v>0</v>
      </c>
      <c r="AW684" s="1030">
        <f t="shared" si="65"/>
        <v>0</v>
      </c>
      <c r="AX684" s="1030">
        <f>INDEX(V684:AG684,1,MATCH(Parametres!$B$3,V$1:AG$1,0))*IF(OR(C684="L",C684="S",C684="I"),-1,1)</f>
        <v>0</v>
      </c>
      <c r="AY684" s="598" t="s">
        <v>337</v>
      </c>
      <c r="AZ684" s="598">
        <f>+VLOOKUP($AJ684,Data_Validation!$A:$E,5,0)</f>
        <v>0</v>
      </c>
    </row>
    <row r="685" spans="1:52" ht="15" customHeight="1">
      <c r="A685" s="832" t="s">
        <v>1150</v>
      </c>
      <c r="B685" s="832">
        <v>2025</v>
      </c>
      <c r="C685" s="832" t="s">
        <v>2499</v>
      </c>
      <c r="D685" s="832" t="s">
        <v>2500</v>
      </c>
      <c r="E685" s="832" t="s">
        <v>333</v>
      </c>
      <c r="F685" s="832" t="s">
        <v>2438</v>
      </c>
      <c r="G685" s="832">
        <v>0</v>
      </c>
      <c r="H685" s="832">
        <v>0</v>
      </c>
      <c r="I685" s="832">
        <v>0</v>
      </c>
      <c r="J685" s="832">
        <v>0</v>
      </c>
      <c r="K685" s="832">
        <v>15</v>
      </c>
      <c r="L685" s="832">
        <v>15</v>
      </c>
      <c r="M685" s="832">
        <v>15</v>
      </c>
      <c r="N685" s="832">
        <v>15</v>
      </c>
      <c r="O685" s="832">
        <v>15</v>
      </c>
      <c r="P685" s="832">
        <v>15</v>
      </c>
      <c r="Q685" s="832">
        <v>15</v>
      </c>
      <c r="R685" s="832">
        <v>15</v>
      </c>
      <c r="S685" s="832">
        <v>1.36</v>
      </c>
      <c r="T685" s="832">
        <v>1.36</v>
      </c>
      <c r="U685" s="832">
        <v>0</v>
      </c>
      <c r="V685" s="832">
        <v>0</v>
      </c>
      <c r="W685" s="832">
        <v>0</v>
      </c>
      <c r="X685" s="832">
        <v>0</v>
      </c>
      <c r="Y685" s="832">
        <v>0</v>
      </c>
      <c r="Z685" s="832">
        <v>0</v>
      </c>
      <c r="AA685" s="832">
        <v>0</v>
      </c>
      <c r="AB685" s="832">
        <v>0</v>
      </c>
      <c r="AC685" s="832">
        <v>0</v>
      </c>
      <c r="AD685" s="832">
        <v>0</v>
      </c>
      <c r="AE685" s="832">
        <v>0</v>
      </c>
      <c r="AF685" s="832">
        <v>0</v>
      </c>
      <c r="AG685" s="832">
        <v>0</v>
      </c>
      <c r="AH685" s="832">
        <v>0</v>
      </c>
      <c r="AI685" s="832">
        <v>0</v>
      </c>
      <c r="AJ685" s="1030" t="str">
        <f t="shared" si="66"/>
        <v>H41700</v>
      </c>
      <c r="AK685" s="1030" t="str">
        <f t="shared" si="67"/>
        <v>CT VEH NF REV FINANCE</v>
      </c>
      <c r="AL685" s="1030">
        <f>IFERROR(INDEX(G685:R685,1,MATCH(Parametres!$B$3,G$1:R$1,0)-1)*IF(OR(F685="L",F685="S",F685="I"),-1,1),"")</f>
        <v>0</v>
      </c>
      <c r="AM685" s="1030">
        <f t="shared" si="62"/>
        <v>15</v>
      </c>
      <c r="AN685" s="1030">
        <f>INDEX(G685:R685,1,MATCH(Parametres!$B$3,G$1:R$1,0))*IF(OR(F685="L",F685="S",F685="I"),-1,1)</f>
        <v>15</v>
      </c>
      <c r="AO685" s="598" t="str">
        <f>+VLOOKUP($AJ685,Data_Validation!$A:$D,1,0)</f>
        <v>H41700</v>
      </c>
      <c r="AP685" s="598" t="str">
        <f>+VLOOKUP($AJ685,Data_Validation!$A:$D,3,0)</f>
        <v>Véhicules neufs</v>
      </c>
      <c r="AQ685" s="598" t="str">
        <f>+VLOOKUP($AJ685,Data_Validation!$A:$D,4,0)</f>
        <v>Rev. Finances</v>
      </c>
      <c r="AR685" s="598" t="s">
        <v>299</v>
      </c>
      <c r="AS685" s="598">
        <f>+VLOOKUP($AJ685,Data_Validation!$A:$E,5,0)</f>
        <v>0</v>
      </c>
      <c r="AT685" s="1036" t="str">
        <f t="shared" si="63"/>
        <v>H41700</v>
      </c>
      <c r="AU685" s="599" t="str">
        <f t="shared" si="64"/>
        <v>CT VEH NF REV FINANCE</v>
      </c>
      <c r="AV685" s="1030">
        <f>IFERROR(INDEX(V685:AG685,1,MATCH(Parametres!$B$3,V$1:AG$1,0)-1)*IF(OR(C685="L",C685="S",C685="I"),-1,1),"")</f>
        <v>0</v>
      </c>
      <c r="AW685" s="1030">
        <f t="shared" si="65"/>
        <v>0</v>
      </c>
      <c r="AX685" s="1030">
        <f>INDEX(V685:AG685,1,MATCH(Parametres!$B$3,V$1:AG$1,0))*IF(OR(C685="L",C685="S",C685="I"),-1,1)</f>
        <v>0</v>
      </c>
      <c r="AY685" s="598" t="s">
        <v>337</v>
      </c>
      <c r="AZ685" s="598">
        <f>+VLOOKUP($AJ685,Data_Validation!$A:$E,5,0)</f>
        <v>0</v>
      </c>
    </row>
    <row r="686" spans="1:52" ht="15" customHeight="1">
      <c r="A686" s="832" t="s">
        <v>1150</v>
      </c>
      <c r="B686" s="832">
        <v>2025</v>
      </c>
      <c r="C686" s="832" t="s">
        <v>2501</v>
      </c>
      <c r="D686" s="832" t="s">
        <v>2502</v>
      </c>
      <c r="E686" s="832" t="s">
        <v>333</v>
      </c>
      <c r="F686" s="832" t="s">
        <v>2438</v>
      </c>
      <c r="G686" s="832">
        <v>37865.839999999997</v>
      </c>
      <c r="H686" s="832">
        <v>68650.81</v>
      </c>
      <c r="I686" s="832">
        <v>92830.09</v>
      </c>
      <c r="J686" s="832">
        <v>130481</v>
      </c>
      <c r="K686" s="832">
        <v>177018.2</v>
      </c>
      <c r="L686" s="832">
        <v>212176.75</v>
      </c>
      <c r="M686" s="832">
        <v>244865.17</v>
      </c>
      <c r="N686" s="832">
        <v>279624.45</v>
      </c>
      <c r="O686" s="832">
        <v>303652.27</v>
      </c>
      <c r="P686" s="832">
        <v>340626.36</v>
      </c>
      <c r="Q686" s="832">
        <v>358182.22</v>
      </c>
      <c r="R686" s="832">
        <v>378355.6</v>
      </c>
      <c r="S686" s="832">
        <v>32562.02</v>
      </c>
      <c r="T686" s="832">
        <v>32562.02</v>
      </c>
      <c r="U686" s="832">
        <v>0</v>
      </c>
      <c r="V686" s="832">
        <v>0</v>
      </c>
      <c r="W686" s="832">
        <v>0</v>
      </c>
      <c r="X686" s="832">
        <v>0</v>
      </c>
      <c r="Y686" s="832">
        <v>0</v>
      </c>
      <c r="Z686" s="832">
        <v>0</v>
      </c>
      <c r="AA686" s="832">
        <v>0</v>
      </c>
      <c r="AB686" s="832">
        <v>0</v>
      </c>
      <c r="AC686" s="832">
        <v>0</v>
      </c>
      <c r="AD686" s="832">
        <v>0</v>
      </c>
      <c r="AE686" s="832">
        <v>0</v>
      </c>
      <c r="AF686" s="832">
        <v>0</v>
      </c>
      <c r="AG686" s="832">
        <v>0</v>
      </c>
      <c r="AH686" s="832">
        <v>0</v>
      </c>
      <c r="AI686" s="832">
        <v>0</v>
      </c>
      <c r="AJ686" s="1030" t="str">
        <f t="shared" si="66"/>
        <v>H41800</v>
      </c>
      <c r="AK686" s="1030" t="str">
        <f t="shared" si="67"/>
        <v>CT CHIMIQUES</v>
      </c>
      <c r="AL686" s="1030">
        <f>IFERROR(INDEX(G686:R686,1,MATCH(Parametres!$B$3,G$1:R$1,0)-1)*IF(OR(F686="L",F686="S",F686="I"),-1,1),"")</f>
        <v>130481</v>
      </c>
      <c r="AM686" s="1030">
        <f t="shared" si="62"/>
        <v>46537.200000000012</v>
      </c>
      <c r="AN686" s="1030">
        <f>INDEX(G686:R686,1,MATCH(Parametres!$B$3,G$1:R$1,0))*IF(OR(F686="L",F686="S",F686="I"),-1,1)</f>
        <v>177018.2</v>
      </c>
      <c r="AO686" s="598" t="str">
        <f>+VLOOKUP($AJ686,Data_Validation!$A:$D,1,0)</f>
        <v>H41800</v>
      </c>
      <c r="AP686" s="598" t="str">
        <f>+VLOOKUP($AJ686,Data_Validation!$A:$D,3,0)</f>
        <v>Véhicules neufs</v>
      </c>
      <c r="AQ686" s="598" t="str">
        <f>+VLOOKUP($AJ686,Data_Validation!$A:$D,4,0)</f>
        <v>Rev. Protections</v>
      </c>
      <c r="AR686" s="598" t="s">
        <v>299</v>
      </c>
      <c r="AS686" s="598">
        <f>+VLOOKUP($AJ686,Data_Validation!$A:$E,5,0)</f>
        <v>0</v>
      </c>
      <c r="AT686" s="1036" t="str">
        <f t="shared" si="63"/>
        <v>H41800</v>
      </c>
      <c r="AU686" s="599" t="str">
        <f t="shared" si="64"/>
        <v>CT CHIMIQUES</v>
      </c>
      <c r="AV686" s="1030">
        <f>IFERROR(INDEX(V686:AG686,1,MATCH(Parametres!$B$3,V$1:AG$1,0)-1)*IF(OR(C686="L",C686="S",C686="I"),-1,1),"")</f>
        <v>0</v>
      </c>
      <c r="AW686" s="1030">
        <f t="shared" si="65"/>
        <v>0</v>
      </c>
      <c r="AX686" s="1030">
        <f>INDEX(V686:AG686,1,MATCH(Parametres!$B$3,V$1:AG$1,0))*IF(OR(C686="L",C686="S",C686="I"),-1,1)</f>
        <v>0</v>
      </c>
      <c r="AY686" s="598" t="s">
        <v>337</v>
      </c>
      <c r="AZ686" s="598">
        <f>+VLOOKUP($AJ686,Data_Validation!$A:$E,5,0)</f>
        <v>0</v>
      </c>
    </row>
    <row r="687" spans="1:52" ht="15" customHeight="1">
      <c r="A687" s="832" t="s">
        <v>1150</v>
      </c>
      <c r="B687" s="832">
        <v>2025</v>
      </c>
      <c r="C687" s="832" t="s">
        <v>2503</v>
      </c>
      <c r="D687" s="832" t="s">
        <v>2504</v>
      </c>
      <c r="E687" s="832" t="s">
        <v>333</v>
      </c>
      <c r="F687" s="832" t="s">
        <v>2438</v>
      </c>
      <c r="G687" s="832">
        <v>0</v>
      </c>
      <c r="H687" s="832">
        <v>0</v>
      </c>
      <c r="I687" s="832">
        <v>0</v>
      </c>
      <c r="J687" s="832">
        <v>0</v>
      </c>
      <c r="K687" s="832">
        <v>0</v>
      </c>
      <c r="L687" s="832">
        <v>0</v>
      </c>
      <c r="M687" s="832">
        <v>0</v>
      </c>
      <c r="N687" s="832">
        <v>0</v>
      </c>
      <c r="O687" s="832">
        <v>0</v>
      </c>
      <c r="P687" s="832">
        <v>0</v>
      </c>
      <c r="Q687" s="832">
        <v>0</v>
      </c>
      <c r="R687" s="832">
        <v>0</v>
      </c>
      <c r="S687" s="832">
        <v>0</v>
      </c>
      <c r="T687" s="832">
        <v>0</v>
      </c>
      <c r="U687" s="832">
        <v>0</v>
      </c>
      <c r="V687" s="832">
        <v>0</v>
      </c>
      <c r="W687" s="832">
        <v>0</v>
      </c>
      <c r="X687" s="832">
        <v>0</v>
      </c>
      <c r="Y687" s="832">
        <v>0</v>
      </c>
      <c r="Z687" s="832">
        <v>0</v>
      </c>
      <c r="AA687" s="832">
        <v>0</v>
      </c>
      <c r="AB687" s="832">
        <v>0</v>
      </c>
      <c r="AC687" s="832">
        <v>0</v>
      </c>
      <c r="AD687" s="832">
        <v>0</v>
      </c>
      <c r="AE687" s="832">
        <v>0</v>
      </c>
      <c r="AF687" s="832">
        <v>0</v>
      </c>
      <c r="AG687" s="832">
        <v>0</v>
      </c>
      <c r="AH687" s="832">
        <v>0</v>
      </c>
      <c r="AI687" s="832">
        <v>0</v>
      </c>
      <c r="AJ687" s="1030" t="str">
        <f t="shared" si="66"/>
        <v>H41810</v>
      </c>
      <c r="AK687" s="1030" t="str">
        <f t="shared" si="67"/>
        <v>CT NF ENREGISTREMENT &amp;ADM</v>
      </c>
      <c r="AL687" s="1030">
        <f>IFERROR(INDEX(G687:R687,1,MATCH(Parametres!$B$3,G$1:R$1,0)-1)*IF(OR(F687="L",F687="S",F687="I"),-1,1),"")</f>
        <v>0</v>
      </c>
      <c r="AM687" s="1030">
        <f t="shared" si="62"/>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t="str">
        <f t="shared" si="63"/>
        <v>H41810</v>
      </c>
      <c r="AU687" s="599" t="str">
        <f t="shared" si="64"/>
        <v>CT NF ENREGISTREMENT &amp;ADM</v>
      </c>
      <c r="AV687" s="1030">
        <f>IFERROR(INDEX(V687:AG687,1,MATCH(Parametres!$B$3,V$1:AG$1,0)-1)*IF(OR(C687="L",C687="S",C687="I"),-1,1),"")</f>
        <v>0</v>
      </c>
      <c r="AW687" s="1030">
        <f t="shared" si="65"/>
        <v>0</v>
      </c>
      <c r="AX687" s="1030">
        <f>INDEX(V687:AG687,1,MATCH(Parametres!$B$3,V$1:AG$1,0))*IF(OR(C687="L",C687="S",C687="I"),-1,1)</f>
        <v>0</v>
      </c>
      <c r="AY687" s="598" t="s">
        <v>337</v>
      </c>
      <c r="AZ687" s="598" t="e">
        <f>+VLOOKUP($AJ687,Data_Validation!$A:$E,5,0)</f>
        <v>#N/A</v>
      </c>
    </row>
    <row r="688" spans="1:52" ht="15" customHeight="1">
      <c r="A688" s="832" t="s">
        <v>1150</v>
      </c>
      <c r="B688" s="832">
        <v>2025</v>
      </c>
      <c r="C688" s="832" t="s">
        <v>2505</v>
      </c>
      <c r="D688" s="832" t="s">
        <v>2506</v>
      </c>
      <c r="E688" s="832" t="s">
        <v>333</v>
      </c>
      <c r="F688" s="832" t="s">
        <v>2438</v>
      </c>
      <c r="G688" s="832">
        <v>0</v>
      </c>
      <c r="H688" s="832">
        <v>0</v>
      </c>
      <c r="I688" s="832">
        <v>0</v>
      </c>
      <c r="J688" s="832">
        <v>0</v>
      </c>
      <c r="K688" s="832">
        <v>0</v>
      </c>
      <c r="L688" s="832">
        <v>17509</v>
      </c>
      <c r="M688" s="832">
        <v>36183</v>
      </c>
      <c r="N688" s="832">
        <v>58226</v>
      </c>
      <c r="O688" s="832">
        <v>76145</v>
      </c>
      <c r="P688" s="832">
        <v>89648</v>
      </c>
      <c r="Q688" s="832">
        <v>104050</v>
      </c>
      <c r="R688" s="832">
        <v>112325</v>
      </c>
      <c r="S688" s="832">
        <v>9459.09</v>
      </c>
      <c r="T688" s="832">
        <v>9459.09</v>
      </c>
      <c r="U688" s="832">
        <v>0</v>
      </c>
      <c r="V688" s="832">
        <v>0</v>
      </c>
      <c r="W688" s="832">
        <v>0</v>
      </c>
      <c r="X688" s="832">
        <v>0</v>
      </c>
      <c r="Y688" s="832">
        <v>0</v>
      </c>
      <c r="Z688" s="832">
        <v>0</v>
      </c>
      <c r="AA688" s="832">
        <v>0</v>
      </c>
      <c r="AB688" s="832">
        <v>0</v>
      </c>
      <c r="AC688" s="832">
        <v>0</v>
      </c>
      <c r="AD688" s="832">
        <v>0</v>
      </c>
      <c r="AE688" s="832">
        <v>0</v>
      </c>
      <c r="AF688" s="832">
        <v>0</v>
      </c>
      <c r="AG688" s="832">
        <v>0</v>
      </c>
      <c r="AH688" s="832">
        <v>0</v>
      </c>
      <c r="AI688" s="832">
        <v>0</v>
      </c>
      <c r="AJ688" s="1030" t="str">
        <f t="shared" si="66"/>
        <v>H41811</v>
      </c>
      <c r="AK688" s="1030" t="str">
        <f t="shared" si="67"/>
        <v>CT NF ASS. USURE</v>
      </c>
      <c r="AL688" s="1030">
        <f>IFERROR(INDEX(G688:R688,1,MATCH(Parametres!$B$3,G$1:R$1,0)-1)*IF(OR(F688="L",F688="S",F688="I"),-1,1),"")</f>
        <v>0</v>
      </c>
      <c r="AM688" s="1030">
        <f t="shared" si="62"/>
        <v>0</v>
      </c>
      <c r="AN688" s="1030">
        <f>INDEX(G688:R688,1,MATCH(Parametres!$B$3,G$1:R$1,0))*IF(OR(F688="L",F688="S",F688="I"),-1,1)</f>
        <v>0</v>
      </c>
      <c r="AO688" s="598" t="str">
        <f>+VLOOKUP($AJ688,Data_Validation!$A:$D,1,0)</f>
        <v>H41811</v>
      </c>
      <c r="AP688" s="598" t="str">
        <f>+VLOOKUP($AJ688,Data_Validation!$A:$D,3,0)</f>
        <v>Véhicules neufs</v>
      </c>
      <c r="AQ688" s="598" t="str">
        <f>+VLOOKUP($AJ688,Data_Validation!$A:$D,4,0)</f>
        <v>Rev. Protections</v>
      </c>
      <c r="AR688" s="598" t="s">
        <v>299</v>
      </c>
      <c r="AS688" s="598">
        <f>+VLOOKUP($AJ688,Data_Validation!$A:$E,5,0)</f>
        <v>0</v>
      </c>
      <c r="AT688" s="1036" t="str">
        <f t="shared" si="63"/>
        <v>H41811</v>
      </c>
      <c r="AU688" s="599" t="str">
        <f t="shared" si="64"/>
        <v>CT NF ASS. USURE</v>
      </c>
      <c r="AV688" s="1030">
        <f>IFERROR(INDEX(V688:AG688,1,MATCH(Parametres!$B$3,V$1:AG$1,0)-1)*IF(OR(C688="L",C688="S",C688="I"),-1,1),"")</f>
        <v>0</v>
      </c>
      <c r="AW688" s="1030">
        <f t="shared" si="65"/>
        <v>0</v>
      </c>
      <c r="AX688" s="1030">
        <f>INDEX(V688:AG688,1,MATCH(Parametres!$B$3,V$1:AG$1,0))*IF(OR(C688="L",C688="S",C688="I"),-1,1)</f>
        <v>0</v>
      </c>
      <c r="AY688" s="598" t="s">
        <v>337</v>
      </c>
      <c r="AZ688" s="598">
        <f>+VLOOKUP($AJ688,Data_Validation!$A:$E,5,0)</f>
        <v>0</v>
      </c>
    </row>
    <row r="689" spans="1:52" ht="15" customHeight="1">
      <c r="A689" s="832" t="s">
        <v>1150</v>
      </c>
      <c r="B689" s="832">
        <v>2025</v>
      </c>
      <c r="C689" s="832" t="s">
        <v>2507</v>
      </c>
      <c r="D689" s="832" t="s">
        <v>2508</v>
      </c>
      <c r="E689" s="832" t="s">
        <v>1889</v>
      </c>
      <c r="F689" s="832" t="s">
        <v>2438</v>
      </c>
      <c r="G689" s="832">
        <v>0</v>
      </c>
      <c r="H689" s="832">
        <v>0</v>
      </c>
      <c r="I689" s="832">
        <v>0</v>
      </c>
      <c r="J689" s="832">
        <v>34981</v>
      </c>
      <c r="K689" s="832">
        <v>58766</v>
      </c>
      <c r="L689" s="832">
        <v>58766</v>
      </c>
      <c r="M689" s="832">
        <v>58766</v>
      </c>
      <c r="N689" s="832">
        <v>58766</v>
      </c>
      <c r="O689" s="832">
        <v>58766</v>
      </c>
      <c r="P689" s="832">
        <v>58766</v>
      </c>
      <c r="Q689" s="832">
        <v>58766</v>
      </c>
      <c r="R689" s="832">
        <v>58766</v>
      </c>
      <c r="S689" s="832">
        <v>5342.36</v>
      </c>
      <c r="T689" s="832">
        <v>5342.36</v>
      </c>
      <c r="U689" s="832">
        <v>0</v>
      </c>
      <c r="V689" s="832">
        <v>0</v>
      </c>
      <c r="W689" s="832">
        <v>0</v>
      </c>
      <c r="X689" s="832">
        <v>0</v>
      </c>
      <c r="Y689" s="832">
        <v>0</v>
      </c>
      <c r="Z689" s="832">
        <v>0</v>
      </c>
      <c r="AA689" s="832">
        <v>0</v>
      </c>
      <c r="AB689" s="832">
        <v>0</v>
      </c>
      <c r="AC689" s="832">
        <v>0</v>
      </c>
      <c r="AD689" s="832">
        <v>0</v>
      </c>
      <c r="AE689" s="832">
        <v>0</v>
      </c>
      <c r="AF689" s="832">
        <v>0</v>
      </c>
      <c r="AG689" s="832">
        <v>0</v>
      </c>
      <c r="AH689" s="832">
        <v>0</v>
      </c>
      <c r="AI689" s="832">
        <v>0</v>
      </c>
      <c r="AJ689" s="1030" t="str">
        <f t="shared" si="66"/>
        <v>H41900</v>
      </c>
      <c r="AK689" s="1030" t="str">
        <f t="shared" si="67"/>
        <v>CT VTE PARCS NEUFS</v>
      </c>
      <c r="AL689" s="1030">
        <f>IFERROR(INDEX(G689:R689,1,MATCH(Parametres!$B$3,G$1:R$1,0)-1)*IF(OR(F689="L",F689="S",F689="I"),-1,1),"")</f>
        <v>34981</v>
      </c>
      <c r="AM689" s="1030">
        <f t="shared" si="62"/>
        <v>23785</v>
      </c>
      <c r="AN689" s="1030">
        <f>INDEX(G689:R689,1,MATCH(Parametres!$B$3,G$1:R$1,0))*IF(OR(F689="L",F689="S",F689="I"),-1,1)</f>
        <v>58766</v>
      </c>
      <c r="AO689" s="598" t="str">
        <f>+VLOOKUP($AJ689,Data_Validation!$A:$D,1,0)</f>
        <v>H41900</v>
      </c>
      <c r="AP689" s="598" t="str">
        <f>+VLOOKUP($AJ689,Data_Validation!$A:$D,3,0)</f>
        <v>Véhicules neufs</v>
      </c>
      <c r="AQ689" s="598" t="str">
        <f>+VLOOKUP($AJ689,Data_Validation!$A:$D,4,0)</f>
        <v>Flottes</v>
      </c>
      <c r="AR689" s="598" t="s">
        <v>299</v>
      </c>
      <c r="AS689" s="598">
        <f>+VLOOKUP($AJ689,Data_Validation!$A:$E,5,0)</f>
        <v>0</v>
      </c>
      <c r="AT689" s="1036" t="str">
        <f t="shared" si="63"/>
        <v>H41900</v>
      </c>
      <c r="AU689" s="599" t="str">
        <f t="shared" si="64"/>
        <v>CT VTE PARCS NEUFS</v>
      </c>
      <c r="AV689" s="1030">
        <f>IFERROR(INDEX(V689:AG689,1,MATCH(Parametres!$B$3,V$1:AG$1,0)-1)*IF(OR(C689="L",C689="S",C689="I"),-1,1),"")</f>
        <v>0</v>
      </c>
      <c r="AW689" s="1030">
        <f t="shared" si="65"/>
        <v>0</v>
      </c>
      <c r="AX689" s="1030">
        <f>INDEX(V689:AG689,1,MATCH(Parametres!$B$3,V$1:AG$1,0))*IF(OR(C689="L",C689="S",C689="I"),-1,1)</f>
        <v>0</v>
      </c>
      <c r="AY689" s="598" t="s">
        <v>337</v>
      </c>
      <c r="AZ689" s="598">
        <f>+VLOOKUP($AJ689,Data_Validation!$A:$E,5,0)</f>
        <v>0</v>
      </c>
    </row>
    <row r="690" spans="1:52" ht="15" customHeight="1">
      <c r="A690" s="832" t="s">
        <v>1150</v>
      </c>
      <c r="B690" s="832">
        <v>2025</v>
      </c>
      <c r="C690" s="832" t="s">
        <v>2509</v>
      </c>
      <c r="D690" s="832" t="s">
        <v>2510</v>
      </c>
      <c r="E690" s="832" t="s">
        <v>1889</v>
      </c>
      <c r="F690" s="832" t="s">
        <v>2438</v>
      </c>
      <c r="G690" s="832">
        <v>0</v>
      </c>
      <c r="H690" s="832">
        <v>43457.51</v>
      </c>
      <c r="I690" s="832">
        <v>43457.51</v>
      </c>
      <c r="J690" s="832">
        <v>43457.51</v>
      </c>
      <c r="K690" s="832">
        <v>43457.51</v>
      </c>
      <c r="L690" s="832">
        <v>43457.51</v>
      </c>
      <c r="M690" s="832">
        <v>43457.51</v>
      </c>
      <c r="N690" s="832">
        <v>43457.51</v>
      </c>
      <c r="O690" s="832">
        <v>81205.509999999995</v>
      </c>
      <c r="P690" s="832">
        <v>350179.24</v>
      </c>
      <c r="Q690" s="832">
        <v>350179.24</v>
      </c>
      <c r="R690" s="832">
        <v>391879.24</v>
      </c>
      <c r="S690" s="832">
        <v>31834.48</v>
      </c>
      <c r="T690" s="832">
        <v>31834.48</v>
      </c>
      <c r="U690" s="832">
        <v>0</v>
      </c>
      <c r="V690" s="832">
        <v>0</v>
      </c>
      <c r="W690" s="832">
        <v>0</v>
      </c>
      <c r="X690" s="832">
        <v>0</v>
      </c>
      <c r="Y690" s="832">
        <v>0</v>
      </c>
      <c r="Z690" s="832">
        <v>0</v>
      </c>
      <c r="AA690" s="832">
        <v>0</v>
      </c>
      <c r="AB690" s="832">
        <v>0</v>
      </c>
      <c r="AC690" s="832">
        <v>0</v>
      </c>
      <c r="AD690" s="832">
        <v>0</v>
      </c>
      <c r="AE690" s="832">
        <v>0</v>
      </c>
      <c r="AF690" s="832">
        <v>0</v>
      </c>
      <c r="AG690" s="832">
        <v>0</v>
      </c>
      <c r="AH690" s="832">
        <v>0</v>
      </c>
      <c r="AI690" s="832">
        <v>0</v>
      </c>
      <c r="AJ690" s="1030" t="str">
        <f t="shared" si="66"/>
        <v>H41910</v>
      </c>
      <c r="AK690" s="1030" t="str">
        <f t="shared" si="67"/>
        <v>CT PARC CAMION NEUF</v>
      </c>
      <c r="AL690" s="1030">
        <f>IFERROR(INDEX(G690:R690,1,MATCH(Parametres!$B$3,G$1:R$1,0)-1)*IF(OR(F690="L",F690="S",F690="I"),-1,1),"")</f>
        <v>43457.51</v>
      </c>
      <c r="AM690" s="1030">
        <f t="shared" si="62"/>
        <v>0</v>
      </c>
      <c r="AN690" s="1030">
        <f>INDEX(G690:R690,1,MATCH(Parametres!$B$3,G$1:R$1,0))*IF(OR(F690="L",F690="S",F690="I"),-1,1)</f>
        <v>43457.51</v>
      </c>
      <c r="AO690" s="598" t="str">
        <f>+VLOOKUP($AJ690,Data_Validation!$A:$D,1,0)</f>
        <v>H41910</v>
      </c>
      <c r="AP690" s="598" t="str">
        <f>+VLOOKUP($AJ690,Data_Validation!$A:$D,3,0)</f>
        <v>Véhicules neufs</v>
      </c>
      <c r="AQ690" s="598" t="str">
        <f>+VLOOKUP($AJ690,Data_Validation!$A:$D,4,0)</f>
        <v>Flottes</v>
      </c>
      <c r="AR690" s="598" t="s">
        <v>299</v>
      </c>
      <c r="AS690" s="598">
        <f>+VLOOKUP($AJ690,Data_Validation!$A:$E,5,0)</f>
        <v>0</v>
      </c>
      <c r="AT690" s="1036" t="str">
        <f t="shared" si="63"/>
        <v>H41910</v>
      </c>
      <c r="AU690" s="599" t="str">
        <f t="shared" si="64"/>
        <v>CT PARC CAMION NEUF</v>
      </c>
      <c r="AV690" s="1030">
        <f>IFERROR(INDEX(V690:AG690,1,MATCH(Parametres!$B$3,V$1:AG$1,0)-1)*IF(OR(C690="L",C690="S",C690="I"),-1,1),"")</f>
        <v>0</v>
      </c>
      <c r="AW690" s="1030">
        <f t="shared" si="65"/>
        <v>0</v>
      </c>
      <c r="AX690" s="1030">
        <f>INDEX(V690:AG690,1,MATCH(Parametres!$B$3,V$1:AG$1,0))*IF(OR(C690="L",C690="S",C690="I"),-1,1)</f>
        <v>0</v>
      </c>
      <c r="AY690" s="598" t="s">
        <v>337</v>
      </c>
      <c r="AZ690" s="598">
        <f>+VLOOKUP($AJ690,Data_Validation!$A:$E,5,0)</f>
        <v>0</v>
      </c>
    </row>
    <row r="691" spans="1:52" ht="15" customHeight="1">
      <c r="A691" s="832" t="s">
        <v>1150</v>
      </c>
      <c r="B691" s="832">
        <v>2025</v>
      </c>
      <c r="C691" s="832" t="s">
        <v>2511</v>
      </c>
      <c r="D691" s="832" t="s">
        <v>2512</v>
      </c>
      <c r="E691" s="832" t="s">
        <v>1889</v>
      </c>
      <c r="F691" s="832" t="s">
        <v>2438</v>
      </c>
      <c r="G691" s="832">
        <v>185283.88</v>
      </c>
      <c r="H691" s="832">
        <v>243838.43</v>
      </c>
      <c r="I691" s="832">
        <v>310145.13</v>
      </c>
      <c r="J691" s="832">
        <v>441796.66</v>
      </c>
      <c r="K691" s="832">
        <v>527019.79</v>
      </c>
      <c r="L691" s="832">
        <v>655691.04</v>
      </c>
      <c r="M691" s="832">
        <v>731949.22</v>
      </c>
      <c r="N691" s="832">
        <v>810175.22</v>
      </c>
      <c r="O691" s="832">
        <v>995589.84</v>
      </c>
      <c r="P691" s="832">
        <v>1095197.28</v>
      </c>
      <c r="Q691" s="832">
        <v>1128608.17</v>
      </c>
      <c r="R691" s="832">
        <v>1200687.76</v>
      </c>
      <c r="S691" s="832">
        <v>102600.74</v>
      </c>
      <c r="T691" s="832">
        <v>102600.74</v>
      </c>
      <c r="U691" s="832">
        <v>0</v>
      </c>
      <c r="V691" s="832">
        <v>0</v>
      </c>
      <c r="W691" s="832">
        <v>0</v>
      </c>
      <c r="X691" s="832">
        <v>0</v>
      </c>
      <c r="Y691" s="832">
        <v>0</v>
      </c>
      <c r="Z691" s="832">
        <v>0</v>
      </c>
      <c r="AA691" s="832">
        <v>0</v>
      </c>
      <c r="AB691" s="832">
        <v>0</v>
      </c>
      <c r="AC691" s="832">
        <v>0</v>
      </c>
      <c r="AD691" s="832">
        <v>0</v>
      </c>
      <c r="AE691" s="832">
        <v>0</v>
      </c>
      <c r="AF691" s="832">
        <v>0</v>
      </c>
      <c r="AG691" s="832">
        <v>0</v>
      </c>
      <c r="AH691" s="832">
        <v>0</v>
      </c>
      <c r="AI691" s="832">
        <v>0</v>
      </c>
      <c r="AJ691" s="1030" t="str">
        <f t="shared" si="66"/>
        <v>H42000</v>
      </c>
      <c r="AK691" s="1030" t="str">
        <f t="shared" si="67"/>
        <v>CT DIVERS(AUTOS)</v>
      </c>
      <c r="AL691" s="1030">
        <f>IFERROR(INDEX(G691:R691,1,MATCH(Parametres!$B$3,G$1:R$1,0)-1)*IF(OR(F691="L",F691="S",F691="I"),-1,1),"")</f>
        <v>441796.66</v>
      </c>
      <c r="AM691" s="1030">
        <f t="shared" si="62"/>
        <v>85223.130000000063</v>
      </c>
      <c r="AN691" s="1030">
        <f>INDEX(G691:R691,1,MATCH(Parametres!$B$3,G$1:R$1,0))*IF(OR(F691="L",F691="S",F691="I"),-1,1)</f>
        <v>527019.79</v>
      </c>
      <c r="AO691" s="598" t="str">
        <f>+VLOOKUP($AJ691,Data_Validation!$A:$D,1,0)</f>
        <v>H42000</v>
      </c>
      <c r="AP691" s="598" t="str">
        <f>+VLOOKUP($AJ691,Data_Validation!$A:$D,3,0)</f>
        <v>Véhicules usagés</v>
      </c>
      <c r="AQ691" s="598" t="str">
        <f>+VLOOKUP($AJ691,Data_Validation!$A:$D,4,0)</f>
        <v>Rachat bail</v>
      </c>
      <c r="AR691" s="598" t="s">
        <v>299</v>
      </c>
      <c r="AS691" s="598">
        <f>+VLOOKUP($AJ691,Data_Validation!$A:$E,5,0)</f>
        <v>0</v>
      </c>
      <c r="AT691" s="1036" t="str">
        <f t="shared" si="63"/>
        <v>H42000</v>
      </c>
      <c r="AU691" s="599" t="str">
        <f t="shared" si="64"/>
        <v>CT DIVERS(AUTOS)</v>
      </c>
      <c r="AV691" s="1030">
        <f>IFERROR(INDEX(V691:AG691,1,MATCH(Parametres!$B$3,V$1:AG$1,0)-1)*IF(OR(C691="L",C691="S",C691="I"),-1,1),"")</f>
        <v>0</v>
      </c>
      <c r="AW691" s="1030">
        <f t="shared" si="65"/>
        <v>0</v>
      </c>
      <c r="AX691" s="1030">
        <f>INDEX(V691:AG691,1,MATCH(Parametres!$B$3,V$1:AG$1,0))*IF(OR(C691="L",C691="S",C691="I"),-1,1)</f>
        <v>0</v>
      </c>
      <c r="AY691" s="598" t="s">
        <v>337</v>
      </c>
      <c r="AZ691" s="598">
        <f>+VLOOKUP($AJ691,Data_Validation!$A:$E,5,0)</f>
        <v>0</v>
      </c>
    </row>
    <row r="692" spans="1:52" ht="15" customHeight="1">
      <c r="A692" s="832" t="s">
        <v>1150</v>
      </c>
      <c r="B692" s="832">
        <v>2025</v>
      </c>
      <c r="C692" s="832" t="s">
        <v>2513</v>
      </c>
      <c r="D692" s="832" t="s">
        <v>2514</v>
      </c>
      <c r="E692" s="832" t="s">
        <v>1889</v>
      </c>
      <c r="F692" s="832" t="s">
        <v>2438</v>
      </c>
      <c r="G692" s="832">
        <v>0</v>
      </c>
      <c r="H692" s="832">
        <v>61044.19</v>
      </c>
      <c r="I692" s="832">
        <v>238762.57</v>
      </c>
      <c r="J692" s="832">
        <v>238762.57</v>
      </c>
      <c r="K692" s="832">
        <v>298741.3</v>
      </c>
      <c r="L692" s="832">
        <v>298741.3</v>
      </c>
      <c r="M692" s="832">
        <v>360062.83</v>
      </c>
      <c r="N692" s="832">
        <v>479721.83</v>
      </c>
      <c r="O692" s="832">
        <v>479721.83</v>
      </c>
      <c r="P692" s="832">
        <v>479721.83</v>
      </c>
      <c r="Q692" s="832">
        <v>603988.27</v>
      </c>
      <c r="R692" s="832">
        <v>669699.91</v>
      </c>
      <c r="S692" s="832">
        <v>54908.02</v>
      </c>
      <c r="T692" s="832">
        <v>54908.02</v>
      </c>
      <c r="U692" s="832">
        <v>0</v>
      </c>
      <c r="V692" s="832">
        <v>0</v>
      </c>
      <c r="W692" s="832">
        <v>0</v>
      </c>
      <c r="X692" s="832">
        <v>0</v>
      </c>
      <c r="Y692" s="832">
        <v>0</v>
      </c>
      <c r="Z692" s="832">
        <v>0</v>
      </c>
      <c r="AA692" s="832">
        <v>0</v>
      </c>
      <c r="AB692" s="832">
        <v>0</v>
      </c>
      <c r="AC692" s="832">
        <v>0</v>
      </c>
      <c r="AD692" s="832">
        <v>0</v>
      </c>
      <c r="AE692" s="832">
        <v>0</v>
      </c>
      <c r="AF692" s="832">
        <v>0</v>
      </c>
      <c r="AG692" s="832">
        <v>0</v>
      </c>
      <c r="AH692" s="832">
        <v>0</v>
      </c>
      <c r="AI692" s="832">
        <v>0</v>
      </c>
      <c r="AJ692" s="1030" t="str">
        <f t="shared" si="66"/>
        <v>H42100</v>
      </c>
      <c r="AK692" s="1030" t="str">
        <f t="shared" si="67"/>
        <v>CT PALISADE</v>
      </c>
      <c r="AL692" s="1030">
        <f>IFERROR(INDEX(G692:R692,1,MATCH(Parametres!$B$3,G$1:R$1,0)-1)*IF(OR(F692="L",F692="S",F692="I"),-1,1),"")</f>
        <v>238762.57</v>
      </c>
      <c r="AM692" s="1030">
        <f t="shared" si="62"/>
        <v>59978.729999999981</v>
      </c>
      <c r="AN692" s="1030">
        <f>INDEX(G692:R692,1,MATCH(Parametres!$B$3,G$1:R$1,0))*IF(OR(F692="L",F692="S",F692="I"),-1,1)</f>
        <v>298741.3</v>
      </c>
      <c r="AO692" s="598" t="str">
        <f>+VLOOKUP($AJ692,Data_Validation!$A:$D,1,0)</f>
        <v>H42100</v>
      </c>
      <c r="AP692" s="598" t="str">
        <f>+VLOOKUP($AJ692,Data_Validation!$A:$D,3,0)</f>
        <v>Véhicules neufs</v>
      </c>
      <c r="AQ692" s="598" t="str">
        <f>+VLOOKUP($AJ692,Data_Validation!$A:$D,4,0)</f>
        <v>Camions détail</v>
      </c>
      <c r="AR692" s="598" t="s">
        <v>299</v>
      </c>
      <c r="AS692" s="598">
        <f>+VLOOKUP($AJ692,Data_Validation!$A:$E,5,0)</f>
        <v>0</v>
      </c>
      <c r="AT692" s="1036" t="str">
        <f t="shared" si="63"/>
        <v>H42100</v>
      </c>
      <c r="AU692" s="599" t="str">
        <f t="shared" si="64"/>
        <v>CT PALISADE</v>
      </c>
      <c r="AV692" s="1030">
        <f>IFERROR(INDEX(V692:AG692,1,MATCH(Parametres!$B$3,V$1:AG$1,0)-1)*IF(OR(C692="L",C692="S",C692="I"),-1,1),"")</f>
        <v>0</v>
      </c>
      <c r="AW692" s="1030">
        <f t="shared" si="65"/>
        <v>0</v>
      </c>
      <c r="AX692" s="1030">
        <f>INDEX(V692:AG692,1,MATCH(Parametres!$B$3,V$1:AG$1,0))*IF(OR(C692="L",C692="S",C692="I"),-1,1)</f>
        <v>0</v>
      </c>
      <c r="AY692" s="598" t="s">
        <v>337</v>
      </c>
      <c r="AZ692" s="598">
        <f>+VLOOKUP($AJ692,Data_Validation!$A:$E,5,0)</f>
        <v>0</v>
      </c>
    </row>
    <row r="693" spans="1:52" ht="15" customHeight="1">
      <c r="A693" s="832" t="s">
        <v>1150</v>
      </c>
      <c r="B693" s="832">
        <v>2025</v>
      </c>
      <c r="C693" s="832" t="s">
        <v>2515</v>
      </c>
      <c r="D693" s="832" t="s">
        <v>2516</v>
      </c>
      <c r="E693" s="832" t="s">
        <v>1889</v>
      </c>
      <c r="F693" s="832" t="s">
        <v>2438</v>
      </c>
      <c r="G693" s="832">
        <v>220282.48</v>
      </c>
      <c r="H693" s="832">
        <v>321405.51</v>
      </c>
      <c r="I693" s="832">
        <v>443409.18</v>
      </c>
      <c r="J693" s="832">
        <v>582895.13</v>
      </c>
      <c r="K693" s="832">
        <v>896922.93</v>
      </c>
      <c r="L693" s="832">
        <v>1282330.25</v>
      </c>
      <c r="M693" s="832">
        <v>1603066.5</v>
      </c>
      <c r="N693" s="832">
        <v>2165122.19</v>
      </c>
      <c r="O693" s="832">
        <v>2541655.59</v>
      </c>
      <c r="P693" s="832">
        <v>2827043.85</v>
      </c>
      <c r="Q693" s="832">
        <v>3079655.86</v>
      </c>
      <c r="R693" s="832">
        <v>3132132.3</v>
      </c>
      <c r="S693" s="832">
        <v>279968.71000000002</v>
      </c>
      <c r="T693" s="832">
        <v>279968.71000000002</v>
      </c>
      <c r="U693" s="832">
        <v>0</v>
      </c>
      <c r="V693" s="832">
        <v>0</v>
      </c>
      <c r="W693" s="832">
        <v>0</v>
      </c>
      <c r="X693" s="832">
        <v>0</v>
      </c>
      <c r="Y693" s="832">
        <v>0</v>
      </c>
      <c r="Z693" s="832">
        <v>0</v>
      </c>
      <c r="AA693" s="832">
        <v>0</v>
      </c>
      <c r="AB693" s="832">
        <v>0</v>
      </c>
      <c r="AC693" s="832">
        <v>0</v>
      </c>
      <c r="AD693" s="832">
        <v>0</v>
      </c>
      <c r="AE693" s="832">
        <v>0</v>
      </c>
      <c r="AF693" s="832">
        <v>0</v>
      </c>
      <c r="AG693" s="832">
        <v>0</v>
      </c>
      <c r="AH693" s="832">
        <v>0</v>
      </c>
      <c r="AI693" s="832">
        <v>0</v>
      </c>
      <c r="AJ693" s="1030" t="str">
        <f t="shared" si="66"/>
        <v>H42200</v>
      </c>
      <c r="AK693" s="1030" t="str">
        <f t="shared" si="67"/>
        <v>CT VENUE</v>
      </c>
      <c r="AL693" s="1030">
        <f>IFERROR(INDEX(G693:R693,1,MATCH(Parametres!$B$3,G$1:R$1,0)-1)*IF(OR(F693="L",F693="S",F693="I"),-1,1),"")</f>
        <v>582895.13</v>
      </c>
      <c r="AM693" s="1030">
        <f t="shared" si="62"/>
        <v>314027.80000000005</v>
      </c>
      <c r="AN693" s="1030">
        <f>INDEX(G693:R693,1,MATCH(Parametres!$B$3,G$1:R$1,0))*IF(OR(F693="L",F693="S",F693="I"),-1,1)</f>
        <v>896922.93</v>
      </c>
      <c r="AO693" s="598" t="str">
        <f>+VLOOKUP($AJ693,Data_Validation!$A:$D,1,0)</f>
        <v>H42200</v>
      </c>
      <c r="AP693" s="598" t="str">
        <f>+VLOOKUP($AJ693,Data_Validation!$A:$D,3,0)</f>
        <v>Véhicules neufs</v>
      </c>
      <c r="AQ693" s="598" t="str">
        <f>+VLOOKUP($AJ693,Data_Validation!$A:$D,4,0)</f>
        <v>Camions détail</v>
      </c>
      <c r="AR693" s="598" t="s">
        <v>299</v>
      </c>
      <c r="AS693" s="598">
        <f>+VLOOKUP($AJ693,Data_Validation!$A:$E,5,0)</f>
        <v>0</v>
      </c>
      <c r="AT693" s="1036" t="str">
        <f t="shared" si="63"/>
        <v>H42200</v>
      </c>
      <c r="AU693" s="599" t="str">
        <f t="shared" si="64"/>
        <v>CT VENUE</v>
      </c>
      <c r="AV693" s="1030">
        <f>IFERROR(INDEX(V693:AG693,1,MATCH(Parametres!$B$3,V$1:AG$1,0)-1)*IF(OR(C693="L",C693="S",C693="I"),-1,1),"")</f>
        <v>0</v>
      </c>
      <c r="AW693" s="1030">
        <f t="shared" si="65"/>
        <v>0</v>
      </c>
      <c r="AX693" s="1030">
        <f>INDEX(V693:AG693,1,MATCH(Parametres!$B$3,V$1:AG$1,0))*IF(OR(C693="L",C693="S",C693="I"),-1,1)</f>
        <v>0</v>
      </c>
      <c r="AY693" s="598" t="s">
        <v>337</v>
      </c>
      <c r="AZ693" s="598">
        <f>+VLOOKUP($AJ693,Data_Validation!$A:$E,5,0)</f>
        <v>0</v>
      </c>
    </row>
    <row r="694" spans="1:52" ht="15" customHeight="1">
      <c r="A694" s="832" t="s">
        <v>1150</v>
      </c>
      <c r="B694" s="832">
        <v>2025</v>
      </c>
      <c r="C694" s="832" t="s">
        <v>2517</v>
      </c>
      <c r="D694" s="832" t="s">
        <v>2518</v>
      </c>
      <c r="E694" s="832" t="s">
        <v>1889</v>
      </c>
      <c r="F694" s="832" t="s">
        <v>2438</v>
      </c>
      <c r="G694" s="832">
        <v>88785.81</v>
      </c>
      <c r="H694" s="832">
        <v>155769.04999999999</v>
      </c>
      <c r="I694" s="832">
        <v>222488.79</v>
      </c>
      <c r="J694" s="832">
        <v>242909.16</v>
      </c>
      <c r="K694" s="832">
        <v>291587.83</v>
      </c>
      <c r="L694" s="832">
        <v>291587.83</v>
      </c>
      <c r="M694" s="832">
        <v>291587.83</v>
      </c>
      <c r="N694" s="832">
        <v>326363.59999999998</v>
      </c>
      <c r="O694" s="832">
        <v>398590.59</v>
      </c>
      <c r="P694" s="832">
        <v>499110.34</v>
      </c>
      <c r="Q694" s="832">
        <v>708694.45</v>
      </c>
      <c r="R694" s="832">
        <v>869384.61</v>
      </c>
      <c r="S694" s="832">
        <v>64426.77</v>
      </c>
      <c r="T694" s="832">
        <v>64426.77</v>
      </c>
      <c r="U694" s="832">
        <v>0</v>
      </c>
      <c r="V694" s="832">
        <v>0</v>
      </c>
      <c r="W694" s="832">
        <v>0</v>
      </c>
      <c r="X694" s="832">
        <v>0</v>
      </c>
      <c r="Y694" s="832">
        <v>0</v>
      </c>
      <c r="Z694" s="832">
        <v>0</v>
      </c>
      <c r="AA694" s="832">
        <v>0</v>
      </c>
      <c r="AB694" s="832">
        <v>0</v>
      </c>
      <c r="AC694" s="832">
        <v>0</v>
      </c>
      <c r="AD694" s="832">
        <v>0</v>
      </c>
      <c r="AE694" s="832">
        <v>0</v>
      </c>
      <c r="AF694" s="832">
        <v>0</v>
      </c>
      <c r="AG694" s="832">
        <v>0</v>
      </c>
      <c r="AH694" s="832">
        <v>0</v>
      </c>
      <c r="AI694" s="832">
        <v>0</v>
      </c>
      <c r="AJ694" s="1030" t="str">
        <f t="shared" si="66"/>
        <v>H42300</v>
      </c>
      <c r="AK694" s="1030" t="str">
        <f t="shared" si="67"/>
        <v>CT USAGE CERTIFIE HD</v>
      </c>
      <c r="AL694" s="1030">
        <f>IFERROR(INDEX(G694:R694,1,MATCH(Parametres!$B$3,G$1:R$1,0)-1)*IF(OR(F694="L",F694="S",F694="I"),-1,1),"")</f>
        <v>242909.16</v>
      </c>
      <c r="AM694" s="1030">
        <f t="shared" si="62"/>
        <v>48678.670000000013</v>
      </c>
      <c r="AN694" s="1030">
        <f>INDEX(G694:R694,1,MATCH(Parametres!$B$3,G$1:R$1,0))*IF(OR(F694="L",F694="S",F694="I"),-1,1)</f>
        <v>291587.83</v>
      </c>
      <c r="AO694" s="598" t="str">
        <f>+VLOOKUP($AJ694,Data_Validation!$A:$D,1,0)</f>
        <v>H42300</v>
      </c>
      <c r="AP694" s="598" t="str">
        <f>+VLOOKUP($AJ694,Data_Validation!$A:$D,3,0)</f>
        <v>Véhicules usagés</v>
      </c>
      <c r="AQ694" s="598" t="str">
        <f>+VLOOKUP($AJ694,Data_Validation!$A:$D,4,0)</f>
        <v>Certifié</v>
      </c>
      <c r="AR694" s="598" t="s">
        <v>299</v>
      </c>
      <c r="AS694" s="598">
        <f>+VLOOKUP($AJ694,Data_Validation!$A:$E,5,0)</f>
        <v>0</v>
      </c>
      <c r="AT694" s="1036" t="str">
        <f t="shared" si="63"/>
        <v>H42300</v>
      </c>
      <c r="AU694" s="599" t="str">
        <f t="shared" si="64"/>
        <v>CT USAGE CERTIFIE HD</v>
      </c>
      <c r="AV694" s="1030">
        <f>IFERROR(INDEX(V694:AG694,1,MATCH(Parametres!$B$3,V$1:AG$1,0)-1)*IF(OR(C694="L",C694="S",C694="I"),-1,1),"")</f>
        <v>0</v>
      </c>
      <c r="AW694" s="1030">
        <f t="shared" si="65"/>
        <v>0</v>
      </c>
      <c r="AX694" s="1030">
        <f>INDEX(V694:AG694,1,MATCH(Parametres!$B$3,V$1:AG$1,0))*IF(OR(C694="L",C694="S",C694="I"),-1,1)</f>
        <v>0</v>
      </c>
      <c r="AY694" s="598" t="s">
        <v>337</v>
      </c>
      <c r="AZ694" s="598">
        <f>+VLOOKUP($AJ694,Data_Validation!$A:$E,5,0)</f>
        <v>0</v>
      </c>
    </row>
    <row r="695" spans="1:52" ht="15" customHeight="1">
      <c r="A695" s="832" t="s">
        <v>1150</v>
      </c>
      <c r="B695" s="832">
        <v>2025</v>
      </c>
      <c r="C695" s="832" t="s">
        <v>2519</v>
      </c>
      <c r="D695" s="832" t="s">
        <v>2520</v>
      </c>
      <c r="E695" s="832" t="s">
        <v>2521</v>
      </c>
      <c r="F695" s="832" t="s">
        <v>2438</v>
      </c>
      <c r="G695" s="832">
        <v>1</v>
      </c>
      <c r="H695" s="832">
        <v>2</v>
      </c>
      <c r="I695" s="832">
        <v>3</v>
      </c>
      <c r="J695" s="832">
        <v>4</v>
      </c>
      <c r="K695" s="832">
        <v>5</v>
      </c>
      <c r="L695" s="832">
        <v>5</v>
      </c>
      <c r="M695" s="832">
        <v>5</v>
      </c>
      <c r="N695" s="832">
        <v>6</v>
      </c>
      <c r="O695" s="832">
        <v>7</v>
      </c>
      <c r="P695" s="832">
        <v>8</v>
      </c>
      <c r="Q695" s="832">
        <v>9</v>
      </c>
      <c r="R695" s="832">
        <v>10</v>
      </c>
      <c r="S695" s="832">
        <v>0.82</v>
      </c>
      <c r="T695" s="832">
        <v>0.82</v>
      </c>
      <c r="U695" s="832">
        <v>0</v>
      </c>
      <c r="V695" s="832">
        <v>0</v>
      </c>
      <c r="W695" s="832">
        <v>0</v>
      </c>
      <c r="X695" s="832">
        <v>0</v>
      </c>
      <c r="Y695" s="832">
        <v>0</v>
      </c>
      <c r="Z695" s="832">
        <v>0</v>
      </c>
      <c r="AA695" s="832">
        <v>0</v>
      </c>
      <c r="AB695" s="832">
        <v>0</v>
      </c>
      <c r="AC695" s="832">
        <v>0</v>
      </c>
      <c r="AD695" s="832">
        <v>0</v>
      </c>
      <c r="AE695" s="832">
        <v>0</v>
      </c>
      <c r="AF695" s="832">
        <v>0</v>
      </c>
      <c r="AG695" s="832">
        <v>0</v>
      </c>
      <c r="AH695" s="832">
        <v>0</v>
      </c>
      <c r="AI695" s="832">
        <v>0</v>
      </c>
      <c r="AJ695" s="1030" t="str">
        <f t="shared" si="66"/>
        <v>H42400</v>
      </c>
      <c r="AK695" s="1030" t="str">
        <f t="shared" si="67"/>
        <v>CT USA REC CERTIF HYUNDAI</v>
      </c>
      <c r="AL695" s="1030">
        <f>IFERROR(INDEX(G695:R695,1,MATCH(Parametres!$B$3,G$1:R$1,0)-1)*IF(OR(F695="L",F695="S",F695="I"),-1,1),"")</f>
        <v>4</v>
      </c>
      <c r="AM695" s="1030">
        <f t="shared" si="62"/>
        <v>1</v>
      </c>
      <c r="AN695" s="1030">
        <f>INDEX(G695:R695,1,MATCH(Parametres!$B$3,G$1:R$1,0))*IF(OR(F695="L",F695="S",F695="I"),-1,1)</f>
        <v>5</v>
      </c>
      <c r="AO695" s="598" t="str">
        <f>+VLOOKUP($AJ695,Data_Validation!$A:$D,1,0)</f>
        <v>H42400</v>
      </c>
      <c r="AP695" s="598" t="str">
        <f>+VLOOKUP($AJ695,Data_Validation!$A:$D,3,0)</f>
        <v>Véhicules usagés</v>
      </c>
      <c r="AQ695" s="598" t="str">
        <f>+VLOOKUP($AJ695,Data_Validation!$A:$D,4,0)</f>
        <v>Certifié</v>
      </c>
      <c r="AR695" s="598" t="s">
        <v>299</v>
      </c>
      <c r="AS695" s="598">
        <f>+VLOOKUP($AJ695,Data_Validation!$A:$E,5,0)</f>
        <v>0</v>
      </c>
      <c r="AT695" s="1036" t="str">
        <f t="shared" si="63"/>
        <v>H42400</v>
      </c>
      <c r="AU695" s="599" t="str">
        <f t="shared" si="64"/>
        <v>CT USA REC CERTIF HYUNDAI</v>
      </c>
      <c r="AV695" s="1030">
        <f>IFERROR(INDEX(V695:AG695,1,MATCH(Parametres!$B$3,V$1:AG$1,0)-1)*IF(OR(C695="L",C695="S",C695="I"),-1,1),"")</f>
        <v>0</v>
      </c>
      <c r="AW695" s="1030">
        <f t="shared" si="65"/>
        <v>0</v>
      </c>
      <c r="AX695" s="1030">
        <f>INDEX(V695:AG695,1,MATCH(Parametres!$B$3,V$1:AG$1,0))*IF(OR(C695="L",C695="S",C695="I"),-1,1)</f>
        <v>0</v>
      </c>
      <c r="AY695" s="598" t="s">
        <v>337</v>
      </c>
      <c r="AZ695" s="598">
        <f>+VLOOKUP($AJ695,Data_Validation!$A:$E,5,0)</f>
        <v>0</v>
      </c>
    </row>
    <row r="696" spans="1:52" ht="15" customHeight="1">
      <c r="A696" s="832" t="s">
        <v>1150</v>
      </c>
      <c r="B696" s="832">
        <v>2025</v>
      </c>
      <c r="C696" s="832" t="s">
        <v>2522</v>
      </c>
      <c r="D696" s="832" t="s">
        <v>2523</v>
      </c>
      <c r="E696" s="832" t="s">
        <v>1889</v>
      </c>
      <c r="F696" s="832" t="s">
        <v>2438</v>
      </c>
      <c r="G696" s="832">
        <v>18449.560000000001</v>
      </c>
      <c r="H696" s="832">
        <v>63474.559999999998</v>
      </c>
      <c r="I696" s="832">
        <v>80171.64</v>
      </c>
      <c r="J696" s="832">
        <v>80171.64</v>
      </c>
      <c r="K696" s="832">
        <v>112765.14</v>
      </c>
      <c r="L696" s="832">
        <v>112765.14</v>
      </c>
      <c r="M696" s="832">
        <v>112765.14</v>
      </c>
      <c r="N696" s="832">
        <v>129164.04</v>
      </c>
      <c r="O696" s="832">
        <v>178588.75</v>
      </c>
      <c r="P696" s="832">
        <v>280280.38</v>
      </c>
      <c r="Q696" s="832">
        <v>316310.28000000003</v>
      </c>
      <c r="R696" s="832">
        <v>352477.13</v>
      </c>
      <c r="S696" s="832">
        <v>28755.48</v>
      </c>
      <c r="T696" s="832">
        <v>28755.48</v>
      </c>
      <c r="U696" s="832">
        <v>0</v>
      </c>
      <c r="V696" s="832">
        <v>0</v>
      </c>
      <c r="W696" s="832">
        <v>0</v>
      </c>
      <c r="X696" s="832">
        <v>0</v>
      </c>
      <c r="Y696" s="832">
        <v>0</v>
      </c>
      <c r="Z696" s="832">
        <v>0</v>
      </c>
      <c r="AA696" s="832">
        <v>0</v>
      </c>
      <c r="AB696" s="832">
        <v>0</v>
      </c>
      <c r="AC696" s="832">
        <v>0</v>
      </c>
      <c r="AD696" s="832">
        <v>0</v>
      </c>
      <c r="AE696" s="832">
        <v>0</v>
      </c>
      <c r="AF696" s="832">
        <v>0</v>
      </c>
      <c r="AG696" s="832">
        <v>0</v>
      </c>
      <c r="AH696" s="832">
        <v>0</v>
      </c>
      <c r="AI696" s="832">
        <v>0</v>
      </c>
      <c r="AJ696" s="1030" t="str">
        <f t="shared" si="66"/>
        <v>H42500</v>
      </c>
      <c r="AK696" s="1030" t="str">
        <f t="shared" si="67"/>
        <v>CT VEHICULES OCC HYUNDAI</v>
      </c>
      <c r="AL696" s="1030">
        <f>IFERROR(INDEX(G696:R696,1,MATCH(Parametres!$B$3,G$1:R$1,0)-1)*IF(OR(F696="L",F696="S",F696="I"),-1,1),"")</f>
        <v>80171.64</v>
      </c>
      <c r="AM696" s="1030">
        <f t="shared" si="62"/>
        <v>32593.5</v>
      </c>
      <c r="AN696" s="1030">
        <f>INDEX(G696:R696,1,MATCH(Parametres!$B$3,G$1:R$1,0))*IF(OR(F696="L",F696="S",F696="I"),-1,1)</f>
        <v>112765.14</v>
      </c>
      <c r="AO696" s="598" t="str">
        <f>+VLOOKUP($AJ696,Data_Validation!$A:$D,1,0)</f>
        <v>H42500</v>
      </c>
      <c r="AP696" s="598" t="str">
        <f>+VLOOKUP($AJ696,Data_Validation!$A:$D,3,0)</f>
        <v>Véhicules usagés</v>
      </c>
      <c r="AQ696" s="598" t="str">
        <f>+VLOOKUP($AJ696,Data_Validation!$A:$D,4,0)</f>
        <v>Non Certifié</v>
      </c>
      <c r="AR696" s="598" t="s">
        <v>299</v>
      </c>
      <c r="AS696" s="598">
        <f>+VLOOKUP($AJ696,Data_Validation!$A:$E,5,0)</f>
        <v>0</v>
      </c>
      <c r="AT696" s="1036" t="str">
        <f t="shared" si="63"/>
        <v>H42500</v>
      </c>
      <c r="AU696" s="599" t="str">
        <f t="shared" si="64"/>
        <v>CT VEHICULES OCC HYUNDAI</v>
      </c>
      <c r="AV696" s="1030">
        <f>IFERROR(INDEX(V696:AG696,1,MATCH(Parametres!$B$3,V$1:AG$1,0)-1)*IF(OR(C696="L",C696="S",C696="I"),-1,1),"")</f>
        <v>0</v>
      </c>
      <c r="AW696" s="1030">
        <f t="shared" si="65"/>
        <v>0</v>
      </c>
      <c r="AX696" s="1030">
        <f>INDEX(V696:AG696,1,MATCH(Parametres!$B$3,V$1:AG$1,0))*IF(OR(C696="L",C696="S",C696="I"),-1,1)</f>
        <v>0</v>
      </c>
      <c r="AY696" s="598" t="s">
        <v>337</v>
      </c>
      <c r="AZ696" s="598">
        <f>+VLOOKUP($AJ696,Data_Validation!$A:$E,5,0)</f>
        <v>0</v>
      </c>
    </row>
    <row r="697" spans="1:52" ht="15" customHeight="1">
      <c r="A697" s="832" t="s">
        <v>1150</v>
      </c>
      <c r="B697" s="832">
        <v>2025</v>
      </c>
      <c r="C697" s="832" t="s">
        <v>2524</v>
      </c>
      <c r="D697" s="832" t="s">
        <v>2308</v>
      </c>
      <c r="E697" s="832" t="s">
        <v>2521</v>
      </c>
      <c r="F697" s="832" t="s">
        <v>2438</v>
      </c>
      <c r="G697" s="832">
        <v>1</v>
      </c>
      <c r="H697" s="832">
        <v>2.0099999999999998</v>
      </c>
      <c r="I697" s="832">
        <v>3.01</v>
      </c>
      <c r="J697" s="832">
        <v>3.01</v>
      </c>
      <c r="K697" s="832">
        <v>4.01</v>
      </c>
      <c r="L697" s="832">
        <v>4.01</v>
      </c>
      <c r="M697" s="832">
        <v>4.01</v>
      </c>
      <c r="N697" s="832">
        <v>5.01</v>
      </c>
      <c r="O697" s="832">
        <v>6.01</v>
      </c>
      <c r="P697" s="832">
        <v>7.01</v>
      </c>
      <c r="Q697" s="832">
        <v>8.01</v>
      </c>
      <c r="R697" s="832">
        <v>9.01</v>
      </c>
      <c r="S697" s="832">
        <v>0.73</v>
      </c>
      <c r="T697" s="832">
        <v>0.73</v>
      </c>
      <c r="U697" s="832">
        <v>0</v>
      </c>
      <c r="V697" s="832">
        <v>0</v>
      </c>
      <c r="W697" s="832">
        <v>0</v>
      </c>
      <c r="X697" s="832">
        <v>0</v>
      </c>
      <c r="Y697" s="832">
        <v>0</v>
      </c>
      <c r="Z697" s="832">
        <v>0</v>
      </c>
      <c r="AA697" s="832">
        <v>0</v>
      </c>
      <c r="AB697" s="832">
        <v>0</v>
      </c>
      <c r="AC697" s="832">
        <v>0</v>
      </c>
      <c r="AD697" s="832">
        <v>0</v>
      </c>
      <c r="AE697" s="832">
        <v>0</v>
      </c>
      <c r="AF697" s="832">
        <v>0</v>
      </c>
      <c r="AG697" s="832">
        <v>0</v>
      </c>
      <c r="AH697" s="832">
        <v>0</v>
      </c>
      <c r="AI697" s="832">
        <v>0</v>
      </c>
      <c r="AJ697" s="1030" t="str">
        <f t="shared" si="66"/>
        <v>H42600</v>
      </c>
      <c r="AK697" s="1030" t="str">
        <f t="shared" si="67"/>
        <v>REMISE EN ETAT VEH OCCASS</v>
      </c>
      <c r="AL697" s="1030">
        <f>IFERROR(INDEX(G697:R697,1,MATCH(Parametres!$B$3,G$1:R$1,0)-1)*IF(OR(F697="L",F697="S",F697="I"),-1,1),"")</f>
        <v>3.01</v>
      </c>
      <c r="AM697" s="1030">
        <f t="shared" si="62"/>
        <v>1</v>
      </c>
      <c r="AN697" s="1030">
        <f>INDEX(G697:R697,1,MATCH(Parametres!$B$3,G$1:R$1,0))*IF(OR(F697="L",F697="S",F697="I"),-1,1)</f>
        <v>4.01</v>
      </c>
      <c r="AO697" s="598" t="str">
        <f>+VLOOKUP($AJ697,Data_Validation!$A:$D,1,0)</f>
        <v>H42600</v>
      </c>
      <c r="AP697" s="598" t="str">
        <f>+VLOOKUP($AJ697,Data_Validation!$A:$D,3,0)</f>
        <v>Véhicules usagés</v>
      </c>
      <c r="AQ697" s="598" t="str">
        <f>+VLOOKUP($AJ697,Data_Validation!$A:$D,4,0)</f>
        <v>Non Certifié</v>
      </c>
      <c r="AR697" s="598" t="s">
        <v>299</v>
      </c>
      <c r="AS697" s="598">
        <f>+VLOOKUP($AJ697,Data_Validation!$A:$E,5,0)</f>
        <v>0</v>
      </c>
      <c r="AT697" s="1036" t="str">
        <f t="shared" si="63"/>
        <v>H42600</v>
      </c>
      <c r="AU697" s="599" t="str">
        <f t="shared" si="64"/>
        <v>REMISE EN ETAT VEH OCCASS</v>
      </c>
      <c r="AV697" s="1030">
        <f>IFERROR(INDEX(V697:AG697,1,MATCH(Parametres!$B$3,V$1:AG$1,0)-1)*IF(OR(C697="L",C697="S",C697="I"),-1,1),"")</f>
        <v>0</v>
      </c>
      <c r="AW697" s="1030">
        <f t="shared" si="65"/>
        <v>0</v>
      </c>
      <c r="AX697" s="1030">
        <f>INDEX(V697:AG697,1,MATCH(Parametres!$B$3,V$1:AG$1,0))*IF(OR(C697="L",C697="S",C697="I"),-1,1)</f>
        <v>0</v>
      </c>
      <c r="AY697" s="598" t="s">
        <v>337</v>
      </c>
      <c r="AZ697" s="598">
        <f>+VLOOKUP($AJ697,Data_Validation!$A:$E,5,0)</f>
        <v>0</v>
      </c>
    </row>
    <row r="698" spans="1:52" ht="15" customHeight="1">
      <c r="A698" s="832" t="s">
        <v>1150</v>
      </c>
      <c r="B698" s="832">
        <v>2025</v>
      </c>
      <c r="C698" s="832" t="s">
        <v>2525</v>
      </c>
      <c r="D698" s="832" t="s">
        <v>2526</v>
      </c>
      <c r="E698" s="832" t="s">
        <v>1889</v>
      </c>
      <c r="F698" s="832" t="s">
        <v>2438</v>
      </c>
      <c r="G698" s="832">
        <v>-1</v>
      </c>
      <c r="H698" s="832">
        <v>-2</v>
      </c>
      <c r="I698" s="832">
        <v>-2</v>
      </c>
      <c r="J698" s="832">
        <v>-2</v>
      </c>
      <c r="K698" s="832">
        <v>-2</v>
      </c>
      <c r="L698" s="832">
        <v>-2</v>
      </c>
      <c r="M698" s="832">
        <v>-2</v>
      </c>
      <c r="N698" s="832">
        <v>34294.92</v>
      </c>
      <c r="O698" s="832">
        <v>34294.92</v>
      </c>
      <c r="P698" s="832">
        <v>60579.91</v>
      </c>
      <c r="Q698" s="832">
        <v>60579.91</v>
      </c>
      <c r="R698" s="832">
        <v>60579.91</v>
      </c>
      <c r="S698" s="832">
        <v>5507.26</v>
      </c>
      <c r="T698" s="832">
        <v>5507.26</v>
      </c>
      <c r="U698" s="832">
        <v>0</v>
      </c>
      <c r="V698" s="832">
        <v>0</v>
      </c>
      <c r="W698" s="832">
        <v>0</v>
      </c>
      <c r="X698" s="832">
        <v>0</v>
      </c>
      <c r="Y698" s="832">
        <v>0</v>
      </c>
      <c r="Z698" s="832">
        <v>0</v>
      </c>
      <c r="AA698" s="832">
        <v>0</v>
      </c>
      <c r="AB698" s="832">
        <v>0</v>
      </c>
      <c r="AC698" s="832">
        <v>0</v>
      </c>
      <c r="AD698" s="832">
        <v>0</v>
      </c>
      <c r="AE698" s="832">
        <v>0</v>
      </c>
      <c r="AF698" s="832">
        <v>0</v>
      </c>
      <c r="AG698" s="832">
        <v>0</v>
      </c>
      <c r="AH698" s="832">
        <v>0</v>
      </c>
      <c r="AI698" s="832">
        <v>0</v>
      </c>
      <c r="AJ698" s="1030" t="str">
        <f t="shared" si="66"/>
        <v>H42700</v>
      </c>
      <c r="AK698" s="1030" t="str">
        <f t="shared" si="67"/>
        <v>CT OCC VEH AUTRE DÉTAIL</v>
      </c>
      <c r="AL698" s="1030">
        <f>IFERROR(INDEX(G698:R698,1,MATCH(Parametres!$B$3,G$1:R$1,0)-1)*IF(OR(F698="L",F698="S",F698="I"),-1,1),"")</f>
        <v>-2</v>
      </c>
      <c r="AM698" s="1030">
        <f t="shared" si="62"/>
        <v>0</v>
      </c>
      <c r="AN698" s="1030">
        <f>INDEX(G698:R698,1,MATCH(Parametres!$B$3,G$1:R$1,0))*IF(OR(F698="L",F698="S",F698="I"),-1,1)</f>
        <v>-2</v>
      </c>
      <c r="AO698" s="598" t="str">
        <f>+VLOOKUP($AJ698,Data_Validation!$A:$D,1,0)</f>
        <v>H42700</v>
      </c>
      <c r="AP698" s="598" t="str">
        <f>+VLOOKUP($AJ698,Data_Validation!$A:$D,3,0)</f>
        <v>Véhicules usagés</v>
      </c>
      <c r="AQ698" s="598" t="str">
        <f>+VLOOKUP($AJ698,Data_Validation!$A:$D,4,0)</f>
        <v>Autres Marques</v>
      </c>
      <c r="AR698" s="598" t="s">
        <v>299</v>
      </c>
      <c r="AS698" s="598">
        <f>+VLOOKUP($AJ698,Data_Validation!$A:$E,5,0)</f>
        <v>0</v>
      </c>
      <c r="AT698" s="1036" t="str">
        <f t="shared" si="63"/>
        <v>H42700</v>
      </c>
      <c r="AU698" s="599" t="str">
        <f t="shared" si="64"/>
        <v>CT OCC VEH AUTRE DÉTAIL</v>
      </c>
      <c r="AV698" s="1030">
        <f>IFERROR(INDEX(V698:AG698,1,MATCH(Parametres!$B$3,V$1:AG$1,0)-1)*IF(OR(C698="L",C698="S",C698="I"),-1,1),"")</f>
        <v>0</v>
      </c>
      <c r="AW698" s="1030">
        <f t="shared" si="65"/>
        <v>0</v>
      </c>
      <c r="AX698" s="1030">
        <f>INDEX(V698:AG698,1,MATCH(Parametres!$B$3,V$1:AG$1,0))*IF(OR(C698="L",C698="S",C698="I"),-1,1)</f>
        <v>0</v>
      </c>
      <c r="AY698" s="598" t="s">
        <v>337</v>
      </c>
      <c r="AZ698" s="598">
        <f>+VLOOKUP($AJ698,Data_Validation!$A:$E,5,0)</f>
        <v>0</v>
      </c>
    </row>
    <row r="699" spans="1:52" ht="15" customHeight="1">
      <c r="A699" s="832" t="s">
        <v>1150</v>
      </c>
      <c r="B699" s="832">
        <v>2025</v>
      </c>
      <c r="C699" s="832" t="s">
        <v>2527</v>
      </c>
      <c r="D699" s="832" t="s">
        <v>2312</v>
      </c>
      <c r="E699" s="832" t="s">
        <v>2521</v>
      </c>
      <c r="F699" s="832" t="s">
        <v>2438</v>
      </c>
      <c r="G699" s="832">
        <v>1</v>
      </c>
      <c r="H699" s="832">
        <v>2</v>
      </c>
      <c r="I699" s="832">
        <v>3</v>
      </c>
      <c r="J699" s="832">
        <v>3</v>
      </c>
      <c r="K699" s="832">
        <v>4</v>
      </c>
      <c r="L699" s="832">
        <v>5</v>
      </c>
      <c r="M699" s="832">
        <v>5</v>
      </c>
      <c r="N699" s="832">
        <v>6</v>
      </c>
      <c r="O699" s="832">
        <v>7</v>
      </c>
      <c r="P699" s="832">
        <v>8</v>
      </c>
      <c r="Q699" s="832">
        <v>9</v>
      </c>
      <c r="R699" s="832">
        <v>9</v>
      </c>
      <c r="S699" s="832">
        <v>0.82</v>
      </c>
      <c r="T699" s="832">
        <v>0.82</v>
      </c>
      <c r="U699" s="832">
        <v>0</v>
      </c>
      <c r="V699" s="832">
        <v>0</v>
      </c>
      <c r="W699" s="832">
        <v>0</v>
      </c>
      <c r="X699" s="832">
        <v>0</v>
      </c>
      <c r="Y699" s="832">
        <v>0</v>
      </c>
      <c r="Z699" s="832">
        <v>0</v>
      </c>
      <c r="AA699" s="832">
        <v>0</v>
      </c>
      <c r="AB699" s="832">
        <v>0</v>
      </c>
      <c r="AC699" s="832">
        <v>0</v>
      </c>
      <c r="AD699" s="832">
        <v>0</v>
      </c>
      <c r="AE699" s="832">
        <v>0</v>
      </c>
      <c r="AF699" s="832">
        <v>0</v>
      </c>
      <c r="AG699" s="832">
        <v>0</v>
      </c>
      <c r="AH699" s="832">
        <v>0</v>
      </c>
      <c r="AI699" s="832">
        <v>0</v>
      </c>
      <c r="AJ699" s="1030" t="str">
        <f t="shared" si="66"/>
        <v>H42800</v>
      </c>
      <c r="AK699" s="1030" t="str">
        <f t="shared" si="67"/>
        <v>REMISE ETAT VEH OCC AUTRE</v>
      </c>
      <c r="AL699" s="1030">
        <f>IFERROR(INDEX(G699:R699,1,MATCH(Parametres!$B$3,G$1:R$1,0)-1)*IF(OR(F699="L",F699="S",F699="I"),-1,1),"")</f>
        <v>3</v>
      </c>
      <c r="AM699" s="1030">
        <f t="shared" si="62"/>
        <v>1</v>
      </c>
      <c r="AN699" s="1030">
        <f>INDEX(G699:R699,1,MATCH(Parametres!$B$3,G$1:R$1,0))*IF(OR(F699="L",F699="S",F699="I"),-1,1)</f>
        <v>4</v>
      </c>
      <c r="AO699" s="598" t="str">
        <f>+VLOOKUP($AJ699,Data_Validation!$A:$D,1,0)</f>
        <v>H42800</v>
      </c>
      <c r="AP699" s="598" t="str">
        <f>+VLOOKUP($AJ699,Data_Validation!$A:$D,3,0)</f>
        <v>Véhicules usagés</v>
      </c>
      <c r="AQ699" s="598" t="str">
        <f>+VLOOKUP($AJ699,Data_Validation!$A:$D,4,0)</f>
        <v>Autres Marques</v>
      </c>
      <c r="AR699" s="598" t="s">
        <v>299</v>
      </c>
      <c r="AS699" s="598">
        <f>+VLOOKUP($AJ699,Data_Validation!$A:$E,5,0)</f>
        <v>0</v>
      </c>
      <c r="AT699" s="1036" t="str">
        <f t="shared" si="63"/>
        <v>H42800</v>
      </c>
      <c r="AU699" s="599" t="str">
        <f t="shared" si="64"/>
        <v>REMISE ETAT VEH OCC AUTRE</v>
      </c>
      <c r="AV699" s="1030">
        <f>IFERROR(INDEX(V699:AG699,1,MATCH(Parametres!$B$3,V$1:AG$1,0)-1)*IF(OR(C699="L",C699="S",C699="I"),-1,1),"")</f>
        <v>0</v>
      </c>
      <c r="AW699" s="1030">
        <f t="shared" si="65"/>
        <v>0</v>
      </c>
      <c r="AX699" s="1030">
        <f>INDEX(V699:AG699,1,MATCH(Parametres!$B$3,V$1:AG$1,0))*IF(OR(C699="L",C699="S",C699="I"),-1,1)</f>
        <v>0</v>
      </c>
      <c r="AY699" s="598" t="s">
        <v>337</v>
      </c>
      <c r="AZ699" s="598">
        <f>+VLOOKUP($AJ699,Data_Validation!$A:$E,5,0)</f>
        <v>0</v>
      </c>
    </row>
    <row r="700" spans="1:52" ht="15" customHeight="1">
      <c r="A700" s="832" t="s">
        <v>1150</v>
      </c>
      <c r="B700" s="832">
        <v>2025</v>
      </c>
      <c r="C700" s="832" t="s">
        <v>2528</v>
      </c>
      <c r="D700" s="832" t="s">
        <v>2529</v>
      </c>
      <c r="E700" s="832" t="s">
        <v>1889</v>
      </c>
      <c r="F700" s="832" t="s">
        <v>2438</v>
      </c>
      <c r="G700" s="832">
        <v>89200</v>
      </c>
      <c r="H700" s="832">
        <v>95200</v>
      </c>
      <c r="I700" s="832">
        <v>146699</v>
      </c>
      <c r="J700" s="832">
        <v>146699</v>
      </c>
      <c r="K700" s="832">
        <v>209346.77</v>
      </c>
      <c r="L700" s="832">
        <v>264495.77</v>
      </c>
      <c r="M700" s="832">
        <v>264495.77</v>
      </c>
      <c r="N700" s="832">
        <v>349495.77</v>
      </c>
      <c r="O700" s="832">
        <v>374982.68</v>
      </c>
      <c r="P700" s="832">
        <v>415232.68</v>
      </c>
      <c r="Q700" s="832">
        <v>420231.67999999999</v>
      </c>
      <c r="R700" s="832">
        <v>420231.67999999999</v>
      </c>
      <c r="S700" s="832">
        <v>38202.879999999997</v>
      </c>
      <c r="T700" s="832">
        <v>38202.879999999997</v>
      </c>
      <c r="U700" s="832">
        <v>0</v>
      </c>
      <c r="V700" s="832">
        <v>0</v>
      </c>
      <c r="W700" s="832">
        <v>0</v>
      </c>
      <c r="X700" s="832">
        <v>0</v>
      </c>
      <c r="Y700" s="832">
        <v>0</v>
      </c>
      <c r="Z700" s="832">
        <v>0</v>
      </c>
      <c r="AA700" s="832">
        <v>0</v>
      </c>
      <c r="AB700" s="832">
        <v>0</v>
      </c>
      <c r="AC700" s="832">
        <v>0</v>
      </c>
      <c r="AD700" s="832">
        <v>0</v>
      </c>
      <c r="AE700" s="832">
        <v>0</v>
      </c>
      <c r="AF700" s="832">
        <v>0</v>
      </c>
      <c r="AG700" s="832">
        <v>0</v>
      </c>
      <c r="AH700" s="832">
        <v>0</v>
      </c>
      <c r="AI700" s="832">
        <v>0</v>
      </c>
      <c r="AJ700" s="1030" t="str">
        <f t="shared" si="66"/>
        <v>H42900</v>
      </c>
      <c r="AK700" s="1030" t="str">
        <f t="shared" si="67"/>
        <v>CT ACCOMODATION</v>
      </c>
      <c r="AL700" s="1030">
        <f>IFERROR(INDEX(G700:R700,1,MATCH(Parametres!$B$3,G$1:R$1,0)-1)*IF(OR(F700="L",F700="S",F700="I"),-1,1),"")</f>
        <v>146699</v>
      </c>
      <c r="AM700" s="1030">
        <f t="shared" si="62"/>
        <v>62647.76999999999</v>
      </c>
      <c r="AN700" s="1030">
        <f>INDEX(G700:R700,1,MATCH(Parametres!$B$3,G$1:R$1,0))*IF(OR(F700="L",F700="S",F700="I"),-1,1)</f>
        <v>209346.77</v>
      </c>
      <c r="AO700" s="598" t="str">
        <f>+VLOOKUP($AJ700,Data_Validation!$A:$D,1,0)</f>
        <v>H42900</v>
      </c>
      <c r="AP700" s="598" t="str">
        <f>+VLOOKUP($AJ700,Data_Validation!$A:$D,3,0)</f>
        <v>Véhicules usagés</v>
      </c>
      <c r="AQ700" s="598" t="str">
        <f>+VLOOKUP($AJ700,Data_Validation!$A:$D,4,0)</f>
        <v>Non Certifié</v>
      </c>
      <c r="AR700" s="598" t="s">
        <v>299</v>
      </c>
      <c r="AS700" s="598">
        <f>+VLOOKUP($AJ700,Data_Validation!$A:$E,5,0)</f>
        <v>0</v>
      </c>
      <c r="AT700" s="1036" t="str">
        <f t="shared" si="63"/>
        <v>H42900</v>
      </c>
      <c r="AU700" s="599" t="str">
        <f t="shared" si="64"/>
        <v>CT ACCOMODATION</v>
      </c>
      <c r="AV700" s="1030">
        <f>IFERROR(INDEX(V700:AG700,1,MATCH(Parametres!$B$3,V$1:AG$1,0)-1)*IF(OR(C700="L",C700="S",C700="I"),-1,1),"")</f>
        <v>0</v>
      </c>
      <c r="AW700" s="1030">
        <f t="shared" si="65"/>
        <v>0</v>
      </c>
      <c r="AX700" s="1030">
        <f>INDEX(V700:AG700,1,MATCH(Parametres!$B$3,V$1:AG$1,0))*IF(OR(C700="L",C700="S",C700="I"),-1,1)</f>
        <v>0</v>
      </c>
      <c r="AY700" s="598" t="s">
        <v>337</v>
      </c>
      <c r="AZ700" s="598">
        <f>+VLOOKUP($AJ700,Data_Validation!$A:$E,5,0)</f>
        <v>0</v>
      </c>
    </row>
    <row r="701" spans="1:52" ht="15" customHeight="1">
      <c r="A701" s="832" t="s">
        <v>1150</v>
      </c>
      <c r="B701" s="832">
        <v>2025</v>
      </c>
      <c r="C701" s="832" t="s">
        <v>2530</v>
      </c>
      <c r="D701" s="832" t="s">
        <v>2531</v>
      </c>
      <c r="E701" s="832" t="s">
        <v>1889</v>
      </c>
      <c r="F701" s="832" t="s">
        <v>2438</v>
      </c>
      <c r="G701" s="832">
        <v>104660.03</v>
      </c>
      <c r="H701" s="832">
        <v>104660.03</v>
      </c>
      <c r="I701" s="832">
        <v>444427.88</v>
      </c>
      <c r="J701" s="832">
        <v>888038.9</v>
      </c>
      <c r="K701" s="832">
        <v>1526880.13</v>
      </c>
      <c r="L701" s="832">
        <v>1706900.44</v>
      </c>
      <c r="M701" s="832">
        <v>2623292.7200000002</v>
      </c>
      <c r="N701" s="832">
        <v>3084783.92</v>
      </c>
      <c r="O701" s="832">
        <v>4148004.34</v>
      </c>
      <c r="P701" s="832">
        <v>4573601.0199999996</v>
      </c>
      <c r="Q701" s="832">
        <v>4791800.5</v>
      </c>
      <c r="R701" s="832">
        <v>5338488.43</v>
      </c>
      <c r="S701" s="832">
        <v>435618.23</v>
      </c>
      <c r="T701" s="832">
        <v>435618.23</v>
      </c>
      <c r="U701" s="832">
        <v>0</v>
      </c>
      <c r="V701" s="832">
        <v>0</v>
      </c>
      <c r="W701" s="832">
        <v>0</v>
      </c>
      <c r="X701" s="832">
        <v>0</v>
      </c>
      <c r="Y701" s="832">
        <v>0</v>
      </c>
      <c r="Z701" s="832">
        <v>0</v>
      </c>
      <c r="AA701" s="832">
        <v>0</v>
      </c>
      <c r="AB701" s="832">
        <v>0</v>
      </c>
      <c r="AC701" s="832">
        <v>0</v>
      </c>
      <c r="AD701" s="832">
        <v>0</v>
      </c>
      <c r="AE701" s="832">
        <v>0</v>
      </c>
      <c r="AF701" s="832">
        <v>0</v>
      </c>
      <c r="AG701" s="832">
        <v>0</v>
      </c>
      <c r="AH701" s="832">
        <v>0</v>
      </c>
      <c r="AI701" s="832">
        <v>0</v>
      </c>
      <c r="AJ701" s="1030" t="str">
        <f t="shared" si="66"/>
        <v>H42999</v>
      </c>
      <c r="AK701" s="1030" t="str">
        <f t="shared" si="67"/>
        <v>CT ECHANGE CONCESSIONNAIR</v>
      </c>
      <c r="AL701" s="1030">
        <f>IFERROR(INDEX(G701:R701,1,MATCH(Parametres!$B$3,G$1:R$1,0)-1)*IF(OR(F701="L",F701="S",F701="I"),-1,1),"")</f>
        <v>888038.9</v>
      </c>
      <c r="AM701" s="1030">
        <f t="shared" si="62"/>
        <v>638841.22999999986</v>
      </c>
      <c r="AN701" s="1030">
        <f>INDEX(G701:R701,1,MATCH(Parametres!$B$3,G$1:R$1,0))*IF(OR(F701="L",F701="S",F701="I"),-1,1)</f>
        <v>1526880.13</v>
      </c>
      <c r="AO701" s="598" t="str">
        <f>+VLOOKUP($AJ701,Data_Validation!$A:$D,1,0)</f>
        <v>H42999</v>
      </c>
      <c r="AP701" s="598" t="str">
        <f>+VLOOKUP($AJ701,Data_Validation!$A:$D,3,0)</f>
        <v>Véhicules neufs</v>
      </c>
      <c r="AQ701" s="598" t="str">
        <f>+VLOOKUP($AJ701,Data_Validation!$A:$D,4,0)</f>
        <v>Dealer trade</v>
      </c>
      <c r="AR701" s="598" t="s">
        <v>299</v>
      </c>
      <c r="AS701" s="598">
        <f>+VLOOKUP($AJ701,Data_Validation!$A:$E,5,0)</f>
        <v>0</v>
      </c>
      <c r="AT701" s="1036" t="str">
        <f t="shared" si="63"/>
        <v>H42999</v>
      </c>
      <c r="AU701" s="599" t="str">
        <f t="shared" si="64"/>
        <v>CT ECHANGE CONCESSIONNAIR</v>
      </c>
      <c r="AV701" s="1030">
        <f>IFERROR(INDEX(V701:AG701,1,MATCH(Parametres!$B$3,V$1:AG$1,0)-1)*IF(OR(C701="L",C701="S",C701="I"),-1,1),"")</f>
        <v>0</v>
      </c>
      <c r="AW701" s="1030">
        <f t="shared" si="65"/>
        <v>0</v>
      </c>
      <c r="AX701" s="1030">
        <f>INDEX(V701:AG701,1,MATCH(Parametres!$B$3,V$1:AG$1,0))*IF(OR(C701="L",C701="S",C701="I"),-1,1)</f>
        <v>0</v>
      </c>
      <c r="AY701" s="598" t="s">
        <v>337</v>
      </c>
      <c r="AZ701" s="598">
        <f>+VLOOKUP($AJ701,Data_Validation!$A:$E,5,0)</f>
        <v>0</v>
      </c>
    </row>
    <row r="702" spans="1:52" ht="15" customHeight="1">
      <c r="A702" s="832" t="s">
        <v>1150</v>
      </c>
      <c r="B702" s="832">
        <v>2025</v>
      </c>
      <c r="C702" s="832" t="s">
        <v>2532</v>
      </c>
      <c r="D702" s="832" t="s">
        <v>2460</v>
      </c>
      <c r="E702" s="832" t="s">
        <v>1889</v>
      </c>
      <c r="F702" s="832" t="s">
        <v>2438</v>
      </c>
      <c r="G702" s="832">
        <v>0</v>
      </c>
      <c r="H702" s="832">
        <v>0</v>
      </c>
      <c r="I702" s="832">
        <v>0</v>
      </c>
      <c r="J702" s="832">
        <v>0</v>
      </c>
      <c r="K702" s="832">
        <v>0</v>
      </c>
      <c r="L702" s="832">
        <v>0</v>
      </c>
      <c r="M702" s="832">
        <v>0</v>
      </c>
      <c r="N702" s="832">
        <v>0</v>
      </c>
      <c r="O702" s="832">
        <v>0</v>
      </c>
      <c r="P702" s="832">
        <v>0</v>
      </c>
      <c r="Q702" s="832">
        <v>0</v>
      </c>
      <c r="R702" s="832">
        <v>0</v>
      </c>
      <c r="S702" s="832">
        <v>0</v>
      </c>
      <c r="T702" s="832">
        <v>0</v>
      </c>
      <c r="U702" s="832">
        <v>0</v>
      </c>
      <c r="V702" s="832">
        <v>0</v>
      </c>
      <c r="W702" s="832">
        <v>0</v>
      </c>
      <c r="X702" s="832">
        <v>0</v>
      </c>
      <c r="Y702" s="832">
        <v>0</v>
      </c>
      <c r="Z702" s="832">
        <v>0</v>
      </c>
      <c r="AA702" s="832">
        <v>0</v>
      </c>
      <c r="AB702" s="832">
        <v>0</v>
      </c>
      <c r="AC702" s="832">
        <v>0</v>
      </c>
      <c r="AD702" s="832">
        <v>0</v>
      </c>
      <c r="AE702" s="832">
        <v>0</v>
      </c>
      <c r="AF702" s="832">
        <v>0</v>
      </c>
      <c r="AG702" s="832">
        <v>0</v>
      </c>
      <c r="AH702" s="832">
        <v>0</v>
      </c>
      <c r="AI702" s="832">
        <v>0</v>
      </c>
      <c r="AJ702" s="1030" t="str">
        <f t="shared" si="66"/>
        <v>H43000</v>
      </c>
      <c r="AK702" s="1030" t="str">
        <f t="shared" si="67"/>
        <v>CT ELANTRA</v>
      </c>
      <c r="AL702" s="1030">
        <f>IFERROR(INDEX(G702:R702,1,MATCH(Parametres!$B$3,G$1:R$1,0)-1)*IF(OR(F702="L",F702="S",F702="I"),-1,1),"")</f>
        <v>0</v>
      </c>
      <c r="AM702" s="1030">
        <f t="shared" si="62"/>
        <v>0</v>
      </c>
      <c r="AN702" s="1030">
        <f>INDEX(G702:R702,1,MATCH(Parametres!$B$3,G$1:R$1,0))*IF(OR(F702="L",F702="S",F702="I"),-1,1)</f>
        <v>0</v>
      </c>
      <c r="AO702" s="598" t="str">
        <f>+VLOOKUP($AJ702,Data_Validation!$A:$D,1,0)</f>
        <v>H43000</v>
      </c>
      <c r="AP702" s="598" t="str">
        <f>+VLOOKUP($AJ702,Data_Validation!$A:$D,3,0)</f>
        <v>Véhicules neufs</v>
      </c>
      <c r="AQ702" s="598" t="str">
        <f>+VLOOKUP($AJ702,Data_Validation!$A:$D,4,0)</f>
        <v>Autos détail</v>
      </c>
      <c r="AR702" s="598" t="s">
        <v>299</v>
      </c>
      <c r="AS702" s="598">
        <f>+VLOOKUP($AJ702,Data_Validation!$A:$E,5,0)</f>
        <v>0</v>
      </c>
      <c r="AT702" s="1036" t="str">
        <f t="shared" si="63"/>
        <v>H43000</v>
      </c>
      <c r="AU702" s="599" t="str">
        <f t="shared" si="64"/>
        <v>CT ELANTRA</v>
      </c>
      <c r="AV702" s="1030">
        <f>IFERROR(INDEX(V702:AG702,1,MATCH(Parametres!$B$3,V$1:AG$1,0)-1)*IF(OR(C702="L",C702="S",C702="I"),-1,1),"")</f>
        <v>0</v>
      </c>
      <c r="AW702" s="1030">
        <f t="shared" si="65"/>
        <v>0</v>
      </c>
      <c r="AX702" s="1030">
        <f>INDEX(V702:AG702,1,MATCH(Parametres!$B$3,V$1:AG$1,0))*IF(OR(C702="L",C702="S",C702="I"),-1,1)</f>
        <v>0</v>
      </c>
      <c r="AY702" s="598" t="s">
        <v>337</v>
      </c>
      <c r="AZ702" s="598">
        <f>+VLOOKUP($AJ702,Data_Validation!$A:$E,5,0)</f>
        <v>0</v>
      </c>
    </row>
    <row r="703" spans="1:52" ht="15" customHeight="1">
      <c r="A703" s="832" t="s">
        <v>1150</v>
      </c>
      <c r="B703" s="832">
        <v>2025</v>
      </c>
      <c r="C703" s="832" t="s">
        <v>2533</v>
      </c>
      <c r="D703" s="832" t="s">
        <v>2534</v>
      </c>
      <c r="E703" s="832" t="s">
        <v>1889</v>
      </c>
      <c r="F703" s="832" t="s">
        <v>2438</v>
      </c>
      <c r="G703" s="832">
        <v>470967.16</v>
      </c>
      <c r="H703" s="832">
        <v>496867.16</v>
      </c>
      <c r="I703" s="832">
        <v>496958.82</v>
      </c>
      <c r="J703" s="832">
        <v>498088.82</v>
      </c>
      <c r="K703" s="832">
        <v>522695.82</v>
      </c>
      <c r="L703" s="832">
        <v>581149.81999999995</v>
      </c>
      <c r="M703" s="832">
        <v>582279.81999999995</v>
      </c>
      <c r="N703" s="832">
        <v>583409.81999999995</v>
      </c>
      <c r="O703" s="832">
        <v>583409.81999999995</v>
      </c>
      <c r="P703" s="832">
        <v>609439.81999999995</v>
      </c>
      <c r="Q703" s="832">
        <v>609439.81999999995</v>
      </c>
      <c r="R703" s="832">
        <v>609439.81999999995</v>
      </c>
      <c r="S703" s="832">
        <v>55403.62</v>
      </c>
      <c r="T703" s="832">
        <v>55403.62</v>
      </c>
      <c r="U703" s="832">
        <v>0</v>
      </c>
      <c r="V703" s="832">
        <v>0</v>
      </c>
      <c r="W703" s="832">
        <v>0</v>
      </c>
      <c r="X703" s="832">
        <v>0</v>
      </c>
      <c r="Y703" s="832">
        <v>0</v>
      </c>
      <c r="Z703" s="832">
        <v>0</v>
      </c>
      <c r="AA703" s="832">
        <v>0</v>
      </c>
      <c r="AB703" s="832">
        <v>0</v>
      </c>
      <c r="AC703" s="832">
        <v>0</v>
      </c>
      <c r="AD703" s="832">
        <v>0</v>
      </c>
      <c r="AE703" s="832">
        <v>0</v>
      </c>
      <c r="AF703" s="832">
        <v>0</v>
      </c>
      <c r="AG703" s="832">
        <v>0</v>
      </c>
      <c r="AH703" s="832">
        <v>0</v>
      </c>
      <c r="AI703" s="832">
        <v>0</v>
      </c>
      <c r="AJ703" s="1030" t="str">
        <f t="shared" si="66"/>
        <v>H43200</v>
      </c>
      <c r="AK703" s="1030" t="str">
        <f t="shared" si="67"/>
        <v>CT VEHICULES D OC- GROS</v>
      </c>
      <c r="AL703" s="1030">
        <f>IFERROR(INDEX(G703:R703,1,MATCH(Parametres!$B$3,G$1:R$1,0)-1)*IF(OR(F703="L",F703="S",F703="I"),-1,1),"")</f>
        <v>498088.82</v>
      </c>
      <c r="AM703" s="1030">
        <f t="shared" si="62"/>
        <v>24607</v>
      </c>
      <c r="AN703" s="1030">
        <f>INDEX(G703:R703,1,MATCH(Parametres!$B$3,G$1:R$1,0))*IF(OR(F703="L",F703="S",F703="I"),-1,1)</f>
        <v>522695.82</v>
      </c>
      <c r="AO703" s="598" t="str">
        <f>+VLOOKUP($AJ703,Data_Validation!$A:$D,1,0)</f>
        <v>H43200</v>
      </c>
      <c r="AP703" s="598" t="str">
        <f>+VLOOKUP($AJ703,Data_Validation!$A:$D,3,0)</f>
        <v>Véhicules usagés</v>
      </c>
      <c r="AQ703" s="598" t="str">
        <f>+VLOOKUP($AJ703,Data_Validation!$A:$D,4,0)</f>
        <v>Ventes au Gros</v>
      </c>
      <c r="AR703" s="598" t="s">
        <v>299</v>
      </c>
      <c r="AS703" s="598">
        <f>+VLOOKUP($AJ703,Data_Validation!$A:$E,5,0)</f>
        <v>0</v>
      </c>
      <c r="AT703" s="1036" t="str">
        <f t="shared" si="63"/>
        <v>H43200</v>
      </c>
      <c r="AU703" s="599" t="str">
        <f t="shared" si="64"/>
        <v>CT VEHICULES D OC- GROS</v>
      </c>
      <c r="AV703" s="1030">
        <f>IFERROR(INDEX(V703:AG703,1,MATCH(Parametres!$B$3,V$1:AG$1,0)-1)*IF(OR(C703="L",C703="S",C703="I"),-1,1),"")</f>
        <v>0</v>
      </c>
      <c r="AW703" s="1030">
        <f t="shared" si="65"/>
        <v>0</v>
      </c>
      <c r="AX703" s="1030">
        <f>INDEX(V703:AG703,1,MATCH(Parametres!$B$3,V$1:AG$1,0))*IF(OR(C703="L",C703="S",C703="I"),-1,1)</f>
        <v>0</v>
      </c>
      <c r="AY703" s="598" t="s">
        <v>337</v>
      </c>
      <c r="AZ703" s="598">
        <f>+VLOOKUP($AJ703,Data_Validation!$A:$E,5,0)</f>
        <v>0</v>
      </c>
    </row>
    <row r="704" spans="1:52" ht="15" customHeight="1">
      <c r="A704" s="832" t="s">
        <v>1150</v>
      </c>
      <c r="B704" s="832">
        <v>2025</v>
      </c>
      <c r="C704" s="832" t="s">
        <v>2535</v>
      </c>
      <c r="D704" s="832" t="s">
        <v>2536</v>
      </c>
      <c r="E704" s="832" t="s">
        <v>1889</v>
      </c>
      <c r="F704" s="832" t="s">
        <v>2438</v>
      </c>
      <c r="G704" s="832">
        <v>241266.44</v>
      </c>
      <c r="H704" s="832">
        <v>552364.34</v>
      </c>
      <c r="I704" s="832">
        <v>1012089.04</v>
      </c>
      <c r="J704" s="832">
        <v>1996654.62</v>
      </c>
      <c r="K704" s="832">
        <v>2864286.36</v>
      </c>
      <c r="L704" s="832">
        <v>3664322.34</v>
      </c>
      <c r="M704" s="832">
        <v>4168222.45</v>
      </c>
      <c r="N704" s="832">
        <v>4623040.59</v>
      </c>
      <c r="O704" s="832">
        <v>5129532.1500000004</v>
      </c>
      <c r="P704" s="832">
        <v>5502283.9500000002</v>
      </c>
      <c r="Q704" s="832">
        <v>5765292.5999999996</v>
      </c>
      <c r="R704" s="832">
        <v>5838830.9400000004</v>
      </c>
      <c r="S704" s="832">
        <v>524117.51</v>
      </c>
      <c r="T704" s="832">
        <v>524117.51</v>
      </c>
      <c r="U704" s="832">
        <v>0</v>
      </c>
      <c r="V704" s="832">
        <v>0</v>
      </c>
      <c r="W704" s="832">
        <v>0</v>
      </c>
      <c r="X704" s="832">
        <v>0</v>
      </c>
      <c r="Y704" s="832">
        <v>0</v>
      </c>
      <c r="Z704" s="832">
        <v>0</v>
      </c>
      <c r="AA704" s="832">
        <v>0</v>
      </c>
      <c r="AB704" s="832">
        <v>0</v>
      </c>
      <c r="AC704" s="832">
        <v>0</v>
      </c>
      <c r="AD704" s="832">
        <v>0</v>
      </c>
      <c r="AE704" s="832">
        <v>0</v>
      </c>
      <c r="AF704" s="832">
        <v>0</v>
      </c>
      <c r="AG704" s="832">
        <v>0</v>
      </c>
      <c r="AH704" s="832">
        <v>0</v>
      </c>
      <c r="AI704" s="832">
        <v>0</v>
      </c>
      <c r="AJ704" s="1030" t="str">
        <f t="shared" si="66"/>
        <v>H43201</v>
      </c>
      <c r="AK704" s="1030" t="str">
        <f t="shared" si="67"/>
        <v>CT EBLOCK - EN GROS</v>
      </c>
      <c r="AL704" s="1030">
        <f>IFERROR(INDEX(G704:R704,1,MATCH(Parametres!$B$3,G$1:R$1,0)-1)*IF(OR(F704="L",F704="S",F704="I"),-1,1),"")</f>
        <v>1996654.62</v>
      </c>
      <c r="AM704" s="1030">
        <f t="shared" si="62"/>
        <v>867631.73999999976</v>
      </c>
      <c r="AN704" s="1030">
        <f>INDEX(G704:R704,1,MATCH(Parametres!$B$3,G$1:R$1,0))*IF(OR(F704="L",F704="S",F704="I"),-1,1)</f>
        <v>2864286.36</v>
      </c>
      <c r="AO704" s="598" t="str">
        <f>+VLOOKUP($AJ704,Data_Validation!$A:$D,1,0)</f>
        <v>H43201</v>
      </c>
      <c r="AP704" s="598" t="str">
        <f>+VLOOKUP($AJ704,Data_Validation!$A:$D,3,0)</f>
        <v>Véhicules usagés</v>
      </c>
      <c r="AQ704" s="598" t="str">
        <f>+VLOOKUP($AJ704,Data_Validation!$A:$D,4,0)</f>
        <v>Ventes au Gros</v>
      </c>
      <c r="AR704" s="598" t="s">
        <v>299</v>
      </c>
      <c r="AS704" s="598">
        <f>+VLOOKUP($AJ704,Data_Validation!$A:$E,5,0)</f>
        <v>0</v>
      </c>
      <c r="AT704" s="1036" t="str">
        <f t="shared" si="63"/>
        <v>H43201</v>
      </c>
      <c r="AU704" s="599" t="str">
        <f t="shared" si="64"/>
        <v>CT EBLOCK - EN GROS</v>
      </c>
      <c r="AV704" s="1030">
        <f>IFERROR(INDEX(V704:AG704,1,MATCH(Parametres!$B$3,V$1:AG$1,0)-1)*IF(OR(C704="L",C704="S",C704="I"),-1,1),"")</f>
        <v>0</v>
      </c>
      <c r="AW704" s="1030">
        <f t="shared" si="65"/>
        <v>0</v>
      </c>
      <c r="AX704" s="1030">
        <f>INDEX(V704:AG704,1,MATCH(Parametres!$B$3,V$1:AG$1,0))*IF(OR(C704="L",C704="S",C704="I"),-1,1)</f>
        <v>0</v>
      </c>
      <c r="AY704" s="598" t="s">
        <v>337</v>
      </c>
      <c r="AZ704" s="598">
        <f>+VLOOKUP($AJ704,Data_Validation!$A:$E,5,0)</f>
        <v>0</v>
      </c>
    </row>
    <row r="705" spans="1:52" ht="15" customHeight="1">
      <c r="A705" s="832" t="s">
        <v>1150</v>
      </c>
      <c r="B705" s="832">
        <v>2025</v>
      </c>
      <c r="C705" s="832" t="s">
        <v>2537</v>
      </c>
      <c r="D705" s="832" t="s">
        <v>2538</v>
      </c>
      <c r="E705" s="832" t="s">
        <v>1889</v>
      </c>
      <c r="F705" s="832" t="s">
        <v>2438</v>
      </c>
      <c r="G705" s="832">
        <v>0</v>
      </c>
      <c r="H705" s="832">
        <v>0</v>
      </c>
      <c r="I705" s="832">
        <v>0</v>
      </c>
      <c r="J705" s="832">
        <v>0</v>
      </c>
      <c r="K705" s="832">
        <v>0</v>
      </c>
      <c r="L705" s="832">
        <v>0</v>
      </c>
      <c r="M705" s="832">
        <v>0</v>
      </c>
      <c r="N705" s="832">
        <v>0</v>
      </c>
      <c r="O705" s="832">
        <v>0</v>
      </c>
      <c r="P705" s="832">
        <v>0</v>
      </c>
      <c r="Q705" s="832">
        <v>0</v>
      </c>
      <c r="R705" s="832">
        <v>0</v>
      </c>
      <c r="S705" s="832">
        <v>0</v>
      </c>
      <c r="T705" s="832">
        <v>0</v>
      </c>
      <c r="U705" s="832">
        <v>0</v>
      </c>
      <c r="V705" s="832">
        <v>0</v>
      </c>
      <c r="W705" s="832">
        <v>0</v>
      </c>
      <c r="X705" s="832">
        <v>0</v>
      </c>
      <c r="Y705" s="832">
        <v>0</v>
      </c>
      <c r="Z705" s="832">
        <v>0</v>
      </c>
      <c r="AA705" s="832">
        <v>0</v>
      </c>
      <c r="AB705" s="832">
        <v>0</v>
      </c>
      <c r="AC705" s="832">
        <v>0</v>
      </c>
      <c r="AD705" s="832">
        <v>0</v>
      </c>
      <c r="AE705" s="832">
        <v>0</v>
      </c>
      <c r="AF705" s="832">
        <v>0</v>
      </c>
      <c r="AG705" s="832">
        <v>0</v>
      </c>
      <c r="AH705" s="832">
        <v>0</v>
      </c>
      <c r="AI705" s="832">
        <v>0</v>
      </c>
      <c r="AJ705" s="1030" t="str">
        <f t="shared" si="66"/>
        <v>H43202</v>
      </c>
      <c r="AK705" s="1030" t="str">
        <f t="shared" si="67"/>
        <v>CT WHOLESALE PAT</v>
      </c>
      <c r="AL705" s="1030">
        <f>IFERROR(INDEX(G705:R705,1,MATCH(Parametres!$B$3,G$1:R$1,0)-1)*IF(OR(F705="L",F705="S",F705="I"),-1,1),"")</f>
        <v>0</v>
      </c>
      <c r="AM705" s="1030">
        <f t="shared" si="62"/>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t="str">
        <f t="shared" si="63"/>
        <v>H43202</v>
      </c>
      <c r="AU705" s="599" t="str">
        <f t="shared" si="64"/>
        <v>CT WHOLESALE PAT</v>
      </c>
      <c r="AV705" s="1030">
        <f>IFERROR(INDEX(V705:AG705,1,MATCH(Parametres!$B$3,V$1:AG$1,0)-1)*IF(OR(C705="L",C705="S",C705="I"),-1,1),"")</f>
        <v>0</v>
      </c>
      <c r="AW705" s="1030">
        <f t="shared" si="65"/>
        <v>0</v>
      </c>
      <c r="AX705" s="1030">
        <f>INDEX(V705:AG705,1,MATCH(Parametres!$B$3,V$1:AG$1,0))*IF(OR(C705="L",C705="S",C705="I"),-1,1)</f>
        <v>0</v>
      </c>
      <c r="AY705" s="598" t="s">
        <v>337</v>
      </c>
      <c r="AZ705" s="598" t="e">
        <f>+VLOOKUP($AJ705,Data_Validation!$A:$E,5,0)</f>
        <v>#N/A</v>
      </c>
    </row>
    <row r="706" spans="1:52" ht="15" customHeight="1">
      <c r="A706" s="832" t="s">
        <v>1150</v>
      </c>
      <c r="B706" s="832">
        <v>2025</v>
      </c>
      <c r="C706" s="832" t="s">
        <v>2539</v>
      </c>
      <c r="D706" s="832" t="s">
        <v>2540</v>
      </c>
      <c r="E706" s="832" t="s">
        <v>1889</v>
      </c>
      <c r="F706" s="832" t="s">
        <v>2438</v>
      </c>
      <c r="G706" s="832">
        <v>0</v>
      </c>
      <c r="H706" s="832">
        <v>0</v>
      </c>
      <c r="I706" s="832">
        <v>0</v>
      </c>
      <c r="J706" s="832">
        <v>0</v>
      </c>
      <c r="K706" s="832">
        <v>0</v>
      </c>
      <c r="L706" s="832">
        <v>0</v>
      </c>
      <c r="M706" s="832">
        <v>0</v>
      </c>
      <c r="N706" s="832">
        <v>0</v>
      </c>
      <c r="O706" s="832">
        <v>0</v>
      </c>
      <c r="P706" s="832">
        <v>0</v>
      </c>
      <c r="Q706" s="832">
        <v>0</v>
      </c>
      <c r="R706" s="832">
        <v>0</v>
      </c>
      <c r="S706" s="832">
        <v>0</v>
      </c>
      <c r="T706" s="832">
        <v>0</v>
      </c>
      <c r="U706" s="832">
        <v>0</v>
      </c>
      <c r="V706" s="832">
        <v>0</v>
      </c>
      <c r="W706" s="832">
        <v>0</v>
      </c>
      <c r="X706" s="832">
        <v>0</v>
      </c>
      <c r="Y706" s="832">
        <v>0</v>
      </c>
      <c r="Z706" s="832">
        <v>0</v>
      </c>
      <c r="AA706" s="832">
        <v>0</v>
      </c>
      <c r="AB706" s="832">
        <v>0</v>
      </c>
      <c r="AC706" s="832">
        <v>0</v>
      </c>
      <c r="AD706" s="832">
        <v>0</v>
      </c>
      <c r="AE706" s="832">
        <v>0</v>
      </c>
      <c r="AF706" s="832">
        <v>0</v>
      </c>
      <c r="AG706" s="832">
        <v>0</v>
      </c>
      <c r="AH706" s="832">
        <v>0</v>
      </c>
      <c r="AI706" s="832">
        <v>0</v>
      </c>
      <c r="AJ706" s="1030" t="str">
        <f t="shared" si="66"/>
        <v>H43300</v>
      </c>
      <c r="AK706" s="1030" t="str">
        <f t="shared" si="67"/>
        <v>CT USAGE RACHAT LOCATION</v>
      </c>
      <c r="AL706" s="1030">
        <f>IFERROR(INDEX(G706:R706,1,MATCH(Parametres!$B$3,G$1:R$1,0)-1)*IF(OR(F706="L",F706="S",F706="I"),-1,1),"")</f>
        <v>0</v>
      </c>
      <c r="AM706" s="1030">
        <f t="shared" si="62"/>
        <v>0</v>
      </c>
      <c r="AN706" s="1030">
        <f>INDEX(G706:R706,1,MATCH(Parametres!$B$3,G$1:R$1,0))*IF(OR(F706="L",F706="S",F706="I"),-1,1)</f>
        <v>0</v>
      </c>
      <c r="AO706" s="598" t="str">
        <f>+VLOOKUP($AJ706,Data_Validation!$A:$D,1,0)</f>
        <v>H43300</v>
      </c>
      <c r="AP706" s="598" t="str">
        <f>+VLOOKUP($AJ706,Data_Validation!$A:$D,3,0)</f>
        <v>Véhicules usagés</v>
      </c>
      <c r="AQ706" s="598" t="str">
        <f>+VLOOKUP($AJ706,Data_Validation!$A:$D,4,0)</f>
        <v>Rachat bail</v>
      </c>
      <c r="AR706" s="598" t="s">
        <v>299</v>
      </c>
      <c r="AS706" s="598">
        <f>+VLOOKUP($AJ706,Data_Validation!$A:$E,5,0)</f>
        <v>0</v>
      </c>
      <c r="AT706" s="1036" t="str">
        <f t="shared" si="63"/>
        <v>H43300</v>
      </c>
      <c r="AU706" s="599" t="str">
        <f t="shared" si="64"/>
        <v>CT USAGE RACHAT LOCATION</v>
      </c>
      <c r="AV706" s="1030">
        <f>IFERROR(INDEX(V706:AG706,1,MATCH(Parametres!$B$3,V$1:AG$1,0)-1)*IF(OR(C706="L",C706="S",C706="I"),-1,1),"")</f>
        <v>0</v>
      </c>
      <c r="AW706" s="1030">
        <f t="shared" si="65"/>
        <v>0</v>
      </c>
      <c r="AX706" s="1030">
        <f>INDEX(V706:AG706,1,MATCH(Parametres!$B$3,V$1:AG$1,0))*IF(OR(C706="L",C706="S",C706="I"),-1,1)</f>
        <v>0</v>
      </c>
      <c r="AY706" s="598" t="s">
        <v>337</v>
      </c>
      <c r="AZ706" s="598">
        <f>+VLOOKUP($AJ706,Data_Validation!$A:$E,5,0)</f>
        <v>0</v>
      </c>
    </row>
    <row r="707" spans="1:52" ht="15" customHeight="1">
      <c r="A707" s="832" t="s">
        <v>1150</v>
      </c>
      <c r="B707" s="832">
        <v>2025</v>
      </c>
      <c r="C707" s="832" t="s">
        <v>2541</v>
      </c>
      <c r="D707" s="832" t="s">
        <v>2542</v>
      </c>
      <c r="E707" s="832" t="s">
        <v>333</v>
      </c>
      <c r="F707" s="832" t="s">
        <v>2438</v>
      </c>
      <c r="G707" s="832">
        <v>0</v>
      </c>
      <c r="H707" s="832">
        <v>0</v>
      </c>
      <c r="I707" s="832">
        <v>0</v>
      </c>
      <c r="J707" s="832">
        <v>0</v>
      </c>
      <c r="K707" s="832">
        <v>0</v>
      </c>
      <c r="L707" s="832">
        <v>0</v>
      </c>
      <c r="M707" s="832">
        <v>0</v>
      </c>
      <c r="N707" s="832">
        <v>0</v>
      </c>
      <c r="O707" s="832">
        <v>0</v>
      </c>
      <c r="P707" s="832">
        <v>0</v>
      </c>
      <c r="Q707" s="832">
        <v>0</v>
      </c>
      <c r="R707" s="832">
        <v>0</v>
      </c>
      <c r="S707" s="832">
        <v>0</v>
      </c>
      <c r="T707" s="832">
        <v>0</v>
      </c>
      <c r="U707" s="832">
        <v>0</v>
      </c>
      <c r="V707" s="832">
        <v>0</v>
      </c>
      <c r="W707" s="832">
        <v>0</v>
      </c>
      <c r="X707" s="832">
        <v>0</v>
      </c>
      <c r="Y707" s="832">
        <v>0</v>
      </c>
      <c r="Z707" s="832">
        <v>0</v>
      </c>
      <c r="AA707" s="832">
        <v>0</v>
      </c>
      <c r="AB707" s="832">
        <v>0</v>
      </c>
      <c r="AC707" s="832">
        <v>0</v>
      </c>
      <c r="AD707" s="832">
        <v>0</v>
      </c>
      <c r="AE707" s="832">
        <v>0</v>
      </c>
      <c r="AF707" s="832">
        <v>0</v>
      </c>
      <c r="AG707" s="832">
        <v>0</v>
      </c>
      <c r="AH707" s="832">
        <v>0</v>
      </c>
      <c r="AI707" s="832">
        <v>0</v>
      </c>
      <c r="AJ707" s="1030" t="str">
        <f t="shared" si="66"/>
        <v>H43310</v>
      </c>
      <c r="AK707" s="1030" t="str">
        <f t="shared" si="67"/>
        <v>CT PPP USED</v>
      </c>
      <c r="AL707" s="1030">
        <f>IFERROR(INDEX(G707:R707,1,MATCH(Parametres!$B$3,G$1:R$1,0)-1)*IF(OR(F707="L",F707="S",F707="I"),-1,1),"")</f>
        <v>0</v>
      </c>
      <c r="AM707" s="1030">
        <f t="shared" si="62"/>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t="str">
        <f t="shared" si="63"/>
        <v>H43310</v>
      </c>
      <c r="AU707" s="599" t="str">
        <f t="shared" si="64"/>
        <v>CT PPP USED</v>
      </c>
      <c r="AV707" s="1030">
        <f>IFERROR(INDEX(V707:AG707,1,MATCH(Parametres!$B$3,V$1:AG$1,0)-1)*IF(OR(C707="L",C707="S",C707="I"),-1,1),"")</f>
        <v>0</v>
      </c>
      <c r="AW707" s="1030">
        <f t="shared" si="65"/>
        <v>0</v>
      </c>
      <c r="AX707" s="1030">
        <f>INDEX(V707:AG707,1,MATCH(Parametres!$B$3,V$1:AG$1,0))*IF(OR(C707="L",C707="S",C707="I"),-1,1)</f>
        <v>0</v>
      </c>
      <c r="AY707" s="598" t="s">
        <v>337</v>
      </c>
      <c r="AZ707" s="598" t="e">
        <f>+VLOOKUP($AJ707,Data_Validation!$A:$E,5,0)</f>
        <v>#N/A</v>
      </c>
    </row>
    <row r="708" spans="1:52" ht="15" customHeight="1">
      <c r="A708" s="832" t="s">
        <v>1150</v>
      </c>
      <c r="B708" s="832">
        <v>2025</v>
      </c>
      <c r="C708" s="832" t="s">
        <v>2543</v>
      </c>
      <c r="D708" s="832" t="s">
        <v>2544</v>
      </c>
      <c r="E708" s="832" t="s">
        <v>333</v>
      </c>
      <c r="F708" s="832" t="s">
        <v>2438</v>
      </c>
      <c r="G708" s="832">
        <v>0</v>
      </c>
      <c r="H708" s="832">
        <v>0</v>
      </c>
      <c r="I708" s="832">
        <v>0</v>
      </c>
      <c r="J708" s="832">
        <v>0</v>
      </c>
      <c r="K708" s="832">
        <v>0</v>
      </c>
      <c r="L708" s="832">
        <v>0</v>
      </c>
      <c r="M708" s="832">
        <v>0</v>
      </c>
      <c r="N708" s="832">
        <v>0</v>
      </c>
      <c r="O708" s="832">
        <v>0</v>
      </c>
      <c r="P708" s="832">
        <v>0</v>
      </c>
      <c r="Q708" s="832">
        <v>0</v>
      </c>
      <c r="R708" s="832">
        <v>0</v>
      </c>
      <c r="S708" s="832">
        <v>0</v>
      </c>
      <c r="T708" s="832">
        <v>0</v>
      </c>
      <c r="U708" s="832">
        <v>0</v>
      </c>
      <c r="V708" s="832">
        <v>0</v>
      </c>
      <c r="W708" s="832">
        <v>0</v>
      </c>
      <c r="X708" s="832">
        <v>0</v>
      </c>
      <c r="Y708" s="832">
        <v>0</v>
      </c>
      <c r="Z708" s="832">
        <v>0</v>
      </c>
      <c r="AA708" s="832">
        <v>0</v>
      </c>
      <c r="AB708" s="832">
        <v>0</v>
      </c>
      <c r="AC708" s="832">
        <v>0</v>
      </c>
      <c r="AD708" s="832">
        <v>0</v>
      </c>
      <c r="AE708" s="832">
        <v>0</v>
      </c>
      <c r="AF708" s="832">
        <v>0</v>
      </c>
      <c r="AG708" s="832">
        <v>0</v>
      </c>
      <c r="AH708" s="832">
        <v>0</v>
      </c>
      <c r="AI708" s="832">
        <v>0</v>
      </c>
      <c r="AJ708" s="1030" t="str">
        <f t="shared" si="66"/>
        <v>H43320</v>
      </c>
      <c r="AK708" s="1030" t="str">
        <f t="shared" si="67"/>
        <v>CT ASSURANCE USAGES</v>
      </c>
      <c r="AL708" s="1030">
        <f>IFERROR(INDEX(G708:R708,1,MATCH(Parametres!$B$3,G$1:R$1,0)-1)*IF(OR(F708="L",F708="S",F708="I"),-1,1),"")</f>
        <v>0</v>
      </c>
      <c r="AM708" s="1030">
        <f t="shared" ref="AM708:AM771" si="68">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t="str">
        <f t="shared" ref="AT708:AT771" si="69">C708</f>
        <v>H43320</v>
      </c>
      <c r="AU708" s="599" t="str">
        <f t="shared" ref="AU708:AU771" si="70">D708</f>
        <v>CT ASSURANCE USAGES</v>
      </c>
      <c r="AV708" s="1030">
        <f>IFERROR(INDEX(V708:AG708,1,MATCH(Parametres!$B$3,V$1:AG$1,0)-1)*IF(OR(C708="L",C708="S",C708="I"),-1,1),"")</f>
        <v>0</v>
      </c>
      <c r="AW708" s="1030">
        <f t="shared" ref="AW708:AW771" si="71">AX708-N(AV708)</f>
        <v>0</v>
      </c>
      <c r="AX708" s="1030">
        <f>INDEX(V708:AG708,1,MATCH(Parametres!$B$3,V$1:AG$1,0))*IF(OR(C708="L",C708="S",C708="I"),-1,1)</f>
        <v>0</v>
      </c>
      <c r="AY708" s="598" t="s">
        <v>337</v>
      </c>
      <c r="AZ708" s="598" t="e">
        <f>+VLOOKUP($AJ708,Data_Validation!$A:$E,5,0)</f>
        <v>#N/A</v>
      </c>
    </row>
    <row r="709" spans="1:52" ht="15" customHeight="1">
      <c r="A709" s="832" t="s">
        <v>1150</v>
      </c>
      <c r="B709" s="832">
        <v>2025</v>
      </c>
      <c r="C709" s="832" t="s">
        <v>2545</v>
      </c>
      <c r="D709" s="832" t="s">
        <v>2546</v>
      </c>
      <c r="E709" s="832" t="s">
        <v>333</v>
      </c>
      <c r="F709" s="832" t="s">
        <v>2438</v>
      </c>
      <c r="G709" s="832">
        <v>0</v>
      </c>
      <c r="H709" s="832">
        <v>0</v>
      </c>
      <c r="I709" s="832">
        <v>0</v>
      </c>
      <c r="J709" s="832">
        <v>0</v>
      </c>
      <c r="K709" s="832">
        <v>0</v>
      </c>
      <c r="L709" s="832">
        <v>0</v>
      </c>
      <c r="M709" s="832">
        <v>0</v>
      </c>
      <c r="N709" s="832">
        <v>0</v>
      </c>
      <c r="O709" s="832">
        <v>0</v>
      </c>
      <c r="P709" s="832">
        <v>0</v>
      </c>
      <c r="Q709" s="832">
        <v>0</v>
      </c>
      <c r="R709" s="832">
        <v>0</v>
      </c>
      <c r="S709" s="832">
        <v>0</v>
      </c>
      <c r="T709" s="832">
        <v>0</v>
      </c>
      <c r="U709" s="832">
        <v>0</v>
      </c>
      <c r="V709" s="832">
        <v>0</v>
      </c>
      <c r="W709" s="832">
        <v>0</v>
      </c>
      <c r="X709" s="832">
        <v>0</v>
      </c>
      <c r="Y709" s="832">
        <v>0</v>
      </c>
      <c r="Z709" s="832">
        <v>0</v>
      </c>
      <c r="AA709" s="832">
        <v>0</v>
      </c>
      <c r="AB709" s="832">
        <v>0</v>
      </c>
      <c r="AC709" s="832">
        <v>0</v>
      </c>
      <c r="AD709" s="832">
        <v>0</v>
      </c>
      <c r="AE709" s="832">
        <v>0</v>
      </c>
      <c r="AF709" s="832">
        <v>0</v>
      </c>
      <c r="AG709" s="832">
        <v>0</v>
      </c>
      <c r="AH709" s="832">
        <v>0</v>
      </c>
      <c r="AI709" s="832">
        <v>0</v>
      </c>
      <c r="AJ709" s="1030" t="str">
        <f t="shared" si="66"/>
        <v>H43330</v>
      </c>
      <c r="AK709" s="1030" t="str">
        <f t="shared" si="67"/>
        <v>CT OCC REVENU FINANCE</v>
      </c>
      <c r="AL709" s="1030">
        <f>IFERROR(INDEX(G709:R709,1,MATCH(Parametres!$B$3,G$1:R$1,0)-1)*IF(OR(F709="L",F709="S",F709="I"),-1,1),"")</f>
        <v>0</v>
      </c>
      <c r="AM709" s="1030">
        <f t="shared" si="68"/>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t="str">
        <f t="shared" si="69"/>
        <v>H43330</v>
      </c>
      <c r="AU709" s="599" t="str">
        <f t="shared" si="70"/>
        <v>CT OCC REVENU FINANCE</v>
      </c>
      <c r="AV709" s="1030">
        <f>IFERROR(INDEX(V709:AG709,1,MATCH(Parametres!$B$3,V$1:AG$1,0)-1)*IF(OR(C709="L",C709="S",C709="I"),-1,1),"")</f>
        <v>0</v>
      </c>
      <c r="AW709" s="1030">
        <f t="shared" si="71"/>
        <v>0</v>
      </c>
      <c r="AX709" s="1030">
        <f>INDEX(V709:AG709,1,MATCH(Parametres!$B$3,V$1:AG$1,0))*IF(OR(C709="L",C709="S",C709="I"),-1,1)</f>
        <v>0</v>
      </c>
      <c r="AY709" s="598" t="s">
        <v>337</v>
      </c>
      <c r="AZ709" s="598" t="e">
        <f>+VLOOKUP($AJ709,Data_Validation!$A:$E,5,0)</f>
        <v>#N/A</v>
      </c>
    </row>
    <row r="710" spans="1:52" ht="15" customHeight="1">
      <c r="A710" s="832" t="s">
        <v>1150</v>
      </c>
      <c r="B710" s="832">
        <v>2025</v>
      </c>
      <c r="C710" s="832" t="s">
        <v>2547</v>
      </c>
      <c r="D710" s="832" t="s">
        <v>2548</v>
      </c>
      <c r="E710" s="832" t="s">
        <v>333</v>
      </c>
      <c r="F710" s="832" t="s">
        <v>2438</v>
      </c>
      <c r="G710" s="832">
        <v>0</v>
      </c>
      <c r="H710" s="832">
        <v>0</v>
      </c>
      <c r="I710" s="832">
        <v>0</v>
      </c>
      <c r="J710" s="832">
        <v>0</v>
      </c>
      <c r="K710" s="832">
        <v>0</v>
      </c>
      <c r="L710" s="832">
        <v>0</v>
      </c>
      <c r="M710" s="832">
        <v>0</v>
      </c>
      <c r="N710" s="832">
        <v>0</v>
      </c>
      <c r="O710" s="832">
        <v>0</v>
      </c>
      <c r="P710" s="832">
        <v>0</v>
      </c>
      <c r="Q710" s="832">
        <v>0</v>
      </c>
      <c r="R710" s="832">
        <v>0</v>
      </c>
      <c r="S710" s="832">
        <v>0</v>
      </c>
      <c r="T710" s="832">
        <v>0</v>
      </c>
      <c r="U710" s="832">
        <v>0</v>
      </c>
      <c r="V710" s="832">
        <v>0</v>
      </c>
      <c r="W710" s="832">
        <v>0</v>
      </c>
      <c r="X710" s="832">
        <v>0</v>
      </c>
      <c r="Y710" s="832">
        <v>0</v>
      </c>
      <c r="Z710" s="832">
        <v>0</v>
      </c>
      <c r="AA710" s="832">
        <v>0</v>
      </c>
      <c r="AB710" s="832">
        <v>0</v>
      </c>
      <c r="AC710" s="832">
        <v>0</v>
      </c>
      <c r="AD710" s="832">
        <v>0</v>
      </c>
      <c r="AE710" s="832">
        <v>0</v>
      </c>
      <c r="AF710" s="832">
        <v>0</v>
      </c>
      <c r="AG710" s="832">
        <v>0</v>
      </c>
      <c r="AH710" s="832">
        <v>0</v>
      </c>
      <c r="AI710" s="832">
        <v>0</v>
      </c>
      <c r="AJ710" s="1030" t="str">
        <f t="shared" si="66"/>
        <v>H43340</v>
      </c>
      <c r="AK710" s="1030" t="str">
        <f t="shared" si="67"/>
        <v>CT OCC CHIMIQUES</v>
      </c>
      <c r="AL710" s="1030">
        <f>IFERROR(INDEX(G710:R710,1,MATCH(Parametres!$B$3,G$1:R$1,0)-1)*IF(OR(F710="L",F710="S",F710="I"),-1,1),"")</f>
        <v>0</v>
      </c>
      <c r="AM710" s="1030">
        <f t="shared" si="68"/>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t="str">
        <f t="shared" si="69"/>
        <v>H43340</v>
      </c>
      <c r="AU710" s="599" t="str">
        <f t="shared" si="70"/>
        <v>CT OCC CHIMIQUES</v>
      </c>
      <c r="AV710" s="1030">
        <f>IFERROR(INDEX(V710:AG710,1,MATCH(Parametres!$B$3,V$1:AG$1,0)-1)*IF(OR(C710="L",C710="S",C710="I"),-1,1),"")</f>
        <v>0</v>
      </c>
      <c r="AW710" s="1030">
        <f t="shared" si="71"/>
        <v>0</v>
      </c>
      <c r="AX710" s="1030">
        <f>INDEX(V710:AG710,1,MATCH(Parametres!$B$3,V$1:AG$1,0))*IF(OR(C710="L",C710="S",C710="I"),-1,1)</f>
        <v>0</v>
      </c>
      <c r="AY710" s="598" t="s">
        <v>337</v>
      </c>
      <c r="AZ710" s="598" t="e">
        <f>+VLOOKUP($AJ710,Data_Validation!$A:$E,5,0)</f>
        <v>#N/A</v>
      </c>
    </row>
    <row r="711" spans="1:52" ht="15" customHeight="1">
      <c r="A711" s="832" t="s">
        <v>1150</v>
      </c>
      <c r="B711" s="832">
        <v>2025</v>
      </c>
      <c r="C711" s="832" t="s">
        <v>2549</v>
      </c>
      <c r="D711" s="832" t="s">
        <v>2550</v>
      </c>
      <c r="E711" s="832" t="s">
        <v>333</v>
      </c>
      <c r="F711" s="832" t="s">
        <v>2438</v>
      </c>
      <c r="G711" s="832">
        <v>0</v>
      </c>
      <c r="H711" s="832">
        <v>0</v>
      </c>
      <c r="I711" s="832">
        <v>0</v>
      </c>
      <c r="J711" s="832">
        <v>0</v>
      </c>
      <c r="K711" s="832">
        <v>0</v>
      </c>
      <c r="L711" s="832">
        <v>0</v>
      </c>
      <c r="M711" s="832">
        <v>0</v>
      </c>
      <c r="N711" s="832">
        <v>0</v>
      </c>
      <c r="O711" s="832">
        <v>0</v>
      </c>
      <c r="P711" s="832">
        <v>0</v>
      </c>
      <c r="Q711" s="832">
        <v>0</v>
      </c>
      <c r="R711" s="832">
        <v>0</v>
      </c>
      <c r="S711" s="832">
        <v>0</v>
      </c>
      <c r="T711" s="832">
        <v>0</v>
      </c>
      <c r="U711" s="832">
        <v>0</v>
      </c>
      <c r="V711" s="832">
        <v>0</v>
      </c>
      <c r="W711" s="832">
        <v>0</v>
      </c>
      <c r="X711" s="832">
        <v>0</v>
      </c>
      <c r="Y711" s="832">
        <v>0</v>
      </c>
      <c r="Z711" s="832">
        <v>0</v>
      </c>
      <c r="AA711" s="832">
        <v>0</v>
      </c>
      <c r="AB711" s="832">
        <v>0</v>
      </c>
      <c r="AC711" s="832">
        <v>0</v>
      </c>
      <c r="AD711" s="832">
        <v>0</v>
      </c>
      <c r="AE711" s="832">
        <v>0</v>
      </c>
      <c r="AF711" s="832">
        <v>0</v>
      </c>
      <c r="AG711" s="832">
        <v>0</v>
      </c>
      <c r="AH711" s="832">
        <v>0</v>
      </c>
      <c r="AI711" s="832">
        <v>0</v>
      </c>
      <c r="AJ711" s="1030" t="str">
        <f t="shared" si="66"/>
        <v>H43350</v>
      </c>
      <c r="AK711" s="1030" t="str">
        <f t="shared" si="67"/>
        <v>CT OCC  ANTIVOL</v>
      </c>
      <c r="AL711" s="1030">
        <f>IFERROR(INDEX(G711:R711,1,MATCH(Parametres!$B$3,G$1:R$1,0)-1)*IF(OR(F711="L",F711="S",F711="I"),-1,1),"")</f>
        <v>0</v>
      </c>
      <c r="AM711" s="1030">
        <f t="shared" si="68"/>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t="str">
        <f t="shared" si="69"/>
        <v>H43350</v>
      </c>
      <c r="AU711" s="599" t="str">
        <f t="shared" si="70"/>
        <v>CT OCC  ANTIVOL</v>
      </c>
      <c r="AV711" s="1030">
        <f>IFERROR(INDEX(V711:AG711,1,MATCH(Parametres!$B$3,V$1:AG$1,0)-1)*IF(OR(C711="L",C711="S",C711="I"),-1,1),"")</f>
        <v>0</v>
      </c>
      <c r="AW711" s="1030">
        <f t="shared" si="71"/>
        <v>0</v>
      </c>
      <c r="AX711" s="1030">
        <f>INDEX(V711:AG711,1,MATCH(Parametres!$B$3,V$1:AG$1,0))*IF(OR(C711="L",C711="S",C711="I"),-1,1)</f>
        <v>0</v>
      </c>
      <c r="AY711" s="598" t="s">
        <v>337</v>
      </c>
      <c r="AZ711" s="598" t="e">
        <f>+VLOOKUP($AJ711,Data_Validation!$A:$E,5,0)</f>
        <v>#N/A</v>
      </c>
    </row>
    <row r="712" spans="1:52" ht="15" customHeight="1">
      <c r="A712" s="832" t="s">
        <v>1150</v>
      </c>
      <c r="B712" s="832">
        <v>2025</v>
      </c>
      <c r="C712" s="832" t="s">
        <v>2551</v>
      </c>
      <c r="D712" s="832" t="s">
        <v>2552</v>
      </c>
      <c r="E712" s="832" t="s">
        <v>333</v>
      </c>
      <c r="F712" s="832" t="s">
        <v>2438</v>
      </c>
      <c r="G712" s="832">
        <v>0</v>
      </c>
      <c r="H712" s="832">
        <v>0</v>
      </c>
      <c r="I712" s="832">
        <v>0</v>
      </c>
      <c r="J712" s="832">
        <v>0</v>
      </c>
      <c r="K712" s="832">
        <v>0</v>
      </c>
      <c r="L712" s="832">
        <v>0</v>
      </c>
      <c r="M712" s="832">
        <v>0</v>
      </c>
      <c r="N712" s="832">
        <v>0</v>
      </c>
      <c r="O712" s="832">
        <v>0</v>
      </c>
      <c r="P712" s="832">
        <v>0</v>
      </c>
      <c r="Q712" s="832">
        <v>0</v>
      </c>
      <c r="R712" s="832">
        <v>0</v>
      </c>
      <c r="S712" s="832">
        <v>0</v>
      </c>
      <c r="T712" s="832">
        <v>0</v>
      </c>
      <c r="U712" s="832">
        <v>0</v>
      </c>
      <c r="V712" s="832">
        <v>0</v>
      </c>
      <c r="W712" s="832">
        <v>0</v>
      </c>
      <c r="X712" s="832">
        <v>0</v>
      </c>
      <c r="Y712" s="832">
        <v>0</v>
      </c>
      <c r="Z712" s="832">
        <v>0</v>
      </c>
      <c r="AA712" s="832">
        <v>0</v>
      </c>
      <c r="AB712" s="832">
        <v>0</v>
      </c>
      <c r="AC712" s="832">
        <v>0</v>
      </c>
      <c r="AD712" s="832">
        <v>0</v>
      </c>
      <c r="AE712" s="832">
        <v>0</v>
      </c>
      <c r="AF712" s="832">
        <v>0</v>
      </c>
      <c r="AG712" s="832">
        <v>0</v>
      </c>
      <c r="AH712" s="832">
        <v>0</v>
      </c>
      <c r="AI712" s="832">
        <v>0</v>
      </c>
      <c r="AJ712" s="1030" t="str">
        <f t="shared" si="66"/>
        <v>H43360</v>
      </c>
      <c r="AK712" s="1030" t="str">
        <f t="shared" si="67"/>
        <v>CT OCC AUTRES PRODUIT</v>
      </c>
      <c r="AL712" s="1030">
        <f>IFERROR(INDEX(G712:R712,1,MATCH(Parametres!$B$3,G$1:R$1,0)-1)*IF(OR(F712="L",F712="S",F712="I"),-1,1),"")</f>
        <v>0</v>
      </c>
      <c r="AM712" s="1030">
        <f t="shared" si="68"/>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t="str">
        <f t="shared" si="69"/>
        <v>H43360</v>
      </c>
      <c r="AU712" s="599" t="str">
        <f t="shared" si="70"/>
        <v>CT OCC AUTRES PRODUIT</v>
      </c>
      <c r="AV712" s="1030">
        <f>IFERROR(INDEX(V712:AG712,1,MATCH(Parametres!$B$3,V$1:AG$1,0)-1)*IF(OR(C712="L",C712="S",C712="I"),-1,1),"")</f>
        <v>0</v>
      </c>
      <c r="AW712" s="1030">
        <f t="shared" si="71"/>
        <v>0</v>
      </c>
      <c r="AX712" s="1030">
        <f>INDEX(V712:AG712,1,MATCH(Parametres!$B$3,V$1:AG$1,0))*IF(OR(C712="L",C712="S",C712="I"),-1,1)</f>
        <v>0</v>
      </c>
      <c r="AY712" s="598" t="s">
        <v>337</v>
      </c>
      <c r="AZ712" s="598" t="e">
        <f>+VLOOKUP($AJ712,Data_Validation!$A:$E,5,0)</f>
        <v>#N/A</v>
      </c>
    </row>
    <row r="713" spans="1:52" ht="15" customHeight="1">
      <c r="A713" s="832" t="s">
        <v>1150</v>
      </c>
      <c r="B713" s="832">
        <v>2025</v>
      </c>
      <c r="C713" s="832" t="s">
        <v>2553</v>
      </c>
      <c r="D713" s="832" t="s">
        <v>2554</v>
      </c>
      <c r="E713" s="832" t="s">
        <v>1889</v>
      </c>
      <c r="F713" s="832" t="s">
        <v>2438</v>
      </c>
      <c r="G713" s="832">
        <v>0</v>
      </c>
      <c r="H713" s="832">
        <v>0</v>
      </c>
      <c r="I713" s="832">
        <v>0</v>
      </c>
      <c r="J713" s="832">
        <v>0</v>
      </c>
      <c r="K713" s="832">
        <v>0</v>
      </c>
      <c r="L713" s="832">
        <v>0</v>
      </c>
      <c r="M713" s="832">
        <v>0</v>
      </c>
      <c r="N713" s="832">
        <v>0</v>
      </c>
      <c r="O713" s="832">
        <v>0</v>
      </c>
      <c r="P713" s="832">
        <v>0</v>
      </c>
      <c r="Q713" s="832">
        <v>0</v>
      </c>
      <c r="R713" s="832">
        <v>0</v>
      </c>
      <c r="S713" s="832">
        <v>0</v>
      </c>
      <c r="T713" s="832">
        <v>0</v>
      </c>
      <c r="U713" s="832">
        <v>0</v>
      </c>
      <c r="V713" s="832">
        <v>0</v>
      </c>
      <c r="W713" s="832">
        <v>0</v>
      </c>
      <c r="X713" s="832">
        <v>0</v>
      </c>
      <c r="Y713" s="832">
        <v>0</v>
      </c>
      <c r="Z713" s="832">
        <v>0</v>
      </c>
      <c r="AA713" s="832">
        <v>0</v>
      </c>
      <c r="AB713" s="832">
        <v>0</v>
      </c>
      <c r="AC713" s="832">
        <v>0</v>
      </c>
      <c r="AD713" s="832">
        <v>0</v>
      </c>
      <c r="AE713" s="832">
        <v>0</v>
      </c>
      <c r="AF713" s="832">
        <v>0</v>
      </c>
      <c r="AG713" s="832">
        <v>0</v>
      </c>
      <c r="AH713" s="832">
        <v>0</v>
      </c>
      <c r="AI713" s="832">
        <v>0</v>
      </c>
      <c r="AJ713" s="1030" t="str">
        <f t="shared" si="66"/>
        <v>H43390</v>
      </c>
      <c r="AK713" s="1030" t="str">
        <f t="shared" si="67"/>
        <v>CT OCC RACHAT CONT LOC</v>
      </c>
      <c r="AL713" s="1030">
        <f>IFERROR(INDEX(G713:R713,1,MATCH(Parametres!$B$3,G$1:R$1,0)-1)*IF(OR(F713="L",F713="S",F713="I"),-1,1),"")</f>
        <v>0</v>
      </c>
      <c r="AM713" s="1030">
        <f t="shared" si="68"/>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t="str">
        <f t="shared" si="69"/>
        <v>H43390</v>
      </c>
      <c r="AU713" s="599" t="str">
        <f t="shared" si="70"/>
        <v>CT OCC RACHAT CONT LOC</v>
      </c>
      <c r="AV713" s="1030">
        <f>IFERROR(INDEX(V713:AG713,1,MATCH(Parametres!$B$3,V$1:AG$1,0)-1)*IF(OR(C713="L",C713="S",C713="I"),-1,1),"")</f>
        <v>0</v>
      </c>
      <c r="AW713" s="1030">
        <f t="shared" si="71"/>
        <v>0</v>
      </c>
      <c r="AX713" s="1030">
        <f>INDEX(V713:AG713,1,MATCH(Parametres!$B$3,V$1:AG$1,0))*IF(OR(C713="L",C713="S",C713="I"),-1,1)</f>
        <v>0</v>
      </c>
      <c r="AY713" s="598" t="s">
        <v>337</v>
      </c>
      <c r="AZ713" s="598" t="e">
        <f>+VLOOKUP($AJ713,Data_Validation!$A:$E,5,0)</f>
        <v>#N/A</v>
      </c>
    </row>
    <row r="714" spans="1:52" ht="15" customHeight="1">
      <c r="A714" s="832" t="s">
        <v>1150</v>
      </c>
      <c r="B714" s="832">
        <v>2025</v>
      </c>
      <c r="C714" s="832" t="s">
        <v>2555</v>
      </c>
      <c r="D714" s="832" t="s">
        <v>2556</v>
      </c>
      <c r="E714" s="832" t="s">
        <v>333</v>
      </c>
      <c r="F714" s="832" t="s">
        <v>2438</v>
      </c>
      <c r="G714" s="832">
        <v>11215</v>
      </c>
      <c r="H714" s="832">
        <v>17850</v>
      </c>
      <c r="I714" s="832">
        <v>24290</v>
      </c>
      <c r="J714" s="832">
        <v>30260</v>
      </c>
      <c r="K714" s="832">
        <v>32410</v>
      </c>
      <c r="L714" s="832">
        <v>32410</v>
      </c>
      <c r="M714" s="832">
        <v>34185</v>
      </c>
      <c r="N714" s="832">
        <v>41164</v>
      </c>
      <c r="O714" s="832">
        <v>47984</v>
      </c>
      <c r="P714" s="832">
        <v>57154</v>
      </c>
      <c r="Q714" s="832">
        <v>66604</v>
      </c>
      <c r="R714" s="832">
        <v>83249</v>
      </c>
      <c r="S714" s="832">
        <v>6054.91</v>
      </c>
      <c r="T714" s="832">
        <v>6054.91</v>
      </c>
      <c r="U714" s="832">
        <v>0</v>
      </c>
      <c r="V714" s="832">
        <v>0</v>
      </c>
      <c r="W714" s="832">
        <v>0</v>
      </c>
      <c r="X714" s="832">
        <v>0</v>
      </c>
      <c r="Y714" s="832">
        <v>0</v>
      </c>
      <c r="Z714" s="832">
        <v>0</v>
      </c>
      <c r="AA714" s="832">
        <v>0</v>
      </c>
      <c r="AB714" s="832">
        <v>0</v>
      </c>
      <c r="AC714" s="832">
        <v>0</v>
      </c>
      <c r="AD714" s="832">
        <v>0</v>
      </c>
      <c r="AE714" s="832">
        <v>0</v>
      </c>
      <c r="AF714" s="832">
        <v>0</v>
      </c>
      <c r="AG714" s="832">
        <v>0</v>
      </c>
      <c r="AH714" s="832">
        <v>0</v>
      </c>
      <c r="AI714" s="832">
        <v>0</v>
      </c>
      <c r="AJ714" s="1030" t="str">
        <f t="shared" si="66"/>
        <v>H43400</v>
      </c>
      <c r="AK714" s="1030" t="str">
        <f t="shared" si="67"/>
        <v>CT HPP - MARQUAGE</v>
      </c>
      <c r="AL714" s="1030">
        <f>IFERROR(INDEX(G714:R714,1,MATCH(Parametres!$B$3,G$1:R$1,0)-1)*IF(OR(F714="L",F714="S",F714="I"),-1,1),"")</f>
        <v>30260</v>
      </c>
      <c r="AM714" s="1030">
        <f t="shared" si="68"/>
        <v>2150</v>
      </c>
      <c r="AN714" s="1030">
        <f>INDEX(G714:R714,1,MATCH(Parametres!$B$3,G$1:R$1,0))*IF(OR(F714="L",F714="S",F714="I"),-1,1)</f>
        <v>32410</v>
      </c>
      <c r="AO714" s="598" t="str">
        <f>+VLOOKUP($AJ714,Data_Validation!$A:$D,1,0)</f>
        <v>H43400</v>
      </c>
      <c r="AP714" s="598" t="str">
        <f>+VLOOKUP($AJ714,Data_Validation!$A:$D,3,0)</f>
        <v>Véhicules usagés</v>
      </c>
      <c r="AQ714" s="598" t="str">
        <f>+VLOOKUP($AJ714,Data_Validation!$A:$D,4,0)</f>
        <v>Rev. Protections</v>
      </c>
      <c r="AR714" s="598" t="s">
        <v>299</v>
      </c>
      <c r="AS714" s="598">
        <f>+VLOOKUP($AJ714,Data_Validation!$A:$E,5,0)</f>
        <v>0</v>
      </c>
      <c r="AT714" s="1036" t="str">
        <f t="shared" si="69"/>
        <v>H43400</v>
      </c>
      <c r="AU714" s="599" t="str">
        <f t="shared" si="70"/>
        <v>CT HPP - MARQUAGE</v>
      </c>
      <c r="AV714" s="1030">
        <f>IFERROR(INDEX(V714:AG714,1,MATCH(Parametres!$B$3,V$1:AG$1,0)-1)*IF(OR(C714="L",C714="S",C714="I"),-1,1),"")</f>
        <v>0</v>
      </c>
      <c r="AW714" s="1030">
        <f t="shared" si="71"/>
        <v>0</v>
      </c>
      <c r="AX714" s="1030">
        <f>INDEX(V714:AG714,1,MATCH(Parametres!$B$3,V$1:AG$1,0))*IF(OR(C714="L",C714="S",C714="I"),-1,1)</f>
        <v>0</v>
      </c>
      <c r="AY714" s="598" t="s">
        <v>337</v>
      </c>
      <c r="AZ714" s="598">
        <f>+VLOOKUP($AJ714,Data_Validation!$A:$E,5,0)</f>
        <v>0</v>
      </c>
    </row>
    <row r="715" spans="1:52" ht="15" customHeight="1">
      <c r="A715" s="832" t="s">
        <v>1150</v>
      </c>
      <c r="B715" s="832">
        <v>2025</v>
      </c>
      <c r="C715" s="832" t="s">
        <v>2557</v>
      </c>
      <c r="D715" s="832" t="s">
        <v>2558</v>
      </c>
      <c r="E715" s="832" t="s">
        <v>333</v>
      </c>
      <c r="F715" s="832" t="s">
        <v>2438</v>
      </c>
      <c r="G715" s="832">
        <v>0</v>
      </c>
      <c r="H715" s="832">
        <v>0</v>
      </c>
      <c r="I715" s="832">
        <v>2787.22</v>
      </c>
      <c r="J715" s="832">
        <v>5268.22</v>
      </c>
      <c r="K715" s="832">
        <v>5268.22</v>
      </c>
      <c r="L715" s="832">
        <v>5268.22</v>
      </c>
      <c r="M715" s="832">
        <v>5268.22</v>
      </c>
      <c r="N715" s="832">
        <v>9244.42</v>
      </c>
      <c r="O715" s="832">
        <v>13038.67</v>
      </c>
      <c r="P715" s="832">
        <v>19220.740000000002</v>
      </c>
      <c r="Q715" s="832">
        <v>26327.74</v>
      </c>
      <c r="R715" s="832">
        <v>32499.19</v>
      </c>
      <c r="S715" s="832">
        <v>2393.4299999999998</v>
      </c>
      <c r="T715" s="832">
        <v>2393.4299999999998</v>
      </c>
      <c r="U715" s="832">
        <v>0</v>
      </c>
      <c r="V715" s="832">
        <v>0</v>
      </c>
      <c r="W715" s="832">
        <v>0</v>
      </c>
      <c r="X715" s="832">
        <v>0</v>
      </c>
      <c r="Y715" s="832">
        <v>0</v>
      </c>
      <c r="Z715" s="832">
        <v>0</v>
      </c>
      <c r="AA715" s="832">
        <v>0</v>
      </c>
      <c r="AB715" s="832">
        <v>0</v>
      </c>
      <c r="AC715" s="832">
        <v>0</v>
      </c>
      <c r="AD715" s="832">
        <v>0</v>
      </c>
      <c r="AE715" s="832">
        <v>0</v>
      </c>
      <c r="AF715" s="832">
        <v>0</v>
      </c>
      <c r="AG715" s="832">
        <v>0</v>
      </c>
      <c r="AH715" s="832">
        <v>0</v>
      </c>
      <c r="AI715" s="832">
        <v>0</v>
      </c>
      <c r="AJ715" s="1030" t="str">
        <f t="shared" si="66"/>
        <v>H43410</v>
      </c>
      <c r="AK715" s="1030" t="str">
        <f t="shared" si="67"/>
        <v>CT OCC ASS VIE REMPL</v>
      </c>
      <c r="AL715" s="1030">
        <f>IFERROR(INDEX(G715:R715,1,MATCH(Parametres!$B$3,G$1:R$1,0)-1)*IF(OR(F715="L",F715="S",F715="I"),-1,1),"")</f>
        <v>5268.22</v>
      </c>
      <c r="AM715" s="1030">
        <f t="shared" si="68"/>
        <v>0</v>
      </c>
      <c r="AN715" s="1030">
        <f>INDEX(G715:R715,1,MATCH(Parametres!$B$3,G$1:R$1,0))*IF(OR(F715="L",F715="S",F715="I"),-1,1)</f>
        <v>5268.22</v>
      </c>
      <c r="AO715" s="598" t="str">
        <f>+VLOOKUP($AJ715,Data_Validation!$A:$D,1,0)</f>
        <v>H43410</v>
      </c>
      <c r="AP715" s="598" t="str">
        <f>+VLOOKUP($AJ715,Data_Validation!$A:$D,3,0)</f>
        <v>Véhicules usagés</v>
      </c>
      <c r="AQ715" s="598" t="str">
        <f>+VLOOKUP($AJ715,Data_Validation!$A:$D,4,0)</f>
        <v>Rev. Protections</v>
      </c>
      <c r="AR715" s="598" t="s">
        <v>299</v>
      </c>
      <c r="AS715" s="598">
        <f>+VLOOKUP($AJ715,Data_Validation!$A:$E,5,0)</f>
        <v>0</v>
      </c>
      <c r="AT715" s="1036" t="str">
        <f t="shared" si="69"/>
        <v>H43410</v>
      </c>
      <c r="AU715" s="599" t="str">
        <f t="shared" si="70"/>
        <v>CT OCC ASS VIE REMPL</v>
      </c>
      <c r="AV715" s="1030">
        <f>IFERROR(INDEX(V715:AG715,1,MATCH(Parametres!$B$3,V$1:AG$1,0)-1)*IF(OR(C715="L",C715="S",C715="I"),-1,1),"")</f>
        <v>0</v>
      </c>
      <c r="AW715" s="1030">
        <f t="shared" si="71"/>
        <v>0</v>
      </c>
      <c r="AX715" s="1030">
        <f>INDEX(V715:AG715,1,MATCH(Parametres!$B$3,V$1:AG$1,0))*IF(OR(C715="L",C715="S",C715="I"),-1,1)</f>
        <v>0</v>
      </c>
      <c r="AY715" s="598" t="s">
        <v>337</v>
      </c>
      <c r="AZ715" s="598">
        <f>+VLOOKUP($AJ715,Data_Validation!$A:$E,5,0)</f>
        <v>0</v>
      </c>
    </row>
    <row r="716" spans="1:52" ht="15" customHeight="1">
      <c r="A716" s="832" t="s">
        <v>1150</v>
      </c>
      <c r="B716" s="832">
        <v>2025</v>
      </c>
      <c r="C716" s="832" t="s">
        <v>2559</v>
      </c>
      <c r="D716" s="832" t="s">
        <v>2560</v>
      </c>
      <c r="E716" s="832" t="s">
        <v>333</v>
      </c>
      <c r="F716" s="832" t="s">
        <v>2438</v>
      </c>
      <c r="G716" s="832">
        <v>0</v>
      </c>
      <c r="H716" s="832">
        <v>0</v>
      </c>
      <c r="I716" s="832">
        <v>75</v>
      </c>
      <c r="J716" s="832">
        <v>75</v>
      </c>
      <c r="K716" s="832">
        <v>105</v>
      </c>
      <c r="L716" s="832">
        <v>105</v>
      </c>
      <c r="M716" s="832">
        <v>105</v>
      </c>
      <c r="N716" s="832">
        <v>105</v>
      </c>
      <c r="O716" s="832">
        <v>105</v>
      </c>
      <c r="P716" s="832">
        <v>105</v>
      </c>
      <c r="Q716" s="832">
        <v>105</v>
      </c>
      <c r="R716" s="832">
        <v>105</v>
      </c>
      <c r="S716" s="832">
        <v>9.5500000000000007</v>
      </c>
      <c r="T716" s="832">
        <v>9.5500000000000007</v>
      </c>
      <c r="U716" s="832">
        <v>0</v>
      </c>
      <c r="V716" s="832">
        <v>0</v>
      </c>
      <c r="W716" s="832">
        <v>0</v>
      </c>
      <c r="X716" s="832">
        <v>0</v>
      </c>
      <c r="Y716" s="832">
        <v>0</v>
      </c>
      <c r="Z716" s="832">
        <v>0</v>
      </c>
      <c r="AA716" s="832">
        <v>0</v>
      </c>
      <c r="AB716" s="832">
        <v>0</v>
      </c>
      <c r="AC716" s="832">
        <v>0</v>
      </c>
      <c r="AD716" s="832">
        <v>0</v>
      </c>
      <c r="AE716" s="832">
        <v>0</v>
      </c>
      <c r="AF716" s="832">
        <v>0</v>
      </c>
      <c r="AG716" s="832">
        <v>0</v>
      </c>
      <c r="AH716" s="832">
        <v>0</v>
      </c>
      <c r="AI716" s="832">
        <v>0</v>
      </c>
      <c r="AJ716" s="1030" t="str">
        <f t="shared" si="66"/>
        <v>H43420</v>
      </c>
      <c r="AK716" s="1030" t="str">
        <f t="shared" si="67"/>
        <v>CT OCC FINANCE</v>
      </c>
      <c r="AL716" s="1030">
        <f>IFERROR(INDEX(G716:R716,1,MATCH(Parametres!$B$3,G$1:R$1,0)-1)*IF(OR(F716="L",F716="S",F716="I"),-1,1),"")</f>
        <v>75</v>
      </c>
      <c r="AM716" s="1030">
        <f t="shared" si="68"/>
        <v>30</v>
      </c>
      <c r="AN716" s="1030">
        <f>INDEX(G716:R716,1,MATCH(Parametres!$B$3,G$1:R$1,0))*IF(OR(F716="L",F716="S",F716="I"),-1,1)</f>
        <v>105</v>
      </c>
      <c r="AO716" s="598" t="str">
        <f>+VLOOKUP($AJ716,Data_Validation!$A:$D,1,0)</f>
        <v>H43420</v>
      </c>
      <c r="AP716" s="598" t="str">
        <f>+VLOOKUP($AJ716,Data_Validation!$A:$D,3,0)</f>
        <v>Véhicules usagés</v>
      </c>
      <c r="AQ716" s="598" t="str">
        <f>+VLOOKUP($AJ716,Data_Validation!$A:$D,4,0)</f>
        <v>Rev. Finances</v>
      </c>
      <c r="AR716" s="598" t="s">
        <v>299</v>
      </c>
      <c r="AS716" s="598">
        <f>+VLOOKUP($AJ716,Data_Validation!$A:$E,5,0)</f>
        <v>0</v>
      </c>
      <c r="AT716" s="1036" t="str">
        <f t="shared" si="69"/>
        <v>H43420</v>
      </c>
      <c r="AU716" s="599" t="str">
        <f t="shared" si="70"/>
        <v>CT OCC FINANCE</v>
      </c>
      <c r="AV716" s="1030">
        <f>IFERROR(INDEX(V716:AG716,1,MATCH(Parametres!$B$3,V$1:AG$1,0)-1)*IF(OR(C716="L",C716="S",C716="I"),-1,1),"")</f>
        <v>0</v>
      </c>
      <c r="AW716" s="1030">
        <f t="shared" si="71"/>
        <v>0</v>
      </c>
      <c r="AX716" s="1030">
        <f>INDEX(V716:AG716,1,MATCH(Parametres!$B$3,V$1:AG$1,0))*IF(OR(C716="L",C716="S",C716="I"),-1,1)</f>
        <v>0</v>
      </c>
      <c r="AY716" s="598" t="s">
        <v>337</v>
      </c>
      <c r="AZ716" s="598">
        <f>+VLOOKUP($AJ716,Data_Validation!$A:$E,5,0)</f>
        <v>0</v>
      </c>
    </row>
    <row r="717" spans="1:52" ht="15" customHeight="1">
      <c r="A717" s="832" t="s">
        <v>1150</v>
      </c>
      <c r="B717" s="832">
        <v>2025</v>
      </c>
      <c r="C717" s="832" t="s">
        <v>2561</v>
      </c>
      <c r="D717" s="832" t="s">
        <v>2562</v>
      </c>
      <c r="E717" s="832" t="s">
        <v>333</v>
      </c>
      <c r="F717" s="832" t="s">
        <v>2438</v>
      </c>
      <c r="G717" s="832">
        <v>0</v>
      </c>
      <c r="H717" s="832">
        <v>0</v>
      </c>
      <c r="I717" s="832">
        <v>0</v>
      </c>
      <c r="J717" s="832">
        <v>60</v>
      </c>
      <c r="K717" s="832">
        <v>75</v>
      </c>
      <c r="L717" s="832">
        <v>75</v>
      </c>
      <c r="M717" s="832">
        <v>75</v>
      </c>
      <c r="N717" s="832">
        <v>75</v>
      </c>
      <c r="O717" s="832">
        <v>75</v>
      </c>
      <c r="P717" s="832">
        <v>651</v>
      </c>
      <c r="Q717" s="832">
        <v>1035</v>
      </c>
      <c r="R717" s="832">
        <v>2225</v>
      </c>
      <c r="S717" s="832">
        <v>94.09</v>
      </c>
      <c r="T717" s="832">
        <v>94.09</v>
      </c>
      <c r="U717" s="832">
        <v>0</v>
      </c>
      <c r="V717" s="832">
        <v>0</v>
      </c>
      <c r="W717" s="832">
        <v>0</v>
      </c>
      <c r="X717" s="832">
        <v>0</v>
      </c>
      <c r="Y717" s="832">
        <v>0</v>
      </c>
      <c r="Z717" s="832">
        <v>0</v>
      </c>
      <c r="AA717" s="832">
        <v>0</v>
      </c>
      <c r="AB717" s="832">
        <v>0</v>
      </c>
      <c r="AC717" s="832">
        <v>0</v>
      </c>
      <c r="AD717" s="832">
        <v>0</v>
      </c>
      <c r="AE717" s="832">
        <v>0</v>
      </c>
      <c r="AF717" s="832">
        <v>0</v>
      </c>
      <c r="AG717" s="832">
        <v>0</v>
      </c>
      <c r="AH717" s="832">
        <v>0</v>
      </c>
      <c r="AI717" s="832">
        <v>0</v>
      </c>
      <c r="AJ717" s="1030" t="str">
        <f t="shared" si="66"/>
        <v>H43430</v>
      </c>
      <c r="AK717" s="1030" t="str">
        <f t="shared" si="67"/>
        <v>CT OCC PRODUITS CHIMIQUE</v>
      </c>
      <c r="AL717" s="1030">
        <f>IFERROR(INDEX(G717:R717,1,MATCH(Parametres!$B$3,G$1:R$1,0)-1)*IF(OR(F717="L",F717="S",F717="I"),-1,1),"")</f>
        <v>60</v>
      </c>
      <c r="AM717" s="1030">
        <f t="shared" si="68"/>
        <v>15</v>
      </c>
      <c r="AN717" s="1030">
        <f>INDEX(G717:R717,1,MATCH(Parametres!$B$3,G$1:R$1,0))*IF(OR(F717="L",F717="S",F717="I"),-1,1)</f>
        <v>75</v>
      </c>
      <c r="AO717" s="598" t="str">
        <f>+VLOOKUP($AJ717,Data_Validation!$A:$D,1,0)</f>
        <v>H43430</v>
      </c>
      <c r="AP717" s="598" t="str">
        <f>+VLOOKUP($AJ717,Data_Validation!$A:$D,3,0)</f>
        <v>Véhicules usagés</v>
      </c>
      <c r="AQ717" s="598" t="str">
        <f>+VLOOKUP($AJ717,Data_Validation!$A:$D,4,0)</f>
        <v>Rev. Protections</v>
      </c>
      <c r="AR717" s="598" t="s">
        <v>299</v>
      </c>
      <c r="AS717" s="598">
        <f>+VLOOKUP($AJ717,Data_Validation!$A:$E,5,0)</f>
        <v>0</v>
      </c>
      <c r="AT717" s="1036" t="str">
        <f t="shared" si="69"/>
        <v>H43430</v>
      </c>
      <c r="AU717" s="599" t="str">
        <f t="shared" si="70"/>
        <v>CT OCC PRODUITS CHIMIQUE</v>
      </c>
      <c r="AV717" s="1030">
        <f>IFERROR(INDEX(V717:AG717,1,MATCH(Parametres!$B$3,V$1:AG$1,0)-1)*IF(OR(C717="L",C717="S",C717="I"),-1,1),"")</f>
        <v>0</v>
      </c>
      <c r="AW717" s="1030">
        <f t="shared" si="71"/>
        <v>0</v>
      </c>
      <c r="AX717" s="1030">
        <f>INDEX(V717:AG717,1,MATCH(Parametres!$B$3,V$1:AG$1,0))*IF(OR(C717="L",C717="S",C717="I"),-1,1)</f>
        <v>0</v>
      </c>
      <c r="AY717" s="598" t="s">
        <v>337</v>
      </c>
      <c r="AZ717" s="598">
        <f>+VLOOKUP($AJ717,Data_Validation!$A:$E,5,0)</f>
        <v>0</v>
      </c>
    </row>
    <row r="718" spans="1:52" ht="15" customHeight="1">
      <c r="A718" s="832" t="s">
        <v>1150</v>
      </c>
      <c r="B718" s="832">
        <v>2025</v>
      </c>
      <c r="C718" s="832" t="s">
        <v>2563</v>
      </c>
      <c r="D718" s="832" t="s">
        <v>2497</v>
      </c>
      <c r="E718" s="832" t="s">
        <v>333</v>
      </c>
      <c r="F718" s="832" t="s">
        <v>2438</v>
      </c>
      <c r="G718" s="832">
        <v>0</v>
      </c>
      <c r="H718" s="832">
        <v>0</v>
      </c>
      <c r="I718" s="832">
        <v>0</v>
      </c>
      <c r="J718" s="832">
        <v>0</v>
      </c>
      <c r="K718" s="832">
        <v>0</v>
      </c>
      <c r="L718" s="832">
        <v>0</v>
      </c>
      <c r="M718" s="832">
        <v>0</v>
      </c>
      <c r="N718" s="832">
        <v>0</v>
      </c>
      <c r="O718" s="832">
        <v>1266</v>
      </c>
      <c r="P718" s="832">
        <v>1266</v>
      </c>
      <c r="Q718" s="832">
        <v>2983</v>
      </c>
      <c r="R718" s="832">
        <v>4077</v>
      </c>
      <c r="S718" s="832">
        <v>271.18</v>
      </c>
      <c r="T718" s="832">
        <v>271.18</v>
      </c>
      <c r="U718" s="832">
        <v>0</v>
      </c>
      <c r="V718" s="832">
        <v>0</v>
      </c>
      <c r="W718" s="832">
        <v>0</v>
      </c>
      <c r="X718" s="832">
        <v>0</v>
      </c>
      <c r="Y718" s="832">
        <v>0</v>
      </c>
      <c r="Z718" s="832">
        <v>0</v>
      </c>
      <c r="AA718" s="832">
        <v>0</v>
      </c>
      <c r="AB718" s="832">
        <v>0</v>
      </c>
      <c r="AC718" s="832">
        <v>0</v>
      </c>
      <c r="AD718" s="832">
        <v>0</v>
      </c>
      <c r="AE718" s="832">
        <v>0</v>
      </c>
      <c r="AF718" s="832">
        <v>0</v>
      </c>
      <c r="AG718" s="832">
        <v>0</v>
      </c>
      <c r="AH718" s="832">
        <v>0</v>
      </c>
      <c r="AI718" s="832">
        <v>0</v>
      </c>
      <c r="AJ718" s="1030" t="str">
        <f t="shared" si="66"/>
        <v>H43440</v>
      </c>
      <c r="AK718" s="1030" t="str">
        <f t="shared" si="67"/>
        <v>CT ASSURANCE ROUTIERE</v>
      </c>
      <c r="AL718" s="1030">
        <f>IFERROR(INDEX(G718:R718,1,MATCH(Parametres!$B$3,G$1:R$1,0)-1)*IF(OR(F718="L",F718="S",F718="I"),-1,1),"")</f>
        <v>0</v>
      </c>
      <c r="AM718" s="1030">
        <f t="shared" si="68"/>
        <v>0</v>
      </c>
      <c r="AN718" s="1030">
        <f>INDEX(G718:R718,1,MATCH(Parametres!$B$3,G$1:R$1,0))*IF(OR(F718="L",F718="S",F718="I"),-1,1)</f>
        <v>0</v>
      </c>
      <c r="AO718" s="598" t="str">
        <f>+VLOOKUP($AJ718,Data_Validation!$A:$D,1,0)</f>
        <v>H43440</v>
      </c>
      <c r="AP718" s="598" t="str">
        <f>+VLOOKUP($AJ718,Data_Validation!$A:$D,3,0)</f>
        <v>Véhicules usagés</v>
      </c>
      <c r="AQ718" s="598" t="str">
        <f>+VLOOKUP($AJ718,Data_Validation!$A:$D,4,0)</f>
        <v>Rev. Protections</v>
      </c>
      <c r="AR718" s="598" t="s">
        <v>299</v>
      </c>
      <c r="AS718" s="598">
        <f>+VLOOKUP($AJ718,Data_Validation!$A:$E,5,0)</f>
        <v>0</v>
      </c>
      <c r="AT718" s="1036" t="str">
        <f t="shared" si="69"/>
        <v>H43440</v>
      </c>
      <c r="AU718" s="599" t="str">
        <f t="shared" si="70"/>
        <v>CT ASSURANCE ROUTIERE</v>
      </c>
      <c r="AV718" s="1030">
        <f>IFERROR(INDEX(V718:AG718,1,MATCH(Parametres!$B$3,V$1:AG$1,0)-1)*IF(OR(C718="L",C718="S",C718="I"),-1,1),"")</f>
        <v>0</v>
      </c>
      <c r="AW718" s="1030">
        <f t="shared" si="71"/>
        <v>0</v>
      </c>
      <c r="AX718" s="1030">
        <f>INDEX(V718:AG718,1,MATCH(Parametres!$B$3,V$1:AG$1,0))*IF(OR(C718="L",C718="S",C718="I"),-1,1)</f>
        <v>0</v>
      </c>
      <c r="AY718" s="598" t="s">
        <v>337</v>
      </c>
      <c r="AZ718" s="598">
        <f>+VLOOKUP($AJ718,Data_Validation!$A:$E,5,0)</f>
        <v>0</v>
      </c>
    </row>
    <row r="719" spans="1:52" ht="15" customHeight="1">
      <c r="A719" s="832" t="s">
        <v>1150</v>
      </c>
      <c r="B719" s="832">
        <v>2025</v>
      </c>
      <c r="C719" s="832" t="s">
        <v>2564</v>
      </c>
      <c r="D719" s="832" t="s">
        <v>2351</v>
      </c>
      <c r="E719" s="832" t="s">
        <v>333</v>
      </c>
      <c r="F719" s="832" t="s">
        <v>2438</v>
      </c>
      <c r="G719" s="832">
        <v>0</v>
      </c>
      <c r="H719" s="832">
        <v>0</v>
      </c>
      <c r="I719" s="832">
        <v>0</v>
      </c>
      <c r="J719" s="832">
        <v>0</v>
      </c>
      <c r="K719" s="832">
        <v>0</v>
      </c>
      <c r="L719" s="832">
        <v>0</v>
      </c>
      <c r="M719" s="832">
        <v>0</v>
      </c>
      <c r="N719" s="832">
        <v>0</v>
      </c>
      <c r="O719" s="832">
        <v>0</v>
      </c>
      <c r="P719" s="832">
        <v>0</v>
      </c>
      <c r="Q719" s="832">
        <v>0</v>
      </c>
      <c r="R719" s="832">
        <v>0</v>
      </c>
      <c r="S719" s="832">
        <v>0</v>
      </c>
      <c r="T719" s="832">
        <v>0</v>
      </c>
      <c r="U719" s="832">
        <v>0</v>
      </c>
      <c r="V719" s="832">
        <v>0</v>
      </c>
      <c r="W719" s="832">
        <v>0</v>
      </c>
      <c r="X719" s="832">
        <v>0</v>
      </c>
      <c r="Y719" s="832">
        <v>0</v>
      </c>
      <c r="Z719" s="832">
        <v>0</v>
      </c>
      <c r="AA719" s="832">
        <v>0</v>
      </c>
      <c r="AB719" s="832">
        <v>0</v>
      </c>
      <c r="AC719" s="832">
        <v>0</v>
      </c>
      <c r="AD719" s="832">
        <v>0</v>
      </c>
      <c r="AE719" s="832">
        <v>0</v>
      </c>
      <c r="AF719" s="832">
        <v>0</v>
      </c>
      <c r="AG719" s="832">
        <v>0</v>
      </c>
      <c r="AH719" s="832">
        <v>0</v>
      </c>
      <c r="AI719" s="832">
        <v>0</v>
      </c>
      <c r="AJ719" s="1030" t="str">
        <f t="shared" si="66"/>
        <v>H43500</v>
      </c>
      <c r="AK719" s="1030" t="str">
        <f t="shared" si="67"/>
        <v>REEVALUATION DU STOCK</v>
      </c>
      <c r="AL719" s="1030">
        <f>IFERROR(INDEX(G719:R719,1,MATCH(Parametres!$B$3,G$1:R$1,0)-1)*IF(OR(F719="L",F719="S",F719="I"),-1,1),"")</f>
        <v>0</v>
      </c>
      <c r="AM719" s="1030">
        <f t="shared" si="68"/>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t="str">
        <f t="shared" si="69"/>
        <v>H43500</v>
      </c>
      <c r="AU719" s="599" t="str">
        <f t="shared" si="70"/>
        <v>REEVALUATION DU STOCK</v>
      </c>
      <c r="AV719" s="1030">
        <f>IFERROR(INDEX(V719:AG719,1,MATCH(Parametres!$B$3,V$1:AG$1,0)-1)*IF(OR(C719="L",C719="S",C719="I"),-1,1),"")</f>
        <v>0</v>
      </c>
      <c r="AW719" s="1030">
        <f t="shared" si="71"/>
        <v>0</v>
      </c>
      <c r="AX719" s="1030">
        <f>INDEX(V719:AG719,1,MATCH(Parametres!$B$3,V$1:AG$1,0))*IF(OR(C719="L",C719="S",C719="I"),-1,1)</f>
        <v>0</v>
      </c>
      <c r="AY719" s="598" t="s">
        <v>337</v>
      </c>
      <c r="AZ719" s="598" t="e">
        <f>+VLOOKUP($AJ719,Data_Validation!$A:$E,5,0)</f>
        <v>#N/A</v>
      </c>
    </row>
    <row r="720" spans="1:52" ht="15" customHeight="1">
      <c r="A720" s="832" t="s">
        <v>1150</v>
      </c>
      <c r="B720" s="832">
        <v>2025</v>
      </c>
      <c r="C720" s="832" t="s">
        <v>2565</v>
      </c>
      <c r="D720" s="832" t="s">
        <v>2566</v>
      </c>
      <c r="E720" s="832" t="s">
        <v>1889</v>
      </c>
      <c r="F720" s="832" t="s">
        <v>2438</v>
      </c>
      <c r="G720" s="832">
        <v>0</v>
      </c>
      <c r="H720" s="832">
        <v>0</v>
      </c>
      <c r="I720" s="832">
        <v>0</v>
      </c>
      <c r="J720" s="832">
        <v>0</v>
      </c>
      <c r="K720" s="832">
        <v>0</v>
      </c>
      <c r="L720" s="832">
        <v>0</v>
      </c>
      <c r="M720" s="832">
        <v>0</v>
      </c>
      <c r="N720" s="832">
        <v>0</v>
      </c>
      <c r="O720" s="832">
        <v>43397.69</v>
      </c>
      <c r="P720" s="832">
        <v>43397.69</v>
      </c>
      <c r="Q720" s="832">
        <v>43397.69</v>
      </c>
      <c r="R720" s="832">
        <v>43397.69</v>
      </c>
      <c r="S720" s="832">
        <v>3945.24</v>
      </c>
      <c r="T720" s="832">
        <v>3945.24</v>
      </c>
      <c r="U720" s="832">
        <v>0</v>
      </c>
      <c r="V720" s="832">
        <v>0</v>
      </c>
      <c r="W720" s="832">
        <v>0</v>
      </c>
      <c r="X720" s="832">
        <v>0</v>
      </c>
      <c r="Y720" s="832">
        <v>0</v>
      </c>
      <c r="Z720" s="832">
        <v>0</v>
      </c>
      <c r="AA720" s="832">
        <v>0</v>
      </c>
      <c r="AB720" s="832">
        <v>0</v>
      </c>
      <c r="AC720" s="832">
        <v>0</v>
      </c>
      <c r="AD720" s="832">
        <v>0</v>
      </c>
      <c r="AE720" s="832">
        <v>0</v>
      </c>
      <c r="AF720" s="832">
        <v>0</v>
      </c>
      <c r="AG720" s="832">
        <v>0</v>
      </c>
      <c r="AH720" s="832">
        <v>0</v>
      </c>
      <c r="AI720" s="832">
        <v>0</v>
      </c>
      <c r="AJ720" s="1030" t="str">
        <f t="shared" si="66"/>
        <v>H43700</v>
      </c>
      <c r="AK720" s="1030" t="str">
        <f t="shared" si="67"/>
        <v>CT SANTA CRUZ</v>
      </c>
      <c r="AL720" s="1030">
        <f>IFERROR(INDEX(G720:R720,1,MATCH(Parametres!$B$3,G$1:R$1,0)-1)*IF(OR(F720="L",F720="S",F720="I"),-1,1),"")</f>
        <v>0</v>
      </c>
      <c r="AM720" s="1030">
        <f t="shared" si="68"/>
        <v>0</v>
      </c>
      <c r="AN720" s="1030">
        <f>INDEX(G720:R720,1,MATCH(Parametres!$B$3,G$1:R$1,0))*IF(OR(F720="L",F720="S",F720="I"),-1,1)</f>
        <v>0</v>
      </c>
      <c r="AO720" s="598" t="str">
        <f>+VLOOKUP($AJ720,Data_Validation!$A:$D,1,0)</f>
        <v>H43700</v>
      </c>
      <c r="AP720" s="598" t="str">
        <f>+VLOOKUP($AJ720,Data_Validation!$A:$D,3,0)</f>
        <v>Véhicules neufs</v>
      </c>
      <c r="AQ720" s="598" t="str">
        <f>+VLOOKUP($AJ720,Data_Validation!$A:$D,4,0)</f>
        <v>Camions détail</v>
      </c>
      <c r="AR720" s="598" t="s">
        <v>299</v>
      </c>
      <c r="AS720" s="598">
        <f>+VLOOKUP($AJ720,Data_Validation!$A:$E,5,0)</f>
        <v>0</v>
      </c>
      <c r="AT720" s="1036" t="str">
        <f t="shared" si="69"/>
        <v>H43700</v>
      </c>
      <c r="AU720" s="599" t="str">
        <f t="shared" si="70"/>
        <v>CT SANTA CRUZ</v>
      </c>
      <c r="AV720" s="1030">
        <f>IFERROR(INDEX(V720:AG720,1,MATCH(Parametres!$B$3,V$1:AG$1,0)-1)*IF(OR(C720="L",C720="S",C720="I"),-1,1),"")</f>
        <v>0</v>
      </c>
      <c r="AW720" s="1030">
        <f t="shared" si="71"/>
        <v>0</v>
      </c>
      <c r="AX720" s="1030">
        <f>INDEX(V720:AG720,1,MATCH(Parametres!$B$3,V$1:AG$1,0))*IF(OR(C720="L",C720="S",C720="I"),-1,1)</f>
        <v>0</v>
      </c>
      <c r="AY720" s="598" t="s">
        <v>337</v>
      </c>
      <c r="AZ720" s="598">
        <f>+VLOOKUP($AJ720,Data_Validation!$A:$E,5,0)</f>
        <v>0</v>
      </c>
    </row>
    <row r="721" spans="1:52" ht="15" customHeight="1">
      <c r="A721" s="832" t="s">
        <v>1150</v>
      </c>
      <c r="B721" s="832">
        <v>2025</v>
      </c>
      <c r="C721" s="832" t="s">
        <v>2567</v>
      </c>
      <c r="D721" s="832" t="s">
        <v>2568</v>
      </c>
      <c r="E721" s="832" t="s">
        <v>1889</v>
      </c>
      <c r="F721" s="832" t="s">
        <v>2438</v>
      </c>
      <c r="G721" s="832">
        <v>1280668.74</v>
      </c>
      <c r="H721" s="832">
        <v>1398360.43</v>
      </c>
      <c r="I721" s="832">
        <v>1398360.43</v>
      </c>
      <c r="J721" s="832">
        <v>3774922.38</v>
      </c>
      <c r="K721" s="832">
        <v>4236280.78</v>
      </c>
      <c r="L721" s="832">
        <v>4236280.78</v>
      </c>
      <c r="M721" s="832">
        <v>4294936.88</v>
      </c>
      <c r="N721" s="832">
        <v>4482505.9000000004</v>
      </c>
      <c r="O721" s="832">
        <v>4482505.9000000004</v>
      </c>
      <c r="P721" s="832">
        <v>4797433.75</v>
      </c>
      <c r="Q721" s="832">
        <v>4857604.99</v>
      </c>
      <c r="R721" s="832">
        <v>5115527.72</v>
      </c>
      <c r="S721" s="832">
        <v>441600.45</v>
      </c>
      <c r="T721" s="832">
        <v>441600.45</v>
      </c>
      <c r="U721" s="832">
        <v>0</v>
      </c>
      <c r="V721" s="832">
        <v>0</v>
      </c>
      <c r="W721" s="832">
        <v>0</v>
      </c>
      <c r="X721" s="832">
        <v>0</v>
      </c>
      <c r="Y721" s="832">
        <v>0</v>
      </c>
      <c r="Z721" s="832">
        <v>0</v>
      </c>
      <c r="AA721" s="832">
        <v>0</v>
      </c>
      <c r="AB721" s="832">
        <v>0</v>
      </c>
      <c r="AC721" s="832">
        <v>0</v>
      </c>
      <c r="AD721" s="832">
        <v>0</v>
      </c>
      <c r="AE721" s="832">
        <v>0</v>
      </c>
      <c r="AF721" s="832">
        <v>0</v>
      </c>
      <c r="AG721" s="832">
        <v>0</v>
      </c>
      <c r="AH721" s="832">
        <v>0</v>
      </c>
      <c r="AI721" s="832">
        <v>0</v>
      </c>
      <c r="AJ721" s="1030" t="str">
        <f t="shared" si="66"/>
        <v>H43800</v>
      </c>
      <c r="AK721" s="1030" t="str">
        <f t="shared" si="67"/>
        <v>CT IONIQ 5</v>
      </c>
      <c r="AL721" s="1030">
        <f>IFERROR(INDEX(G721:R721,1,MATCH(Parametres!$B$3,G$1:R$1,0)-1)*IF(OR(F721="L",F721="S",F721="I"),-1,1),"")</f>
        <v>3774922.38</v>
      </c>
      <c r="AM721" s="1030">
        <f t="shared" si="68"/>
        <v>461358.40000000037</v>
      </c>
      <c r="AN721" s="1030">
        <f>INDEX(G721:R721,1,MATCH(Parametres!$B$3,G$1:R$1,0))*IF(OR(F721="L",F721="S",F721="I"),-1,1)</f>
        <v>4236280.78</v>
      </c>
      <c r="AO721" s="598" t="str">
        <f>+VLOOKUP($AJ721,Data_Validation!$A:$D,1,0)</f>
        <v>H43800</v>
      </c>
      <c r="AP721" s="598" t="str">
        <f>+VLOOKUP($AJ721,Data_Validation!$A:$D,3,0)</f>
        <v>Véhicules neufs</v>
      </c>
      <c r="AQ721" s="598" t="str">
        <f>+VLOOKUP($AJ721,Data_Validation!$A:$D,4,0)</f>
        <v>Voitures electriques</v>
      </c>
      <c r="AR721" s="598" t="s">
        <v>299</v>
      </c>
      <c r="AS721" s="598">
        <f>+VLOOKUP($AJ721,Data_Validation!$A:$E,5,0)</f>
        <v>0</v>
      </c>
      <c r="AT721" s="1036" t="str">
        <f t="shared" si="69"/>
        <v>H43800</v>
      </c>
      <c r="AU721" s="599" t="str">
        <f t="shared" si="70"/>
        <v>CT IONIQ 5</v>
      </c>
      <c r="AV721" s="1030">
        <f>IFERROR(INDEX(V721:AG721,1,MATCH(Parametres!$B$3,V$1:AG$1,0)-1)*IF(OR(C721="L",C721="S",C721="I"),-1,1),"")</f>
        <v>0</v>
      </c>
      <c r="AW721" s="1030">
        <f t="shared" si="71"/>
        <v>0</v>
      </c>
      <c r="AX721" s="1030">
        <f>INDEX(V721:AG721,1,MATCH(Parametres!$B$3,V$1:AG$1,0))*IF(OR(C721="L",C721="S",C721="I"),-1,1)</f>
        <v>0</v>
      </c>
      <c r="AY721" s="598" t="s">
        <v>337</v>
      </c>
      <c r="AZ721" s="598">
        <f>+VLOOKUP($AJ721,Data_Validation!$A:$E,5,0)</f>
        <v>0</v>
      </c>
    </row>
    <row r="722" spans="1:52" ht="15" customHeight="1">
      <c r="A722" s="832" t="s">
        <v>1150</v>
      </c>
      <c r="B722" s="832">
        <v>2025</v>
      </c>
      <c r="C722" s="832" t="s">
        <v>2569</v>
      </c>
      <c r="D722" s="832" t="s">
        <v>2570</v>
      </c>
      <c r="E722" s="832" t="s">
        <v>1889</v>
      </c>
      <c r="F722" s="832" t="s">
        <v>2438</v>
      </c>
      <c r="G722" s="832">
        <v>182851.21</v>
      </c>
      <c r="H722" s="832">
        <v>242856.59</v>
      </c>
      <c r="I722" s="832">
        <v>242856.59</v>
      </c>
      <c r="J722" s="832">
        <v>294874.21999999997</v>
      </c>
      <c r="K722" s="832">
        <v>345686.22</v>
      </c>
      <c r="L722" s="832">
        <v>397585.22</v>
      </c>
      <c r="M722" s="832">
        <v>500411.74</v>
      </c>
      <c r="N722" s="832">
        <v>727487.42</v>
      </c>
      <c r="O722" s="832">
        <v>891165.12</v>
      </c>
      <c r="P722" s="832">
        <v>1268574.21</v>
      </c>
      <c r="Q722" s="832">
        <v>1476458.25</v>
      </c>
      <c r="R722" s="832">
        <v>1697661.73</v>
      </c>
      <c r="S722" s="832">
        <v>134223.48000000001</v>
      </c>
      <c r="T722" s="832">
        <v>134223.48000000001</v>
      </c>
      <c r="U722" s="832">
        <v>0</v>
      </c>
      <c r="V722" s="832">
        <v>0</v>
      </c>
      <c r="W722" s="832">
        <v>0</v>
      </c>
      <c r="X722" s="832">
        <v>0</v>
      </c>
      <c r="Y722" s="832">
        <v>0</v>
      </c>
      <c r="Z722" s="832">
        <v>0</v>
      </c>
      <c r="AA722" s="832">
        <v>0</v>
      </c>
      <c r="AB722" s="832">
        <v>0</v>
      </c>
      <c r="AC722" s="832">
        <v>0</v>
      </c>
      <c r="AD722" s="832">
        <v>0</v>
      </c>
      <c r="AE722" s="832">
        <v>0</v>
      </c>
      <c r="AF722" s="832">
        <v>0</v>
      </c>
      <c r="AG722" s="832">
        <v>0</v>
      </c>
      <c r="AH722" s="832">
        <v>0</v>
      </c>
      <c r="AI722" s="832">
        <v>0</v>
      </c>
      <c r="AJ722" s="1030" t="str">
        <f t="shared" si="66"/>
        <v>H44200</v>
      </c>
      <c r="AK722" s="1030" t="str">
        <f t="shared" si="67"/>
        <v>CT IONIQ 6</v>
      </c>
      <c r="AL722" s="1030">
        <f>IFERROR(INDEX(G722:R722,1,MATCH(Parametres!$B$3,G$1:R$1,0)-1)*IF(OR(F722="L",F722="S",F722="I"),-1,1),"")</f>
        <v>294874.21999999997</v>
      </c>
      <c r="AM722" s="1030">
        <f t="shared" si="68"/>
        <v>50812</v>
      </c>
      <c r="AN722" s="1030">
        <f>INDEX(G722:R722,1,MATCH(Parametres!$B$3,G$1:R$1,0))*IF(OR(F722="L",F722="S",F722="I"),-1,1)</f>
        <v>345686.22</v>
      </c>
      <c r="AO722" s="598" t="str">
        <f>+VLOOKUP($AJ722,Data_Validation!$A:$D,1,0)</f>
        <v>H44200</v>
      </c>
      <c r="AP722" s="598" t="str">
        <f>+VLOOKUP($AJ722,Data_Validation!$A:$D,3,0)</f>
        <v>Véhicules neufs</v>
      </c>
      <c r="AQ722" s="598" t="str">
        <f>+VLOOKUP($AJ722,Data_Validation!$A:$D,4,0)</f>
        <v>Voitures electriques</v>
      </c>
      <c r="AR722" s="598" t="s">
        <v>299</v>
      </c>
      <c r="AS722" s="598">
        <f>+VLOOKUP($AJ722,Data_Validation!$A:$E,5,0)</f>
        <v>0</v>
      </c>
      <c r="AT722" s="1036" t="str">
        <f t="shared" si="69"/>
        <v>H44200</v>
      </c>
      <c r="AU722" s="599" t="str">
        <f t="shared" si="70"/>
        <v>CT IONIQ 6</v>
      </c>
      <c r="AV722" s="1030">
        <f>IFERROR(INDEX(V722:AG722,1,MATCH(Parametres!$B$3,V$1:AG$1,0)-1)*IF(OR(C722="L",C722="S",C722="I"),-1,1),"")</f>
        <v>0</v>
      </c>
      <c r="AW722" s="1030">
        <f t="shared" si="71"/>
        <v>0</v>
      </c>
      <c r="AX722" s="1030">
        <f>INDEX(V722:AG722,1,MATCH(Parametres!$B$3,V$1:AG$1,0))*IF(OR(C722="L",C722="S",C722="I"),-1,1)</f>
        <v>0</v>
      </c>
      <c r="AY722" s="598" t="s">
        <v>337</v>
      </c>
      <c r="AZ722" s="598">
        <f>+VLOOKUP($AJ722,Data_Validation!$A:$E,5,0)</f>
        <v>0</v>
      </c>
    </row>
    <row r="723" spans="1:52" ht="15" customHeight="1">
      <c r="A723" s="832" t="s">
        <v>1150</v>
      </c>
      <c r="B723" s="832">
        <v>2025</v>
      </c>
      <c r="C723" s="832" t="s">
        <v>2571</v>
      </c>
      <c r="D723" s="832" t="s">
        <v>2568</v>
      </c>
      <c r="E723" s="832" t="s">
        <v>1889</v>
      </c>
      <c r="F723" s="832" t="s">
        <v>2438</v>
      </c>
      <c r="G723" s="832">
        <v>0</v>
      </c>
      <c r="H723" s="832">
        <v>0</v>
      </c>
      <c r="I723" s="832">
        <v>0</v>
      </c>
      <c r="J723" s="832">
        <v>0</v>
      </c>
      <c r="K723" s="832">
        <v>0</v>
      </c>
      <c r="L723" s="832">
        <v>0</v>
      </c>
      <c r="M723" s="832">
        <v>0</v>
      </c>
      <c r="N723" s="832">
        <v>0</v>
      </c>
      <c r="O723" s="832">
        <v>0</v>
      </c>
      <c r="P723" s="832">
        <v>0</v>
      </c>
      <c r="Q723" s="832">
        <v>0</v>
      </c>
      <c r="R723" s="832">
        <v>0</v>
      </c>
      <c r="S723" s="832">
        <v>0</v>
      </c>
      <c r="T723" s="832">
        <v>0</v>
      </c>
      <c r="U723" s="832">
        <v>0</v>
      </c>
      <c r="V723" s="832">
        <v>0</v>
      </c>
      <c r="W723" s="832">
        <v>0</v>
      </c>
      <c r="X723" s="832">
        <v>0</v>
      </c>
      <c r="Y723" s="832">
        <v>0</v>
      </c>
      <c r="Z723" s="832">
        <v>0</v>
      </c>
      <c r="AA723" s="832">
        <v>0</v>
      </c>
      <c r="AB723" s="832">
        <v>0</v>
      </c>
      <c r="AC723" s="832">
        <v>0</v>
      </c>
      <c r="AD723" s="832">
        <v>0</v>
      </c>
      <c r="AE723" s="832">
        <v>0</v>
      </c>
      <c r="AF723" s="832">
        <v>0</v>
      </c>
      <c r="AG723" s="832">
        <v>0</v>
      </c>
      <c r="AH723" s="832">
        <v>0</v>
      </c>
      <c r="AI723" s="832">
        <v>0</v>
      </c>
      <c r="AJ723" s="1030" t="str">
        <f t="shared" ref="AJ723:AJ786" si="72">C723</f>
        <v>H44300</v>
      </c>
      <c r="AK723" s="1030" t="str">
        <f t="shared" ref="AK723:AK786" si="73">D723</f>
        <v>CT IONIQ 5</v>
      </c>
      <c r="AL723" s="1030">
        <f>IFERROR(INDEX(G723:R723,1,MATCH(Parametres!$B$3,G$1:R$1,0)-1)*IF(OR(F723="L",F723="S",F723="I"),-1,1),"")</f>
        <v>0</v>
      </c>
      <c r="AM723" s="1030">
        <f t="shared" si="68"/>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t="str">
        <f t="shared" si="69"/>
        <v>H44300</v>
      </c>
      <c r="AU723" s="599" t="str">
        <f t="shared" si="70"/>
        <v>CT IONIQ 5</v>
      </c>
      <c r="AV723" s="1030">
        <f>IFERROR(INDEX(V723:AG723,1,MATCH(Parametres!$B$3,V$1:AG$1,0)-1)*IF(OR(C723="L",C723="S",C723="I"),-1,1),"")</f>
        <v>0</v>
      </c>
      <c r="AW723" s="1030">
        <f t="shared" si="71"/>
        <v>0</v>
      </c>
      <c r="AX723" s="1030">
        <f>INDEX(V723:AG723,1,MATCH(Parametres!$B$3,V$1:AG$1,0))*IF(OR(C723="L",C723="S",C723="I"),-1,1)</f>
        <v>0</v>
      </c>
      <c r="AY723" s="598" t="s">
        <v>337</v>
      </c>
      <c r="AZ723" s="598" t="e">
        <f>+VLOOKUP($AJ723,Data_Validation!$A:$E,5,0)</f>
        <v>#N/A</v>
      </c>
    </row>
    <row r="724" spans="1:52" ht="15" customHeight="1">
      <c r="A724" s="832" t="s">
        <v>1150</v>
      </c>
      <c r="B724" s="832">
        <v>2025</v>
      </c>
      <c r="C724" s="832" t="s">
        <v>2572</v>
      </c>
      <c r="D724" s="832" t="s">
        <v>2573</v>
      </c>
      <c r="E724" s="832" t="s">
        <v>1889</v>
      </c>
      <c r="F724" s="832" t="s">
        <v>2438</v>
      </c>
      <c r="G724" s="832">
        <v>0</v>
      </c>
      <c r="H724" s="832">
        <v>0</v>
      </c>
      <c r="I724" s="832">
        <v>0</v>
      </c>
      <c r="J724" s="832">
        <v>0</v>
      </c>
      <c r="K724" s="832">
        <v>0</v>
      </c>
      <c r="L724" s="832">
        <v>146520.17000000001</v>
      </c>
      <c r="M724" s="832">
        <v>212127.09</v>
      </c>
      <c r="N724" s="832">
        <v>360254.91</v>
      </c>
      <c r="O724" s="832">
        <v>524483.15</v>
      </c>
      <c r="P724" s="832">
        <v>657750.49</v>
      </c>
      <c r="Q724" s="832">
        <v>804020.36</v>
      </c>
      <c r="R724" s="832">
        <v>1037003.62</v>
      </c>
      <c r="S724" s="832">
        <v>73092.759999999995</v>
      </c>
      <c r="T724" s="832">
        <v>73092.759999999995</v>
      </c>
      <c r="U724" s="832">
        <v>0</v>
      </c>
      <c r="V724" s="832">
        <v>0</v>
      </c>
      <c r="W724" s="832">
        <v>0</v>
      </c>
      <c r="X724" s="832">
        <v>0</v>
      </c>
      <c r="Y724" s="832">
        <v>0</v>
      </c>
      <c r="Z724" s="832">
        <v>0</v>
      </c>
      <c r="AA724" s="832">
        <v>0</v>
      </c>
      <c r="AB724" s="832">
        <v>0</v>
      </c>
      <c r="AC724" s="832">
        <v>0</v>
      </c>
      <c r="AD724" s="832">
        <v>0</v>
      </c>
      <c r="AE724" s="832">
        <v>0</v>
      </c>
      <c r="AF724" s="832">
        <v>0</v>
      </c>
      <c r="AG724" s="832">
        <v>0</v>
      </c>
      <c r="AH724" s="832">
        <v>0</v>
      </c>
      <c r="AI724" s="832">
        <v>0</v>
      </c>
      <c r="AJ724" s="1030" t="str">
        <f t="shared" si="72"/>
        <v>H44400</v>
      </c>
      <c r="AK724" s="1030" t="str">
        <f t="shared" si="73"/>
        <v>CT IONIQ 9</v>
      </c>
      <c r="AL724" s="1030">
        <f>IFERROR(INDEX(G724:R724,1,MATCH(Parametres!$B$3,G$1:R$1,0)-1)*IF(OR(F724="L",F724="S",F724="I"),-1,1),"")</f>
        <v>0</v>
      </c>
      <c r="AM724" s="1030">
        <f t="shared" si="68"/>
        <v>0</v>
      </c>
      <c r="AN724" s="1030">
        <f>INDEX(G724:R724,1,MATCH(Parametres!$B$3,G$1:R$1,0))*IF(OR(F724="L",F724="S",F724="I"),-1,1)</f>
        <v>0</v>
      </c>
      <c r="AO724" s="598" t="str">
        <f>+VLOOKUP($AJ724,Data_Validation!$A:$D,1,0)</f>
        <v>H44400</v>
      </c>
      <c r="AP724" s="598" t="str">
        <f>+VLOOKUP($AJ724,Data_Validation!$A:$D,3,0)</f>
        <v>Véhicules neufs</v>
      </c>
      <c r="AQ724" s="598" t="str">
        <f>+VLOOKUP($AJ724,Data_Validation!$A:$D,4,0)</f>
        <v>Voitures electriques</v>
      </c>
      <c r="AR724" s="598" t="s">
        <v>299</v>
      </c>
      <c r="AS724" s="598">
        <f>+VLOOKUP($AJ724,Data_Validation!$A:$E,5,0)</f>
        <v>0</v>
      </c>
      <c r="AT724" s="1036" t="str">
        <f t="shared" si="69"/>
        <v>H44400</v>
      </c>
      <c r="AU724" s="599" t="str">
        <f t="shared" si="70"/>
        <v>CT IONIQ 9</v>
      </c>
      <c r="AV724" s="1030">
        <f>IFERROR(INDEX(V724:AG724,1,MATCH(Parametres!$B$3,V$1:AG$1,0)-1)*IF(OR(C724="L",C724="S",C724="I"),-1,1),"")</f>
        <v>0</v>
      </c>
      <c r="AW724" s="1030">
        <f t="shared" si="71"/>
        <v>0</v>
      </c>
      <c r="AX724" s="1030">
        <f>INDEX(V724:AG724,1,MATCH(Parametres!$B$3,V$1:AG$1,0))*IF(OR(C724="L",C724="S",C724="I"),-1,1)</f>
        <v>0</v>
      </c>
      <c r="AY724" s="598" t="s">
        <v>337</v>
      </c>
      <c r="AZ724" s="598">
        <f>+VLOOKUP($AJ724,Data_Validation!$A:$E,5,0)</f>
        <v>0</v>
      </c>
    </row>
    <row r="725" spans="1:52" ht="15" customHeight="1">
      <c r="A725" s="832" t="s">
        <v>1150</v>
      </c>
      <c r="B725" s="832">
        <v>2025</v>
      </c>
      <c r="C725" s="832" t="s">
        <v>2574</v>
      </c>
      <c r="D725" s="832" t="s">
        <v>2575</v>
      </c>
      <c r="E725" s="832" t="s">
        <v>333</v>
      </c>
      <c r="F725" s="832" t="s">
        <v>2438</v>
      </c>
      <c r="G725" s="832">
        <v>350385.33</v>
      </c>
      <c r="H725" s="832">
        <v>651372.29</v>
      </c>
      <c r="I725" s="832">
        <v>935117.87</v>
      </c>
      <c r="J725" s="832">
        <v>1246274.98</v>
      </c>
      <c r="K725" s="832">
        <v>1520682.17</v>
      </c>
      <c r="L725" s="832">
        <v>1745732.95</v>
      </c>
      <c r="M725" s="832">
        <v>2008403.05</v>
      </c>
      <c r="N725" s="832">
        <v>2291587.7799999998</v>
      </c>
      <c r="O725" s="832">
        <v>2568626.12</v>
      </c>
      <c r="P725" s="832">
        <v>2832186.79</v>
      </c>
      <c r="Q725" s="832">
        <v>3063135.34</v>
      </c>
      <c r="R725" s="832">
        <v>3334169.73</v>
      </c>
      <c r="S725" s="832">
        <v>278466.84999999998</v>
      </c>
      <c r="T725" s="832">
        <v>278466.84999999998</v>
      </c>
      <c r="U725" s="832">
        <v>0</v>
      </c>
      <c r="V725" s="832">
        <v>0</v>
      </c>
      <c r="W725" s="832">
        <v>0</v>
      </c>
      <c r="X725" s="832">
        <v>0</v>
      </c>
      <c r="Y725" s="832">
        <v>0</v>
      </c>
      <c r="Z725" s="832">
        <v>0</v>
      </c>
      <c r="AA725" s="832">
        <v>0</v>
      </c>
      <c r="AB725" s="832">
        <v>0</v>
      </c>
      <c r="AC725" s="832">
        <v>0</v>
      </c>
      <c r="AD725" s="832">
        <v>0</v>
      </c>
      <c r="AE725" s="832">
        <v>0</v>
      </c>
      <c r="AF725" s="832">
        <v>0</v>
      </c>
      <c r="AG725" s="832">
        <v>0</v>
      </c>
      <c r="AH725" s="832">
        <v>0</v>
      </c>
      <c r="AI725" s="832">
        <v>0</v>
      </c>
      <c r="AJ725" s="1030" t="str">
        <f t="shared" si="72"/>
        <v>H45000</v>
      </c>
      <c r="AK725" s="1030" t="str">
        <f t="shared" si="73"/>
        <v>CT PCS - COMPTOIR - GROS</v>
      </c>
      <c r="AL725" s="1030">
        <f>IFERROR(INDEX(G725:R725,1,MATCH(Parametres!$B$3,G$1:R$1,0)-1)*IF(OR(F725="L",F725="S",F725="I"),-1,1),"")</f>
        <v>1246274.98</v>
      </c>
      <c r="AM725" s="1030">
        <f t="shared" si="68"/>
        <v>274407.18999999994</v>
      </c>
      <c r="AN725" s="1030">
        <f>INDEX(G725:R725,1,MATCH(Parametres!$B$3,G$1:R$1,0))*IF(OR(F725="L",F725="S",F725="I"),-1,1)</f>
        <v>1520682.17</v>
      </c>
      <c r="AO725" s="598" t="str">
        <f>+VLOOKUP($AJ725,Data_Validation!$A:$D,1,0)</f>
        <v>H45000</v>
      </c>
      <c r="AP725" s="598" t="str">
        <f>+VLOOKUP($AJ725,Data_Validation!$A:$D,3,0)</f>
        <v>Pièces</v>
      </c>
      <c r="AQ725" s="598" t="str">
        <f>+VLOOKUP($AJ725,Data_Validation!$A:$D,4,0)</f>
        <v>Ventes de Gros</v>
      </c>
      <c r="AR725" s="598" t="s">
        <v>299</v>
      </c>
      <c r="AS725" s="598">
        <f>+VLOOKUP($AJ725,Data_Validation!$A:$E,5,0)</f>
        <v>0</v>
      </c>
      <c r="AT725" s="1036" t="str">
        <f t="shared" si="69"/>
        <v>H45000</v>
      </c>
      <c r="AU725" s="599" t="str">
        <f t="shared" si="70"/>
        <v>CT PCS - COMPTOIR - GROS</v>
      </c>
      <c r="AV725" s="1030">
        <f>IFERROR(INDEX(V725:AG725,1,MATCH(Parametres!$B$3,V$1:AG$1,0)-1)*IF(OR(C725="L",C725="S",C725="I"),-1,1),"")</f>
        <v>0</v>
      </c>
      <c r="AW725" s="1030">
        <f t="shared" si="71"/>
        <v>0</v>
      </c>
      <c r="AX725" s="1030">
        <f>INDEX(V725:AG725,1,MATCH(Parametres!$B$3,V$1:AG$1,0))*IF(OR(C725="L",C725="S",C725="I"),-1,1)</f>
        <v>0</v>
      </c>
      <c r="AY725" s="598" t="s">
        <v>337</v>
      </c>
      <c r="AZ725" s="598">
        <f>+VLOOKUP($AJ725,Data_Validation!$A:$E,5,0)</f>
        <v>0</v>
      </c>
    </row>
    <row r="726" spans="1:52" ht="15" customHeight="1">
      <c r="A726" s="832" t="s">
        <v>1150</v>
      </c>
      <c r="B726" s="832">
        <v>2025</v>
      </c>
      <c r="C726" s="832" t="s">
        <v>2576</v>
      </c>
      <c r="D726" s="832" t="s">
        <v>2577</v>
      </c>
      <c r="E726" s="832" t="s">
        <v>333</v>
      </c>
      <c r="F726" s="832" t="s">
        <v>2438</v>
      </c>
      <c r="G726" s="832">
        <v>2125.23</v>
      </c>
      <c r="H726" s="832">
        <v>5421.27</v>
      </c>
      <c r="I726" s="832">
        <v>6749.98</v>
      </c>
      <c r="J726" s="832">
        <v>13285.36</v>
      </c>
      <c r="K726" s="832">
        <v>16252.31</v>
      </c>
      <c r="L726" s="832">
        <v>26712.85</v>
      </c>
      <c r="M726" s="832">
        <v>36070.39</v>
      </c>
      <c r="N726" s="832">
        <v>43373.25</v>
      </c>
      <c r="O726" s="832">
        <v>50634.239999999998</v>
      </c>
      <c r="P726" s="832">
        <v>59220.81</v>
      </c>
      <c r="Q726" s="832">
        <v>66994.36</v>
      </c>
      <c r="R726" s="832">
        <v>72704.59</v>
      </c>
      <c r="S726" s="832">
        <v>6090.4</v>
      </c>
      <c r="T726" s="832">
        <v>6090.4</v>
      </c>
      <c r="U726" s="832">
        <v>0</v>
      </c>
      <c r="V726" s="832">
        <v>0</v>
      </c>
      <c r="W726" s="832">
        <v>0</v>
      </c>
      <c r="X726" s="832">
        <v>0</v>
      </c>
      <c r="Y726" s="832">
        <v>0</v>
      </c>
      <c r="Z726" s="832">
        <v>0</v>
      </c>
      <c r="AA726" s="832">
        <v>0</v>
      </c>
      <c r="AB726" s="832">
        <v>0</v>
      </c>
      <c r="AC726" s="832">
        <v>0</v>
      </c>
      <c r="AD726" s="832">
        <v>0</v>
      </c>
      <c r="AE726" s="832">
        <v>0</v>
      </c>
      <c r="AF726" s="832">
        <v>0</v>
      </c>
      <c r="AG726" s="832">
        <v>0</v>
      </c>
      <c r="AH726" s="832">
        <v>0</v>
      </c>
      <c r="AI726" s="832">
        <v>0</v>
      </c>
      <c r="AJ726" s="1030" t="str">
        <f t="shared" si="72"/>
        <v>H45200</v>
      </c>
      <c r="AK726" s="1030" t="str">
        <f t="shared" si="73"/>
        <v>CT PCS COMPTOIR - DETAIL</v>
      </c>
      <c r="AL726" s="1030">
        <f>IFERROR(INDEX(G726:R726,1,MATCH(Parametres!$B$3,G$1:R$1,0)-1)*IF(OR(F726="L",F726="S",F726="I"),-1,1),"")</f>
        <v>13285.36</v>
      </c>
      <c r="AM726" s="1030">
        <f t="shared" si="68"/>
        <v>2966.9499999999989</v>
      </c>
      <c r="AN726" s="1030">
        <f>INDEX(G726:R726,1,MATCH(Parametres!$B$3,G$1:R$1,0))*IF(OR(F726="L",F726="S",F726="I"),-1,1)</f>
        <v>16252.31</v>
      </c>
      <c r="AO726" s="598" t="str">
        <f>+VLOOKUP($AJ726,Data_Validation!$A:$D,1,0)</f>
        <v>H45200</v>
      </c>
      <c r="AP726" s="598" t="str">
        <f>+VLOOKUP($AJ726,Data_Validation!$A:$D,3,0)</f>
        <v>Pièces</v>
      </c>
      <c r="AQ726" s="598" t="str">
        <f>+VLOOKUP($AJ726,Data_Validation!$A:$D,4,0)</f>
        <v>Ventes Détails</v>
      </c>
      <c r="AR726" s="598" t="s">
        <v>299</v>
      </c>
      <c r="AS726" s="598">
        <f>+VLOOKUP($AJ726,Data_Validation!$A:$E,5,0)</f>
        <v>0</v>
      </c>
      <c r="AT726" s="1036" t="str">
        <f t="shared" si="69"/>
        <v>H45200</v>
      </c>
      <c r="AU726" s="599" t="str">
        <f t="shared" si="70"/>
        <v>CT PCS COMPTOIR - DETAIL</v>
      </c>
      <c r="AV726" s="1030">
        <f>IFERROR(INDEX(V726:AG726,1,MATCH(Parametres!$B$3,V$1:AG$1,0)-1)*IF(OR(C726="L",C726="S",C726="I"),-1,1),"")</f>
        <v>0</v>
      </c>
      <c r="AW726" s="1030">
        <f t="shared" si="71"/>
        <v>0</v>
      </c>
      <c r="AX726" s="1030">
        <f>INDEX(V726:AG726,1,MATCH(Parametres!$B$3,V$1:AG$1,0))*IF(OR(C726="L",C726="S",C726="I"),-1,1)</f>
        <v>0</v>
      </c>
      <c r="AY726" s="598" t="s">
        <v>337</v>
      </c>
      <c r="AZ726" s="598">
        <f>+VLOOKUP($AJ726,Data_Validation!$A:$E,5,0)</f>
        <v>0</v>
      </c>
    </row>
    <row r="727" spans="1:52" ht="15" customHeight="1">
      <c r="A727" s="832" t="s">
        <v>1150</v>
      </c>
      <c r="B727" s="832">
        <v>2025</v>
      </c>
      <c r="C727" s="832" t="s">
        <v>2578</v>
      </c>
      <c r="D727" s="832" t="s">
        <v>2579</v>
      </c>
      <c r="E727" s="832" t="s">
        <v>333</v>
      </c>
      <c r="F727" s="832" t="s">
        <v>2438</v>
      </c>
      <c r="G727" s="832">
        <v>19251.810000000001</v>
      </c>
      <c r="H727" s="832">
        <v>29303.55</v>
      </c>
      <c r="I727" s="832">
        <v>43894.89</v>
      </c>
      <c r="J727" s="832">
        <v>60777.57</v>
      </c>
      <c r="K727" s="832">
        <v>72959.78</v>
      </c>
      <c r="L727" s="832">
        <v>86951.9</v>
      </c>
      <c r="M727" s="832">
        <v>103155.73</v>
      </c>
      <c r="N727" s="832">
        <v>117415.27</v>
      </c>
      <c r="O727" s="832">
        <v>133744.17000000001</v>
      </c>
      <c r="P727" s="832">
        <v>151125.44</v>
      </c>
      <c r="Q727" s="832">
        <v>172001</v>
      </c>
      <c r="R727" s="832">
        <v>187980.9</v>
      </c>
      <c r="S727" s="832">
        <v>15636.45</v>
      </c>
      <c r="T727" s="832">
        <v>15636.45</v>
      </c>
      <c r="U727" s="832">
        <v>0</v>
      </c>
      <c r="V727" s="832">
        <v>0</v>
      </c>
      <c r="W727" s="832">
        <v>0</v>
      </c>
      <c r="X727" s="832">
        <v>0</v>
      </c>
      <c r="Y727" s="832">
        <v>0</v>
      </c>
      <c r="Z727" s="832">
        <v>0</v>
      </c>
      <c r="AA727" s="832">
        <v>0</v>
      </c>
      <c r="AB727" s="832">
        <v>0</v>
      </c>
      <c r="AC727" s="832">
        <v>0</v>
      </c>
      <c r="AD727" s="832">
        <v>0</v>
      </c>
      <c r="AE727" s="832">
        <v>0</v>
      </c>
      <c r="AF727" s="832">
        <v>0</v>
      </c>
      <c r="AG727" s="832">
        <v>0</v>
      </c>
      <c r="AH727" s="832">
        <v>0</v>
      </c>
      <c r="AI727" s="832">
        <v>0</v>
      </c>
      <c r="AJ727" s="1030" t="str">
        <f t="shared" si="72"/>
        <v>H45300</v>
      </c>
      <c r="AK727" s="1030" t="str">
        <f t="shared" si="73"/>
        <v>CT ACCESS DETAIL</v>
      </c>
      <c r="AL727" s="1030">
        <f>IFERROR(INDEX(G727:R727,1,MATCH(Parametres!$B$3,G$1:R$1,0)-1)*IF(OR(F727="L",F727="S",F727="I"),-1,1),"")</f>
        <v>60777.57</v>
      </c>
      <c r="AM727" s="1030">
        <f t="shared" si="68"/>
        <v>12182.21</v>
      </c>
      <c r="AN727" s="1030">
        <f>INDEX(G727:R727,1,MATCH(Parametres!$B$3,G$1:R$1,0))*IF(OR(F727="L",F727="S",F727="I"),-1,1)</f>
        <v>72959.78</v>
      </c>
      <c r="AO727" s="598" t="str">
        <f>+VLOOKUP($AJ727,Data_Validation!$A:$D,1,0)</f>
        <v>H45300</v>
      </c>
      <c r="AP727" s="598" t="str">
        <f>+VLOOKUP($AJ727,Data_Validation!$A:$D,3,0)</f>
        <v>Pièces</v>
      </c>
      <c r="AQ727" s="598" t="str">
        <f>+VLOOKUP($AJ727,Data_Validation!$A:$D,4,0)</f>
        <v>Ventes Détails</v>
      </c>
      <c r="AR727" s="598" t="s">
        <v>299</v>
      </c>
      <c r="AS727" s="598">
        <f>+VLOOKUP($AJ727,Data_Validation!$A:$E,5,0)</f>
        <v>0</v>
      </c>
      <c r="AT727" s="1036" t="str">
        <f t="shared" si="69"/>
        <v>H45300</v>
      </c>
      <c r="AU727" s="599" t="str">
        <f t="shared" si="70"/>
        <v>CT ACCESS DETAIL</v>
      </c>
      <c r="AV727" s="1030">
        <f>IFERROR(INDEX(V727:AG727,1,MATCH(Parametres!$B$3,V$1:AG$1,0)-1)*IF(OR(C727="L",C727="S",C727="I"),-1,1),"")</f>
        <v>0</v>
      </c>
      <c r="AW727" s="1030">
        <f t="shared" si="71"/>
        <v>0</v>
      </c>
      <c r="AX727" s="1030">
        <f>INDEX(V727:AG727,1,MATCH(Parametres!$B$3,V$1:AG$1,0))*IF(OR(C727="L",C727="S",C727="I"),-1,1)</f>
        <v>0</v>
      </c>
      <c r="AY727" s="598" t="s">
        <v>337</v>
      </c>
      <c r="AZ727" s="598">
        <f>+VLOOKUP($AJ727,Data_Validation!$A:$E,5,0)</f>
        <v>0</v>
      </c>
    </row>
    <row r="728" spans="1:52" ht="15" customHeight="1">
      <c r="A728" s="832" t="s">
        <v>1150</v>
      </c>
      <c r="B728" s="832">
        <v>2025</v>
      </c>
      <c r="C728" s="832" t="s">
        <v>2580</v>
      </c>
      <c r="D728" s="832" t="s">
        <v>2581</v>
      </c>
      <c r="E728" s="832" t="s">
        <v>333</v>
      </c>
      <c r="F728" s="832" t="s">
        <v>2438</v>
      </c>
      <c r="G728" s="832">
        <v>42676.08</v>
      </c>
      <c r="H728" s="832">
        <v>73940.320000000007</v>
      </c>
      <c r="I728" s="832">
        <v>108116.96</v>
      </c>
      <c r="J728" s="832">
        <v>167005.38</v>
      </c>
      <c r="K728" s="832">
        <v>235719.7</v>
      </c>
      <c r="L728" s="832">
        <v>289322.65999999997</v>
      </c>
      <c r="M728" s="832">
        <v>332253.84000000003</v>
      </c>
      <c r="N728" s="832">
        <v>362005.58</v>
      </c>
      <c r="O728" s="832">
        <v>394521.27</v>
      </c>
      <c r="P728" s="832">
        <v>447895.46</v>
      </c>
      <c r="Q728" s="832">
        <v>497528.04</v>
      </c>
      <c r="R728" s="832">
        <v>530952.97</v>
      </c>
      <c r="S728" s="832">
        <v>45229.82</v>
      </c>
      <c r="T728" s="832">
        <v>45229.82</v>
      </c>
      <c r="U728" s="832">
        <v>0</v>
      </c>
      <c r="V728" s="832">
        <v>0</v>
      </c>
      <c r="W728" s="832">
        <v>0</v>
      </c>
      <c r="X728" s="832">
        <v>0</v>
      </c>
      <c r="Y728" s="832">
        <v>0</v>
      </c>
      <c r="Z728" s="832">
        <v>0</v>
      </c>
      <c r="AA728" s="832">
        <v>0</v>
      </c>
      <c r="AB728" s="832">
        <v>0</v>
      </c>
      <c r="AC728" s="832">
        <v>0</v>
      </c>
      <c r="AD728" s="832">
        <v>0</v>
      </c>
      <c r="AE728" s="832">
        <v>0</v>
      </c>
      <c r="AF728" s="832">
        <v>0</v>
      </c>
      <c r="AG728" s="832">
        <v>0</v>
      </c>
      <c r="AH728" s="832">
        <v>0</v>
      </c>
      <c r="AI728" s="832">
        <v>0</v>
      </c>
      <c r="AJ728" s="1030" t="str">
        <f t="shared" si="72"/>
        <v>H45400</v>
      </c>
      <c r="AK728" s="1030" t="str">
        <f t="shared" si="73"/>
        <v>CT PCS B.R CLIENT - MEC</v>
      </c>
      <c r="AL728" s="1030">
        <f>IFERROR(INDEX(G728:R728,1,MATCH(Parametres!$B$3,G$1:R$1,0)-1)*IF(OR(F728="L",F728="S",F728="I"),-1,1),"")</f>
        <v>167005.38</v>
      </c>
      <c r="AM728" s="1030">
        <f t="shared" si="68"/>
        <v>68714.320000000007</v>
      </c>
      <c r="AN728" s="1030">
        <f>INDEX(G728:R728,1,MATCH(Parametres!$B$3,G$1:R$1,0))*IF(OR(F728="L",F728="S",F728="I"),-1,1)</f>
        <v>235719.7</v>
      </c>
      <c r="AO728" s="598" t="str">
        <f>+VLOOKUP($AJ728,Data_Validation!$A:$D,1,0)</f>
        <v>H45400</v>
      </c>
      <c r="AP728" s="598" t="str">
        <f>+VLOOKUP($AJ728,Data_Validation!$A:$D,3,0)</f>
        <v>Pièces</v>
      </c>
      <c r="AQ728" s="598" t="str">
        <f>+VLOOKUP($AJ728,Data_Validation!$A:$D,4,0)</f>
        <v>Pièces Ro Clients</v>
      </c>
      <c r="AR728" s="598" t="s">
        <v>299</v>
      </c>
      <c r="AS728" s="598">
        <f>+VLOOKUP($AJ728,Data_Validation!$A:$E,5,0)</f>
        <v>0</v>
      </c>
      <c r="AT728" s="1036" t="str">
        <f t="shared" si="69"/>
        <v>H45400</v>
      </c>
      <c r="AU728" s="599" t="str">
        <f t="shared" si="70"/>
        <v>CT PCS B.R CLIENT - MEC</v>
      </c>
      <c r="AV728" s="1030">
        <f>IFERROR(INDEX(V728:AG728,1,MATCH(Parametres!$B$3,V$1:AG$1,0)-1)*IF(OR(C728="L",C728="S",C728="I"),-1,1),"")</f>
        <v>0</v>
      </c>
      <c r="AW728" s="1030">
        <f t="shared" si="71"/>
        <v>0</v>
      </c>
      <c r="AX728" s="1030">
        <f>INDEX(V728:AG728,1,MATCH(Parametres!$B$3,V$1:AG$1,0))*IF(OR(C728="L",C728="S",C728="I"),-1,1)</f>
        <v>0</v>
      </c>
      <c r="AY728" s="598" t="s">
        <v>337</v>
      </c>
      <c r="AZ728" s="598">
        <f>+VLOOKUP($AJ728,Data_Validation!$A:$E,5,0)</f>
        <v>0</v>
      </c>
    </row>
    <row r="729" spans="1:52" ht="15" customHeight="1">
      <c r="A729" s="832" t="s">
        <v>1150</v>
      </c>
      <c r="B729" s="832">
        <v>2025</v>
      </c>
      <c r="C729" s="832" t="s">
        <v>2582</v>
      </c>
      <c r="D729" s="832" t="s">
        <v>2583</v>
      </c>
      <c r="E729" s="832" t="s">
        <v>333</v>
      </c>
      <c r="F729" s="832" t="s">
        <v>2438</v>
      </c>
      <c r="G729" s="832">
        <v>0</v>
      </c>
      <c r="H729" s="832">
        <v>0</v>
      </c>
      <c r="I729" s="832">
        <v>0</v>
      </c>
      <c r="J729" s="832">
        <v>0</v>
      </c>
      <c r="K729" s="832">
        <v>0</v>
      </c>
      <c r="L729" s="832">
        <v>0</v>
      </c>
      <c r="M729" s="832">
        <v>0</v>
      </c>
      <c r="N729" s="832">
        <v>0</v>
      </c>
      <c r="O729" s="832">
        <v>0</v>
      </c>
      <c r="P729" s="832">
        <v>0</v>
      </c>
      <c r="Q729" s="832">
        <v>0</v>
      </c>
      <c r="R729" s="832">
        <v>0</v>
      </c>
      <c r="S729" s="832">
        <v>0</v>
      </c>
      <c r="T729" s="832">
        <v>0</v>
      </c>
      <c r="U729" s="832">
        <v>0</v>
      </c>
      <c r="V729" s="832">
        <v>0</v>
      </c>
      <c r="W729" s="832">
        <v>0</v>
      </c>
      <c r="X729" s="832">
        <v>0</v>
      </c>
      <c r="Y729" s="832">
        <v>0</v>
      </c>
      <c r="Z729" s="832">
        <v>0</v>
      </c>
      <c r="AA729" s="832">
        <v>0</v>
      </c>
      <c r="AB729" s="832">
        <v>0</v>
      </c>
      <c r="AC729" s="832">
        <v>0</v>
      </c>
      <c r="AD729" s="832">
        <v>0</v>
      </c>
      <c r="AE729" s="832">
        <v>0</v>
      </c>
      <c r="AF729" s="832">
        <v>0</v>
      </c>
      <c r="AG729" s="832">
        <v>0</v>
      </c>
      <c r="AH729" s="832">
        <v>0</v>
      </c>
      <c r="AI729" s="832">
        <v>0</v>
      </c>
      <c r="AJ729" s="1030" t="str">
        <f t="shared" si="72"/>
        <v>H45410</v>
      </c>
      <c r="AK729" s="1030" t="str">
        <f t="shared" si="73"/>
        <v>CT PIECES HPP</v>
      </c>
      <c r="AL729" s="1030">
        <f>IFERROR(INDEX(G729:R729,1,MATCH(Parametres!$B$3,G$1:R$1,0)-1)*IF(OR(F729="L",F729="S",F729="I"),-1,1),"")</f>
        <v>0</v>
      </c>
      <c r="AM729" s="1030">
        <f t="shared" si="68"/>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t="str">
        <f t="shared" si="69"/>
        <v>H45410</v>
      </c>
      <c r="AU729" s="599" t="str">
        <f t="shared" si="70"/>
        <v>CT PIECES HPP</v>
      </c>
      <c r="AV729" s="1030">
        <f>IFERROR(INDEX(V729:AG729,1,MATCH(Parametres!$B$3,V$1:AG$1,0)-1)*IF(OR(C729="L",C729="S",C729="I"),-1,1),"")</f>
        <v>0</v>
      </c>
      <c r="AW729" s="1030">
        <f t="shared" si="71"/>
        <v>0</v>
      </c>
      <c r="AX729" s="1030">
        <f>INDEX(V729:AG729,1,MATCH(Parametres!$B$3,V$1:AG$1,0))*IF(OR(C729="L",C729="S",C729="I"),-1,1)</f>
        <v>0</v>
      </c>
      <c r="AY729" s="598" t="s">
        <v>337</v>
      </c>
      <c r="AZ729" s="598" t="e">
        <f>+VLOOKUP($AJ729,Data_Validation!$A:$E,5,0)</f>
        <v>#N/A</v>
      </c>
    </row>
    <row r="730" spans="1:52" ht="15" customHeight="1">
      <c r="A730" s="832" t="s">
        <v>1150</v>
      </c>
      <c r="B730" s="832">
        <v>2025</v>
      </c>
      <c r="C730" s="832" t="s">
        <v>2584</v>
      </c>
      <c r="D730" s="832" t="s">
        <v>2585</v>
      </c>
      <c r="E730" s="832" t="s">
        <v>333</v>
      </c>
      <c r="F730" s="832" t="s">
        <v>2438</v>
      </c>
      <c r="G730" s="832">
        <v>0</v>
      </c>
      <c r="H730" s="832">
        <v>0</v>
      </c>
      <c r="I730" s="832">
        <v>0</v>
      </c>
      <c r="J730" s="832">
        <v>0</v>
      </c>
      <c r="K730" s="832">
        <v>0</v>
      </c>
      <c r="L730" s="832">
        <v>0</v>
      </c>
      <c r="M730" s="832">
        <v>0</v>
      </c>
      <c r="N730" s="832">
        <v>0</v>
      </c>
      <c r="O730" s="832">
        <v>0</v>
      </c>
      <c r="P730" s="832">
        <v>0</v>
      </c>
      <c r="Q730" s="832">
        <v>0</v>
      </c>
      <c r="R730" s="832">
        <v>0</v>
      </c>
      <c r="S730" s="832">
        <v>0</v>
      </c>
      <c r="T730" s="832">
        <v>0</v>
      </c>
      <c r="U730" s="832">
        <v>0</v>
      </c>
      <c r="V730" s="832">
        <v>0</v>
      </c>
      <c r="W730" s="832">
        <v>0</v>
      </c>
      <c r="X730" s="832">
        <v>0</v>
      </c>
      <c r="Y730" s="832">
        <v>0</v>
      </c>
      <c r="Z730" s="832">
        <v>0</v>
      </c>
      <c r="AA730" s="832">
        <v>0</v>
      </c>
      <c r="AB730" s="832">
        <v>0</v>
      </c>
      <c r="AC730" s="832">
        <v>0</v>
      </c>
      <c r="AD730" s="832">
        <v>0</v>
      </c>
      <c r="AE730" s="832">
        <v>0</v>
      </c>
      <c r="AF730" s="832">
        <v>0</v>
      </c>
      <c r="AG730" s="832">
        <v>0</v>
      </c>
      <c r="AH730" s="832">
        <v>0</v>
      </c>
      <c r="AI730" s="832">
        <v>0</v>
      </c>
      <c r="AJ730" s="1030" t="str">
        <f t="shared" si="72"/>
        <v>H45500</v>
      </c>
      <c r="AK730" s="1030" t="str">
        <f t="shared" si="73"/>
        <v>CT PCS B.R CLIENT - CARR</v>
      </c>
      <c r="AL730" s="1030">
        <f>IFERROR(INDEX(G730:R730,1,MATCH(Parametres!$B$3,G$1:R$1,0)-1)*IF(OR(F730="L",F730="S",F730="I"),-1,1),"")</f>
        <v>0</v>
      </c>
      <c r="AM730" s="1030">
        <f t="shared" si="68"/>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t="str">
        <f t="shared" si="69"/>
        <v>H45500</v>
      </c>
      <c r="AU730" s="599" t="str">
        <f t="shared" si="70"/>
        <v>CT PCS B.R CLIENT - CARR</v>
      </c>
      <c r="AV730" s="1030">
        <f>IFERROR(INDEX(V730:AG730,1,MATCH(Parametres!$B$3,V$1:AG$1,0)-1)*IF(OR(C730="L",C730="S",C730="I"),-1,1),"")</f>
        <v>0</v>
      </c>
      <c r="AW730" s="1030">
        <f t="shared" si="71"/>
        <v>0</v>
      </c>
      <c r="AX730" s="1030">
        <f>INDEX(V730:AG730,1,MATCH(Parametres!$B$3,V$1:AG$1,0))*IF(OR(C730="L",C730="S",C730="I"),-1,1)</f>
        <v>0</v>
      </c>
      <c r="AY730" s="598" t="s">
        <v>337</v>
      </c>
      <c r="AZ730" s="598" t="e">
        <f>+VLOOKUP($AJ730,Data_Validation!$A:$E,5,0)</f>
        <v>#N/A</v>
      </c>
    </row>
    <row r="731" spans="1:52" ht="15" customHeight="1">
      <c r="A731" s="832" t="s">
        <v>1150</v>
      </c>
      <c r="B731" s="832">
        <v>2025</v>
      </c>
      <c r="C731" s="832" t="s">
        <v>2586</v>
      </c>
      <c r="D731" s="832" t="s">
        <v>2587</v>
      </c>
      <c r="E731" s="832" t="s">
        <v>333</v>
      </c>
      <c r="F731" s="832" t="s">
        <v>2438</v>
      </c>
      <c r="G731" s="832">
        <v>104931</v>
      </c>
      <c r="H731" s="832">
        <v>184651.38</v>
      </c>
      <c r="I731" s="832">
        <v>279512.61</v>
      </c>
      <c r="J731" s="832">
        <v>324453</v>
      </c>
      <c r="K731" s="832">
        <v>388912.77</v>
      </c>
      <c r="L731" s="832">
        <v>475208.94</v>
      </c>
      <c r="M731" s="832">
        <v>584712.52</v>
      </c>
      <c r="N731" s="832">
        <v>677634.84</v>
      </c>
      <c r="O731" s="832">
        <v>833797.62</v>
      </c>
      <c r="P731" s="832">
        <v>906966.42</v>
      </c>
      <c r="Q731" s="832">
        <v>921004.11</v>
      </c>
      <c r="R731" s="832">
        <v>993292.51</v>
      </c>
      <c r="S731" s="832">
        <v>83727.649999999994</v>
      </c>
      <c r="T731" s="832">
        <v>83727.649999999994</v>
      </c>
      <c r="U731" s="832">
        <v>0</v>
      </c>
      <c r="V731" s="832">
        <v>0</v>
      </c>
      <c r="W731" s="832">
        <v>0</v>
      </c>
      <c r="X731" s="832">
        <v>0</v>
      </c>
      <c r="Y731" s="832">
        <v>0</v>
      </c>
      <c r="Z731" s="832">
        <v>0</v>
      </c>
      <c r="AA731" s="832">
        <v>0</v>
      </c>
      <c r="AB731" s="832">
        <v>0</v>
      </c>
      <c r="AC731" s="832">
        <v>0</v>
      </c>
      <c r="AD731" s="832">
        <v>0</v>
      </c>
      <c r="AE731" s="832">
        <v>0</v>
      </c>
      <c r="AF731" s="832">
        <v>0</v>
      </c>
      <c r="AG731" s="832">
        <v>0</v>
      </c>
      <c r="AH731" s="832">
        <v>0</v>
      </c>
      <c r="AI731" s="832">
        <v>0</v>
      </c>
      <c r="AJ731" s="1030" t="str">
        <f t="shared" si="72"/>
        <v>H45600</v>
      </c>
      <c r="AK731" s="1030" t="str">
        <f t="shared" si="73"/>
        <v>CT PCS B.R GARANTIE -MEC</v>
      </c>
      <c r="AL731" s="1030">
        <f>IFERROR(INDEX(G731:R731,1,MATCH(Parametres!$B$3,G$1:R$1,0)-1)*IF(OR(F731="L",F731="S",F731="I"),-1,1),"")</f>
        <v>324453</v>
      </c>
      <c r="AM731" s="1030">
        <f t="shared" si="68"/>
        <v>64459.770000000019</v>
      </c>
      <c r="AN731" s="1030">
        <f>INDEX(G731:R731,1,MATCH(Parametres!$B$3,G$1:R$1,0))*IF(OR(F731="L",F731="S",F731="I"),-1,1)</f>
        <v>388912.77</v>
      </c>
      <c r="AO731" s="598" t="str">
        <f>+VLOOKUP($AJ731,Data_Validation!$A:$D,1,0)</f>
        <v>H45600</v>
      </c>
      <c r="AP731" s="598" t="str">
        <f>+VLOOKUP($AJ731,Data_Validation!$A:$D,3,0)</f>
        <v>Pièces</v>
      </c>
      <c r="AQ731" s="598" t="str">
        <f>+VLOOKUP($AJ731,Data_Validation!$A:$D,4,0)</f>
        <v>P/A Garantie</v>
      </c>
      <c r="AR731" s="598" t="s">
        <v>299</v>
      </c>
      <c r="AS731" s="598">
        <f>+VLOOKUP($AJ731,Data_Validation!$A:$E,5,0)</f>
        <v>0</v>
      </c>
      <c r="AT731" s="1036" t="str">
        <f t="shared" si="69"/>
        <v>H45600</v>
      </c>
      <c r="AU731" s="599" t="str">
        <f t="shared" si="70"/>
        <v>CT PCS B.R GARANTIE -MEC</v>
      </c>
      <c r="AV731" s="1030">
        <f>IFERROR(INDEX(V731:AG731,1,MATCH(Parametres!$B$3,V$1:AG$1,0)-1)*IF(OR(C731="L",C731="S",C731="I"),-1,1),"")</f>
        <v>0</v>
      </c>
      <c r="AW731" s="1030">
        <f t="shared" si="71"/>
        <v>0</v>
      </c>
      <c r="AX731" s="1030">
        <f>INDEX(V731:AG731,1,MATCH(Parametres!$B$3,V$1:AG$1,0))*IF(OR(C731="L",C731="S",C731="I"),-1,1)</f>
        <v>0</v>
      </c>
      <c r="AY731" s="598" t="s">
        <v>337</v>
      </c>
      <c r="AZ731" s="598">
        <f>+VLOOKUP($AJ731,Data_Validation!$A:$E,5,0)</f>
        <v>0</v>
      </c>
    </row>
    <row r="732" spans="1:52" ht="15" customHeight="1">
      <c r="A732" s="832" t="s">
        <v>1150</v>
      </c>
      <c r="B732" s="832">
        <v>2025</v>
      </c>
      <c r="C732" s="832" t="s">
        <v>2588</v>
      </c>
      <c r="D732" s="832" t="s">
        <v>2589</v>
      </c>
      <c r="E732" s="832" t="s">
        <v>333</v>
      </c>
      <c r="F732" s="832" t="s">
        <v>2438</v>
      </c>
      <c r="G732" s="832">
        <v>6786.7</v>
      </c>
      <c r="H732" s="832">
        <v>12825.67</v>
      </c>
      <c r="I732" s="832">
        <v>16341.12</v>
      </c>
      <c r="J732" s="832">
        <v>19950.47</v>
      </c>
      <c r="K732" s="832">
        <v>26650.43</v>
      </c>
      <c r="L732" s="832">
        <v>31503.49</v>
      </c>
      <c r="M732" s="832">
        <v>39692.04</v>
      </c>
      <c r="N732" s="832">
        <v>44911.519999999997</v>
      </c>
      <c r="O732" s="832">
        <v>53247.34</v>
      </c>
      <c r="P732" s="832">
        <v>61131.08</v>
      </c>
      <c r="Q732" s="832">
        <v>71323.48</v>
      </c>
      <c r="R732" s="832">
        <v>83240.070000000007</v>
      </c>
      <c r="S732" s="832">
        <v>6483.95</v>
      </c>
      <c r="T732" s="832">
        <v>6483.95</v>
      </c>
      <c r="U732" s="832">
        <v>0</v>
      </c>
      <c r="V732" s="832">
        <v>0</v>
      </c>
      <c r="W732" s="832">
        <v>0</v>
      </c>
      <c r="X732" s="832">
        <v>0</v>
      </c>
      <c r="Y732" s="832">
        <v>0</v>
      </c>
      <c r="Z732" s="832">
        <v>0</v>
      </c>
      <c r="AA732" s="832">
        <v>0</v>
      </c>
      <c r="AB732" s="832">
        <v>0</v>
      </c>
      <c r="AC732" s="832">
        <v>0</v>
      </c>
      <c r="AD732" s="832">
        <v>0</v>
      </c>
      <c r="AE732" s="832">
        <v>0</v>
      </c>
      <c r="AF732" s="832">
        <v>0</v>
      </c>
      <c r="AG732" s="832">
        <v>0</v>
      </c>
      <c r="AH732" s="832">
        <v>0</v>
      </c>
      <c r="AI732" s="832">
        <v>0</v>
      </c>
      <c r="AJ732" s="1030" t="str">
        <f t="shared" si="72"/>
        <v>H45800</v>
      </c>
      <c r="AK732" s="1030" t="str">
        <f t="shared" si="73"/>
        <v>CT PCS B.R INTERNE - MEC</v>
      </c>
      <c r="AL732" s="1030">
        <f>IFERROR(INDEX(G732:R732,1,MATCH(Parametres!$B$3,G$1:R$1,0)-1)*IF(OR(F732="L",F732="S",F732="I"),-1,1),"")</f>
        <v>19950.47</v>
      </c>
      <c r="AM732" s="1030">
        <f t="shared" si="68"/>
        <v>6699.9599999999991</v>
      </c>
      <c r="AN732" s="1030">
        <f>INDEX(G732:R732,1,MATCH(Parametres!$B$3,G$1:R$1,0))*IF(OR(F732="L",F732="S",F732="I"),-1,1)</f>
        <v>26650.43</v>
      </c>
      <c r="AO732" s="598" t="str">
        <f>+VLOOKUP($AJ732,Data_Validation!$A:$D,1,0)</f>
        <v>H45800</v>
      </c>
      <c r="AP732" s="598" t="str">
        <f>+VLOOKUP($AJ732,Data_Validation!$A:$D,3,0)</f>
        <v>Pièces</v>
      </c>
      <c r="AQ732" s="598" t="str">
        <f>+VLOOKUP($AJ732,Data_Validation!$A:$D,4,0)</f>
        <v>Ventes Internes</v>
      </c>
      <c r="AR732" s="598" t="s">
        <v>299</v>
      </c>
      <c r="AS732" s="598">
        <f>+VLOOKUP($AJ732,Data_Validation!$A:$E,5,0)</f>
        <v>0</v>
      </c>
      <c r="AT732" s="1036" t="str">
        <f t="shared" si="69"/>
        <v>H45800</v>
      </c>
      <c r="AU732" s="599" t="str">
        <f t="shared" si="70"/>
        <v>CT PCS B.R INTERNE - MEC</v>
      </c>
      <c r="AV732" s="1030">
        <f>IFERROR(INDEX(V732:AG732,1,MATCH(Parametres!$B$3,V$1:AG$1,0)-1)*IF(OR(C732="L",C732="S",C732="I"),-1,1),"")</f>
        <v>0</v>
      </c>
      <c r="AW732" s="1030">
        <f t="shared" si="71"/>
        <v>0</v>
      </c>
      <c r="AX732" s="1030">
        <f>INDEX(V732:AG732,1,MATCH(Parametres!$B$3,V$1:AG$1,0))*IF(OR(C732="L",C732="S",C732="I"),-1,1)</f>
        <v>0</v>
      </c>
      <c r="AY732" s="598" t="s">
        <v>337</v>
      </c>
      <c r="AZ732" s="598">
        <f>+VLOOKUP($AJ732,Data_Validation!$A:$E,5,0)</f>
        <v>0</v>
      </c>
    </row>
    <row r="733" spans="1:52" ht="15" customHeight="1">
      <c r="A733" s="832" t="s">
        <v>1150</v>
      </c>
      <c r="B733" s="832">
        <v>2025</v>
      </c>
      <c r="C733" s="832" t="s">
        <v>2590</v>
      </c>
      <c r="D733" s="832" t="s">
        <v>2591</v>
      </c>
      <c r="E733" s="832" t="s">
        <v>333</v>
      </c>
      <c r="F733" s="832" t="s">
        <v>2438</v>
      </c>
      <c r="G733" s="832">
        <v>0</v>
      </c>
      <c r="H733" s="832">
        <v>0</v>
      </c>
      <c r="I733" s="832">
        <v>0</v>
      </c>
      <c r="J733" s="832">
        <v>0</v>
      </c>
      <c r="K733" s="832">
        <v>0</v>
      </c>
      <c r="L733" s="832">
        <v>0</v>
      </c>
      <c r="M733" s="832">
        <v>0</v>
      </c>
      <c r="N733" s="832">
        <v>0</v>
      </c>
      <c r="O733" s="832">
        <v>0</v>
      </c>
      <c r="P733" s="832">
        <v>0</v>
      </c>
      <c r="Q733" s="832">
        <v>0</v>
      </c>
      <c r="R733" s="832">
        <v>0</v>
      </c>
      <c r="S733" s="832">
        <v>0</v>
      </c>
      <c r="T733" s="832">
        <v>0</v>
      </c>
      <c r="U733" s="832">
        <v>0</v>
      </c>
      <c r="V733" s="832">
        <v>0</v>
      </c>
      <c r="W733" s="832">
        <v>0</v>
      </c>
      <c r="X733" s="832">
        <v>0</v>
      </c>
      <c r="Y733" s="832">
        <v>0</v>
      </c>
      <c r="Z733" s="832">
        <v>0</v>
      </c>
      <c r="AA733" s="832">
        <v>0</v>
      </c>
      <c r="AB733" s="832">
        <v>0</v>
      </c>
      <c r="AC733" s="832">
        <v>0</v>
      </c>
      <c r="AD733" s="832">
        <v>0</v>
      </c>
      <c r="AE733" s="832">
        <v>0</v>
      </c>
      <c r="AF733" s="832">
        <v>0</v>
      </c>
      <c r="AG733" s="832">
        <v>0</v>
      </c>
      <c r="AH733" s="832">
        <v>0</v>
      </c>
      <c r="AI733" s="832">
        <v>0</v>
      </c>
      <c r="AJ733" s="1030" t="str">
        <f t="shared" si="72"/>
        <v>H46000</v>
      </c>
      <c r="AK733" s="1030" t="str">
        <f t="shared" si="73"/>
        <v>CT PIECES DIVERSES (AUTOS</v>
      </c>
      <c r="AL733" s="1030">
        <f>IFERROR(INDEX(G733:R733,1,MATCH(Parametres!$B$3,G$1:R$1,0)-1)*IF(OR(F733="L",F733="S",F733="I"),-1,1),"")</f>
        <v>0</v>
      </c>
      <c r="AM733" s="1030">
        <f t="shared" si="68"/>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t="str">
        <f t="shared" si="69"/>
        <v>H46000</v>
      </c>
      <c r="AU733" s="599" t="str">
        <f t="shared" si="70"/>
        <v>CT PIECES DIVERSES (AUTOS</v>
      </c>
      <c r="AV733" s="1030">
        <f>IFERROR(INDEX(V733:AG733,1,MATCH(Parametres!$B$3,V$1:AG$1,0)-1)*IF(OR(C733="L",C733="S",C733="I"),-1,1),"")</f>
        <v>0</v>
      </c>
      <c r="AW733" s="1030">
        <f t="shared" si="71"/>
        <v>0</v>
      </c>
      <c r="AX733" s="1030">
        <f>INDEX(V733:AG733,1,MATCH(Parametres!$B$3,V$1:AG$1,0))*IF(OR(C733="L",C733="S",C733="I"),-1,1)</f>
        <v>0</v>
      </c>
      <c r="AY733" s="598" t="s">
        <v>337</v>
      </c>
      <c r="AZ733" s="598" t="e">
        <f>+VLOOKUP($AJ733,Data_Validation!$A:$E,5,0)</f>
        <v>#N/A</v>
      </c>
    </row>
    <row r="734" spans="1:52" ht="15" customHeight="1">
      <c r="A734" s="832" t="s">
        <v>1150</v>
      </c>
      <c r="B734" s="832">
        <v>2025</v>
      </c>
      <c r="C734" s="832" t="s">
        <v>2592</v>
      </c>
      <c r="D734" s="832" t="s">
        <v>2593</v>
      </c>
      <c r="E734" s="832" t="s">
        <v>333</v>
      </c>
      <c r="F734" s="832" t="s">
        <v>2438</v>
      </c>
      <c r="G734" s="832">
        <v>64596.42</v>
      </c>
      <c r="H734" s="832">
        <v>87994.02</v>
      </c>
      <c r="I734" s="832">
        <v>116509.83</v>
      </c>
      <c r="J734" s="832">
        <v>161483.5</v>
      </c>
      <c r="K734" s="832">
        <v>192314.77</v>
      </c>
      <c r="L734" s="832">
        <v>211756.24</v>
      </c>
      <c r="M734" s="832">
        <v>233512.5</v>
      </c>
      <c r="N734" s="832">
        <v>259821.19</v>
      </c>
      <c r="O734" s="832">
        <v>294017.71999999997</v>
      </c>
      <c r="P734" s="832">
        <v>358907.22</v>
      </c>
      <c r="Q734" s="832">
        <v>452587.92</v>
      </c>
      <c r="R734" s="832">
        <v>501272.57</v>
      </c>
      <c r="S734" s="832">
        <v>41144.36</v>
      </c>
      <c r="T734" s="832">
        <v>41144.36</v>
      </c>
      <c r="U734" s="832">
        <v>0</v>
      </c>
      <c r="V734" s="832">
        <v>0</v>
      </c>
      <c r="W734" s="832">
        <v>0</v>
      </c>
      <c r="X734" s="832">
        <v>0</v>
      </c>
      <c r="Y734" s="832">
        <v>0</v>
      </c>
      <c r="Z734" s="832">
        <v>0</v>
      </c>
      <c r="AA734" s="832">
        <v>0</v>
      </c>
      <c r="AB734" s="832">
        <v>0</v>
      </c>
      <c r="AC734" s="832">
        <v>0</v>
      </c>
      <c r="AD734" s="832">
        <v>0</v>
      </c>
      <c r="AE734" s="832">
        <v>0</v>
      </c>
      <c r="AF734" s="832">
        <v>0</v>
      </c>
      <c r="AG734" s="832">
        <v>0</v>
      </c>
      <c r="AH734" s="832">
        <v>0</v>
      </c>
      <c r="AI734" s="832">
        <v>0</v>
      </c>
      <c r="AJ734" s="1030" t="str">
        <f t="shared" si="72"/>
        <v>H46200</v>
      </c>
      <c r="AK734" s="1030" t="str">
        <f t="shared" si="73"/>
        <v>CT PNEUS</v>
      </c>
      <c r="AL734" s="1030">
        <f>IFERROR(INDEX(G734:R734,1,MATCH(Parametres!$B$3,G$1:R$1,0)-1)*IF(OR(F734="L",F734="S",F734="I"),-1,1),"")</f>
        <v>161483.5</v>
      </c>
      <c r="AM734" s="1030">
        <f t="shared" si="68"/>
        <v>30831.26999999999</v>
      </c>
      <c r="AN734" s="1030">
        <f>INDEX(G734:R734,1,MATCH(Parametres!$B$3,G$1:R$1,0))*IF(OR(F734="L",F734="S",F734="I"),-1,1)</f>
        <v>192314.77</v>
      </c>
      <c r="AO734" s="598" t="str">
        <f>+VLOOKUP($AJ734,Data_Validation!$A:$D,1,0)</f>
        <v>H46200</v>
      </c>
      <c r="AP734" s="598" t="str">
        <f>+VLOOKUP($AJ734,Data_Validation!$A:$D,3,0)</f>
        <v>Pièces</v>
      </c>
      <c r="AQ734" s="598" t="str">
        <f>+VLOOKUP($AJ734,Data_Validation!$A:$D,4,0)</f>
        <v>Ventes Pneus</v>
      </c>
      <c r="AR734" s="598" t="s">
        <v>299</v>
      </c>
      <c r="AS734" s="598">
        <f>+VLOOKUP($AJ734,Data_Validation!$A:$E,5,0)</f>
        <v>0</v>
      </c>
      <c r="AT734" s="1036" t="str">
        <f t="shared" si="69"/>
        <v>H46200</v>
      </c>
      <c r="AU734" s="599" t="str">
        <f t="shared" si="70"/>
        <v>CT PNEUS</v>
      </c>
      <c r="AV734" s="1030">
        <f>IFERROR(INDEX(V734:AG734,1,MATCH(Parametres!$B$3,V$1:AG$1,0)-1)*IF(OR(C734="L",C734="S",C734="I"),-1,1),"")</f>
        <v>0</v>
      </c>
      <c r="AW734" s="1030">
        <f t="shared" si="71"/>
        <v>0</v>
      </c>
      <c r="AX734" s="1030">
        <f>INDEX(V734:AG734,1,MATCH(Parametres!$B$3,V$1:AG$1,0))*IF(OR(C734="L",C734="S",C734="I"),-1,1)</f>
        <v>0</v>
      </c>
      <c r="AY734" s="598" t="s">
        <v>337</v>
      </c>
      <c r="AZ734" s="598">
        <f>+VLOOKUP($AJ734,Data_Validation!$A:$E,5,0)</f>
        <v>0</v>
      </c>
    </row>
    <row r="735" spans="1:52" ht="15" customHeight="1">
      <c r="A735" s="832" t="s">
        <v>1150</v>
      </c>
      <c r="B735" s="832">
        <v>2025</v>
      </c>
      <c r="C735" s="832" t="s">
        <v>2594</v>
      </c>
      <c r="D735" s="832" t="s">
        <v>2383</v>
      </c>
      <c r="E735" s="832" t="s">
        <v>333</v>
      </c>
      <c r="F735" s="832" t="s">
        <v>2438</v>
      </c>
      <c r="G735" s="832">
        <v>-7893.75</v>
      </c>
      <c r="H735" s="832">
        <v>-16396.25</v>
      </c>
      <c r="I735" s="832">
        <v>-25466.73</v>
      </c>
      <c r="J735" s="832">
        <v>-73938.55</v>
      </c>
      <c r="K735" s="832">
        <v>-80765.62</v>
      </c>
      <c r="L735" s="832">
        <v>-86881.54</v>
      </c>
      <c r="M735" s="832">
        <v>-93442.74</v>
      </c>
      <c r="N735" s="832">
        <v>-101786.87</v>
      </c>
      <c r="O735" s="832">
        <v>-110768.81</v>
      </c>
      <c r="P735" s="832">
        <v>-118994.79</v>
      </c>
      <c r="Q735" s="832">
        <v>-121131.88</v>
      </c>
      <c r="R735" s="832">
        <v>-120914.66</v>
      </c>
      <c r="S735" s="832">
        <v>-11011.99</v>
      </c>
      <c r="T735" s="832">
        <v>-11011.99</v>
      </c>
      <c r="U735" s="832">
        <v>0</v>
      </c>
      <c r="V735" s="832">
        <v>0</v>
      </c>
      <c r="W735" s="832">
        <v>0</v>
      </c>
      <c r="X735" s="832">
        <v>0</v>
      </c>
      <c r="Y735" s="832">
        <v>0</v>
      </c>
      <c r="Z735" s="832">
        <v>0</v>
      </c>
      <c r="AA735" s="832">
        <v>0</v>
      </c>
      <c r="AB735" s="832">
        <v>0</v>
      </c>
      <c r="AC735" s="832">
        <v>0</v>
      </c>
      <c r="AD735" s="832">
        <v>0</v>
      </c>
      <c r="AE735" s="832">
        <v>0</v>
      </c>
      <c r="AF735" s="832">
        <v>0</v>
      </c>
      <c r="AG735" s="832">
        <v>0</v>
      </c>
      <c r="AH735" s="832">
        <v>0</v>
      </c>
      <c r="AI735" s="832">
        <v>0</v>
      </c>
      <c r="AJ735" s="1030" t="str">
        <f t="shared" si="72"/>
        <v>H46300</v>
      </c>
      <c r="AK735" s="1030" t="str">
        <f t="shared" si="73"/>
        <v>ESCOMPTE PIECES (M.S.O)</v>
      </c>
      <c r="AL735" s="1030">
        <f>IFERROR(INDEX(G735:R735,1,MATCH(Parametres!$B$3,G$1:R$1,0)-1)*IF(OR(F735="L",F735="S",F735="I"),-1,1),"")</f>
        <v>-73938.55</v>
      </c>
      <c r="AM735" s="1030">
        <f t="shared" si="68"/>
        <v>-6827.0699999999924</v>
      </c>
      <c r="AN735" s="1030">
        <f>INDEX(G735:R735,1,MATCH(Parametres!$B$3,G$1:R$1,0))*IF(OR(F735="L",F735="S",F735="I"),-1,1)</f>
        <v>-80765.62</v>
      </c>
      <c r="AO735" s="598" t="str">
        <f>+VLOOKUP($AJ735,Data_Validation!$A:$D,1,0)</f>
        <v>H46300</v>
      </c>
      <c r="AP735" s="598" t="str">
        <f>+VLOOKUP($AJ735,Data_Validation!$A:$D,3,0)</f>
        <v>Pièces</v>
      </c>
      <c r="AQ735" s="598" t="str">
        <f>+VLOOKUP($AJ735,Data_Validation!$A:$D,4,0)</f>
        <v>Escomptes</v>
      </c>
      <c r="AR735" s="598" t="s">
        <v>299</v>
      </c>
      <c r="AS735" s="598">
        <f>+VLOOKUP($AJ735,Data_Validation!$A:$E,5,0)</f>
        <v>0</v>
      </c>
      <c r="AT735" s="1036" t="str">
        <f t="shared" si="69"/>
        <v>H46300</v>
      </c>
      <c r="AU735" s="599" t="str">
        <f t="shared" si="70"/>
        <v>ESCOMPTE PIECES (M.S.O)</v>
      </c>
      <c r="AV735" s="1030">
        <f>IFERROR(INDEX(V735:AG735,1,MATCH(Parametres!$B$3,V$1:AG$1,0)-1)*IF(OR(C735="L",C735="S",C735="I"),-1,1),"")</f>
        <v>0</v>
      </c>
      <c r="AW735" s="1030">
        <f t="shared" si="71"/>
        <v>0</v>
      </c>
      <c r="AX735" s="1030">
        <f>INDEX(V735:AG735,1,MATCH(Parametres!$B$3,V$1:AG$1,0))*IF(OR(C735="L",C735="S",C735="I"),-1,1)</f>
        <v>0</v>
      </c>
      <c r="AY735" s="598" t="s">
        <v>337</v>
      </c>
      <c r="AZ735" s="598">
        <f>+VLOOKUP($AJ735,Data_Validation!$A:$E,5,0)</f>
        <v>0</v>
      </c>
    </row>
    <row r="736" spans="1:52" ht="15" customHeight="1">
      <c r="A736" s="832" t="s">
        <v>1150</v>
      </c>
      <c r="B736" s="832">
        <v>2025</v>
      </c>
      <c r="C736" s="832" t="s">
        <v>2595</v>
      </c>
      <c r="D736" s="832" t="s">
        <v>2385</v>
      </c>
      <c r="E736" s="832" t="s">
        <v>333</v>
      </c>
      <c r="F736" s="832" t="s">
        <v>2438</v>
      </c>
      <c r="G736" s="832">
        <v>0</v>
      </c>
      <c r="H736" s="832">
        <v>0</v>
      </c>
      <c r="I736" s="832">
        <v>0</v>
      </c>
      <c r="J736" s="832">
        <v>0</v>
      </c>
      <c r="K736" s="832">
        <v>0</v>
      </c>
      <c r="L736" s="832">
        <v>0</v>
      </c>
      <c r="M736" s="832">
        <v>0</v>
      </c>
      <c r="N736" s="832">
        <v>-6771.92</v>
      </c>
      <c r="O736" s="832">
        <v>-11361.71</v>
      </c>
      <c r="P736" s="832">
        <v>-6370.53</v>
      </c>
      <c r="Q736" s="832">
        <v>-5321.88</v>
      </c>
      <c r="R736" s="832">
        <v>-5321.88</v>
      </c>
      <c r="S736" s="832">
        <v>-483.81</v>
      </c>
      <c r="T736" s="832">
        <v>-483.81</v>
      </c>
      <c r="U736" s="832">
        <v>0</v>
      </c>
      <c r="V736" s="832">
        <v>0</v>
      </c>
      <c r="W736" s="832">
        <v>0</v>
      </c>
      <c r="X736" s="832">
        <v>0</v>
      </c>
      <c r="Y736" s="832">
        <v>0</v>
      </c>
      <c r="Z736" s="832">
        <v>0</v>
      </c>
      <c r="AA736" s="832">
        <v>0</v>
      </c>
      <c r="AB736" s="832">
        <v>0</v>
      </c>
      <c r="AC736" s="832">
        <v>0</v>
      </c>
      <c r="AD736" s="832">
        <v>0</v>
      </c>
      <c r="AE736" s="832">
        <v>0</v>
      </c>
      <c r="AF736" s="832">
        <v>0</v>
      </c>
      <c r="AG736" s="832">
        <v>0</v>
      </c>
      <c r="AH736" s="832">
        <v>0</v>
      </c>
      <c r="AI736" s="832">
        <v>0</v>
      </c>
      <c r="AJ736" s="1030" t="str">
        <f t="shared" si="72"/>
        <v>H46400</v>
      </c>
      <c r="AK736" s="1030" t="str">
        <f t="shared" si="73"/>
        <v>REGULARISATION D INV.</v>
      </c>
      <c r="AL736" s="1030">
        <f>IFERROR(INDEX(G736:R736,1,MATCH(Parametres!$B$3,G$1:R$1,0)-1)*IF(OR(F736="L",F736="S",F736="I"),-1,1),"")</f>
        <v>0</v>
      </c>
      <c r="AM736" s="1030">
        <f t="shared" si="68"/>
        <v>0</v>
      </c>
      <c r="AN736" s="1030">
        <f>INDEX(G736:R736,1,MATCH(Parametres!$B$3,G$1:R$1,0))*IF(OR(F736="L",F736="S",F736="I"),-1,1)</f>
        <v>0</v>
      </c>
      <c r="AO736" s="598" t="str">
        <f>+VLOOKUP($AJ736,Data_Validation!$A:$D,1,0)</f>
        <v>H46400</v>
      </c>
      <c r="AP736" s="598" t="str">
        <f>+VLOOKUP($AJ736,Data_Validation!$A:$D,3,0)</f>
        <v>Pièces</v>
      </c>
      <c r="AQ736" s="598" t="str">
        <f>+VLOOKUP($AJ736,Data_Validation!$A:$D,4,0)</f>
        <v>Rectif. Inventaire</v>
      </c>
      <c r="AR736" s="598" t="s">
        <v>299</v>
      </c>
      <c r="AS736" s="598">
        <f>+VLOOKUP($AJ736,Data_Validation!$A:$E,5,0)</f>
        <v>0</v>
      </c>
      <c r="AT736" s="1036" t="str">
        <f t="shared" si="69"/>
        <v>H46400</v>
      </c>
      <c r="AU736" s="599" t="str">
        <f t="shared" si="70"/>
        <v>REGULARISATION D INV.</v>
      </c>
      <c r="AV736" s="1030">
        <f>IFERROR(INDEX(V736:AG736,1,MATCH(Parametres!$B$3,V$1:AG$1,0)-1)*IF(OR(C736="L",C736="S",C736="I"),-1,1),"")</f>
        <v>0</v>
      </c>
      <c r="AW736" s="1030">
        <f t="shared" si="71"/>
        <v>0</v>
      </c>
      <c r="AX736" s="1030">
        <f>INDEX(V736:AG736,1,MATCH(Parametres!$B$3,V$1:AG$1,0))*IF(OR(C736="L",C736="S",C736="I"),-1,1)</f>
        <v>0</v>
      </c>
      <c r="AY736" s="598" t="s">
        <v>337</v>
      </c>
      <c r="AZ736" s="598">
        <f>+VLOOKUP($AJ736,Data_Validation!$A:$E,5,0)</f>
        <v>0</v>
      </c>
    </row>
    <row r="737" spans="1:52" ht="15" customHeight="1">
      <c r="A737" s="832" t="s">
        <v>1150</v>
      </c>
      <c r="B737" s="832">
        <v>2025</v>
      </c>
      <c r="C737" s="832" t="s">
        <v>2596</v>
      </c>
      <c r="D737" s="832" t="s">
        <v>2597</v>
      </c>
      <c r="E737" s="832" t="s">
        <v>333</v>
      </c>
      <c r="F737" s="832" t="s">
        <v>2438</v>
      </c>
      <c r="G737" s="832">
        <v>0</v>
      </c>
      <c r="H737" s="832">
        <v>0</v>
      </c>
      <c r="I737" s="832">
        <v>0</v>
      </c>
      <c r="J737" s="832">
        <v>0</v>
      </c>
      <c r="K737" s="832">
        <v>0</v>
      </c>
      <c r="L737" s="832">
        <v>0</v>
      </c>
      <c r="M737" s="832">
        <v>0</v>
      </c>
      <c r="N737" s="832">
        <v>0</v>
      </c>
      <c r="O737" s="832">
        <v>0</v>
      </c>
      <c r="P737" s="832">
        <v>0</v>
      </c>
      <c r="Q737" s="832">
        <v>0</v>
      </c>
      <c r="R737" s="832">
        <v>0</v>
      </c>
      <c r="S737" s="832">
        <v>0</v>
      </c>
      <c r="T737" s="832">
        <v>0</v>
      </c>
      <c r="U737" s="832">
        <v>0</v>
      </c>
      <c r="V737" s="832">
        <v>0</v>
      </c>
      <c r="W737" s="832">
        <v>0</v>
      </c>
      <c r="X737" s="832">
        <v>0</v>
      </c>
      <c r="Y737" s="832">
        <v>0</v>
      </c>
      <c r="Z737" s="832">
        <v>0</v>
      </c>
      <c r="AA737" s="832">
        <v>0</v>
      </c>
      <c r="AB737" s="832">
        <v>0</v>
      </c>
      <c r="AC737" s="832">
        <v>0</v>
      </c>
      <c r="AD737" s="832">
        <v>0</v>
      </c>
      <c r="AE737" s="832">
        <v>0</v>
      </c>
      <c r="AF737" s="832">
        <v>0</v>
      </c>
      <c r="AG737" s="832">
        <v>0</v>
      </c>
      <c r="AH737" s="832">
        <v>0</v>
      </c>
      <c r="AI737" s="832">
        <v>0</v>
      </c>
      <c r="AJ737" s="1030" t="str">
        <f t="shared" si="72"/>
        <v>H46500</v>
      </c>
      <c r="AK737" s="1030" t="str">
        <f t="shared" si="73"/>
        <v>CT FOURN DE CARR/PEINTURE</v>
      </c>
      <c r="AL737" s="1030">
        <f>IFERROR(INDEX(G737:R737,1,MATCH(Parametres!$B$3,G$1:R$1,0)-1)*IF(OR(F737="L",F737="S",F737="I"),-1,1),"")</f>
        <v>0</v>
      </c>
      <c r="AM737" s="1030">
        <f t="shared" si="68"/>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t="str">
        <f t="shared" si="69"/>
        <v>H46500</v>
      </c>
      <c r="AU737" s="599" t="str">
        <f t="shared" si="70"/>
        <v>CT FOURN DE CARR/PEINTURE</v>
      </c>
      <c r="AV737" s="1030">
        <f>IFERROR(INDEX(V737:AG737,1,MATCH(Parametres!$B$3,V$1:AG$1,0)-1)*IF(OR(C737="L",C737="S",C737="I"),-1,1),"")</f>
        <v>0</v>
      </c>
      <c r="AW737" s="1030">
        <f t="shared" si="71"/>
        <v>0</v>
      </c>
      <c r="AX737" s="1030">
        <f>INDEX(V737:AG737,1,MATCH(Parametres!$B$3,V$1:AG$1,0))*IF(OR(C737="L",C737="S",C737="I"),-1,1)</f>
        <v>0</v>
      </c>
      <c r="AY737" s="598" t="s">
        <v>337</v>
      </c>
      <c r="AZ737" s="598" t="e">
        <f>+VLOOKUP($AJ737,Data_Validation!$A:$E,5,0)</f>
        <v>#N/A</v>
      </c>
    </row>
    <row r="738" spans="1:52" ht="15" customHeight="1">
      <c r="A738" s="832" t="s">
        <v>1150</v>
      </c>
      <c r="B738" s="832">
        <v>2025</v>
      </c>
      <c r="C738" s="832" t="s">
        <v>2598</v>
      </c>
      <c r="D738" s="832" t="s">
        <v>2599</v>
      </c>
      <c r="E738" s="832" t="s">
        <v>333</v>
      </c>
      <c r="F738" s="832" t="s">
        <v>2438</v>
      </c>
      <c r="G738" s="832">
        <v>15401.48</v>
      </c>
      <c r="H738" s="832">
        <v>31434.52</v>
      </c>
      <c r="I738" s="832">
        <v>49808.73</v>
      </c>
      <c r="J738" s="832">
        <v>82010.69</v>
      </c>
      <c r="K738" s="832">
        <v>111063.89</v>
      </c>
      <c r="L738" s="832">
        <v>129977.18</v>
      </c>
      <c r="M738" s="832">
        <v>145714.64000000001</v>
      </c>
      <c r="N738" s="832">
        <v>156569.60999999999</v>
      </c>
      <c r="O738" s="832">
        <v>168663.83</v>
      </c>
      <c r="P738" s="832">
        <v>191123.92</v>
      </c>
      <c r="Q738" s="832">
        <v>216244.89</v>
      </c>
      <c r="R738" s="832">
        <v>230146.72</v>
      </c>
      <c r="S738" s="832">
        <v>19658.63</v>
      </c>
      <c r="T738" s="832">
        <v>19658.63</v>
      </c>
      <c r="U738" s="832">
        <v>0</v>
      </c>
      <c r="V738" s="832">
        <v>0</v>
      </c>
      <c r="W738" s="832">
        <v>0</v>
      </c>
      <c r="X738" s="832">
        <v>0</v>
      </c>
      <c r="Y738" s="832">
        <v>0</v>
      </c>
      <c r="Z738" s="832">
        <v>0</v>
      </c>
      <c r="AA738" s="832">
        <v>0</v>
      </c>
      <c r="AB738" s="832">
        <v>0</v>
      </c>
      <c r="AC738" s="832">
        <v>0</v>
      </c>
      <c r="AD738" s="832">
        <v>0</v>
      </c>
      <c r="AE738" s="832">
        <v>0</v>
      </c>
      <c r="AF738" s="832">
        <v>0</v>
      </c>
      <c r="AG738" s="832">
        <v>0</v>
      </c>
      <c r="AH738" s="832">
        <v>0</v>
      </c>
      <c r="AI738" s="832">
        <v>0</v>
      </c>
      <c r="AJ738" s="1030" t="str">
        <f t="shared" si="72"/>
        <v>H47000</v>
      </c>
      <c r="AK738" s="1030" t="str">
        <f t="shared" si="73"/>
        <v>CT M.O B.R CLIENT- MEC</v>
      </c>
      <c r="AL738" s="1030">
        <f>IFERROR(INDEX(G738:R738,1,MATCH(Parametres!$B$3,G$1:R$1,0)-1)*IF(OR(F738="L",F738="S",F738="I"),-1,1),"")</f>
        <v>82010.69</v>
      </c>
      <c r="AM738" s="1030">
        <f t="shared" si="68"/>
        <v>29053.199999999997</v>
      </c>
      <c r="AN738" s="1030">
        <f>INDEX(G738:R738,1,MATCH(Parametres!$B$3,G$1:R$1,0))*IF(OR(F738="L",F738="S",F738="I"),-1,1)</f>
        <v>111063.89</v>
      </c>
      <c r="AO738" s="598" t="str">
        <f>+VLOOKUP($AJ738,Data_Validation!$A:$D,1,0)</f>
        <v>H47000</v>
      </c>
      <c r="AP738" s="598" t="str">
        <f>+VLOOKUP($AJ738,Data_Validation!$A:$D,3,0)</f>
        <v>Service</v>
      </c>
      <c r="AQ738" s="598" t="str">
        <f>+VLOOKUP($AJ738,Data_Validation!$A:$D,4,0)</f>
        <v>M/O Client</v>
      </c>
      <c r="AR738" s="598" t="s">
        <v>299</v>
      </c>
      <c r="AS738" s="598">
        <f>+VLOOKUP($AJ738,Data_Validation!$A:$E,5,0)</f>
        <v>0</v>
      </c>
      <c r="AT738" s="1036" t="str">
        <f t="shared" si="69"/>
        <v>H47000</v>
      </c>
      <c r="AU738" s="599" t="str">
        <f t="shared" si="70"/>
        <v>CT M.O B.R CLIENT- MEC</v>
      </c>
      <c r="AV738" s="1030">
        <f>IFERROR(INDEX(V738:AG738,1,MATCH(Parametres!$B$3,V$1:AG$1,0)-1)*IF(OR(C738="L",C738="S",C738="I"),-1,1),"")</f>
        <v>0</v>
      </c>
      <c r="AW738" s="1030">
        <f t="shared" si="71"/>
        <v>0</v>
      </c>
      <c r="AX738" s="1030">
        <f>INDEX(V738:AG738,1,MATCH(Parametres!$B$3,V$1:AG$1,0))*IF(OR(C738="L",C738="S",C738="I"),-1,1)</f>
        <v>0</v>
      </c>
      <c r="AY738" s="598" t="s">
        <v>337</v>
      </c>
      <c r="AZ738" s="598">
        <f>+VLOOKUP($AJ738,Data_Validation!$A:$E,5,0)</f>
        <v>0</v>
      </c>
    </row>
    <row r="739" spans="1:52" ht="15" customHeight="1">
      <c r="A739" s="832" t="s">
        <v>1150</v>
      </c>
      <c r="B739" s="832">
        <v>2025</v>
      </c>
      <c r="C739" s="832" t="s">
        <v>2600</v>
      </c>
      <c r="D739" s="832" t="s">
        <v>2601</v>
      </c>
      <c r="E739" s="832" t="s">
        <v>333</v>
      </c>
      <c r="F739" s="832" t="s">
        <v>2438</v>
      </c>
      <c r="G739" s="832">
        <v>0</v>
      </c>
      <c r="H739" s="832">
        <v>0</v>
      </c>
      <c r="I739" s="832">
        <v>0</v>
      </c>
      <c r="J739" s="832">
        <v>0</v>
      </c>
      <c r="K739" s="832">
        <v>0</v>
      </c>
      <c r="L739" s="832">
        <v>0</v>
      </c>
      <c r="M739" s="832">
        <v>0</v>
      </c>
      <c r="N739" s="832">
        <v>0</v>
      </c>
      <c r="O739" s="832">
        <v>0</v>
      </c>
      <c r="P739" s="832">
        <v>0</v>
      </c>
      <c r="Q739" s="832">
        <v>0</v>
      </c>
      <c r="R739" s="832">
        <v>0</v>
      </c>
      <c r="S739" s="832">
        <v>0</v>
      </c>
      <c r="T739" s="832">
        <v>0</v>
      </c>
      <c r="U739" s="832">
        <v>0</v>
      </c>
      <c r="V739" s="832">
        <v>0</v>
      </c>
      <c r="W739" s="832">
        <v>0</v>
      </c>
      <c r="X739" s="832">
        <v>0</v>
      </c>
      <c r="Y739" s="832">
        <v>0</v>
      </c>
      <c r="Z739" s="832">
        <v>0</v>
      </c>
      <c r="AA739" s="832">
        <v>0</v>
      </c>
      <c r="AB739" s="832">
        <v>0</v>
      </c>
      <c r="AC739" s="832">
        <v>0</v>
      </c>
      <c r="AD739" s="832">
        <v>0</v>
      </c>
      <c r="AE739" s="832">
        <v>0</v>
      </c>
      <c r="AF739" s="832">
        <v>0</v>
      </c>
      <c r="AG739" s="832">
        <v>0</v>
      </c>
      <c r="AH739" s="832">
        <v>0</v>
      </c>
      <c r="AI739" s="832">
        <v>0</v>
      </c>
      <c r="AJ739" s="1030" t="str">
        <f t="shared" si="72"/>
        <v>H47010</v>
      </c>
      <c r="AK739" s="1030" t="str">
        <f t="shared" si="73"/>
        <v>CT MO HPP</v>
      </c>
      <c r="AL739" s="1030">
        <f>IFERROR(INDEX(G739:R739,1,MATCH(Parametres!$B$3,G$1:R$1,0)-1)*IF(OR(F739="L",F739="S",F739="I"),-1,1),"")</f>
        <v>0</v>
      </c>
      <c r="AM739" s="1030">
        <f t="shared" si="68"/>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t="str">
        <f t="shared" si="69"/>
        <v>H47010</v>
      </c>
      <c r="AU739" s="599" t="str">
        <f t="shared" si="70"/>
        <v>CT MO HPP</v>
      </c>
      <c r="AV739" s="1030">
        <f>IFERROR(INDEX(V739:AG739,1,MATCH(Parametres!$B$3,V$1:AG$1,0)-1)*IF(OR(C739="L",C739="S",C739="I"),-1,1),"")</f>
        <v>0</v>
      </c>
      <c r="AW739" s="1030">
        <f t="shared" si="71"/>
        <v>0</v>
      </c>
      <c r="AX739" s="1030">
        <f>INDEX(V739:AG739,1,MATCH(Parametres!$B$3,V$1:AG$1,0))*IF(OR(C739="L",C739="S",C739="I"),-1,1)</f>
        <v>0</v>
      </c>
      <c r="AY739" s="598" t="s">
        <v>337</v>
      </c>
      <c r="AZ739" s="598" t="e">
        <f>+VLOOKUP($AJ739,Data_Validation!$A:$E,5,0)</f>
        <v>#N/A</v>
      </c>
    </row>
    <row r="740" spans="1:52" ht="15" customHeight="1">
      <c r="A740" s="832" t="s">
        <v>1150</v>
      </c>
      <c r="B740" s="832">
        <v>2025</v>
      </c>
      <c r="C740" s="832" t="s">
        <v>2602</v>
      </c>
      <c r="D740" s="832" t="s">
        <v>2603</v>
      </c>
      <c r="E740" s="832" t="s">
        <v>333</v>
      </c>
      <c r="F740" s="832" t="s">
        <v>2438</v>
      </c>
      <c r="G740" s="832">
        <v>0</v>
      </c>
      <c r="H740" s="832">
        <v>0</v>
      </c>
      <c r="I740" s="832">
        <v>0</v>
      </c>
      <c r="J740" s="832">
        <v>0</v>
      </c>
      <c r="K740" s="832">
        <v>0</v>
      </c>
      <c r="L740" s="832">
        <v>0</v>
      </c>
      <c r="M740" s="832">
        <v>0</v>
      </c>
      <c r="N740" s="832">
        <v>0</v>
      </c>
      <c r="O740" s="832">
        <v>0</v>
      </c>
      <c r="P740" s="832">
        <v>0</v>
      </c>
      <c r="Q740" s="832">
        <v>0</v>
      </c>
      <c r="R740" s="832">
        <v>-210.05</v>
      </c>
      <c r="S740" s="832">
        <v>0</v>
      </c>
      <c r="T740" s="832">
        <v>0</v>
      </c>
      <c r="U740" s="832">
        <v>0</v>
      </c>
      <c r="V740" s="832">
        <v>0</v>
      </c>
      <c r="W740" s="832">
        <v>0</v>
      </c>
      <c r="X740" s="832">
        <v>0</v>
      </c>
      <c r="Y740" s="832">
        <v>0</v>
      </c>
      <c r="Z740" s="832">
        <v>0</v>
      </c>
      <c r="AA740" s="832">
        <v>0</v>
      </c>
      <c r="AB740" s="832">
        <v>0</v>
      </c>
      <c r="AC740" s="832">
        <v>0</v>
      </c>
      <c r="AD740" s="832">
        <v>0</v>
      </c>
      <c r="AE740" s="832">
        <v>0</v>
      </c>
      <c r="AF740" s="832">
        <v>0</v>
      </c>
      <c r="AG740" s="832">
        <v>0</v>
      </c>
      <c r="AH740" s="832">
        <v>0</v>
      </c>
      <c r="AI740" s="832">
        <v>0</v>
      </c>
      <c r="AJ740" s="1030" t="str">
        <f t="shared" si="72"/>
        <v>H47100</v>
      </c>
      <c r="AK740" s="1030" t="str">
        <f t="shared" si="73"/>
        <v>CT M.O B.R CLIENT- CARR</v>
      </c>
      <c r="AL740" s="1030">
        <f>IFERROR(INDEX(G740:R740,1,MATCH(Parametres!$B$3,G$1:R$1,0)-1)*IF(OR(F740="L",F740="S",F740="I"),-1,1),"")</f>
        <v>0</v>
      </c>
      <c r="AM740" s="1030">
        <f t="shared" si="68"/>
        <v>0</v>
      </c>
      <c r="AN740" s="1030">
        <f>INDEX(G740:R740,1,MATCH(Parametres!$B$3,G$1:R$1,0))*IF(OR(F740="L",F740="S",F740="I"),-1,1)</f>
        <v>0</v>
      </c>
      <c r="AO740" s="598" t="str">
        <f>+VLOOKUP($AJ740,Data_Validation!$A:$D,1,0)</f>
        <v>H47100</v>
      </c>
      <c r="AP740" s="598" t="str">
        <f>+VLOOKUP($AJ740,Data_Validation!$A:$D,3,0)</f>
        <v>Carrosserie</v>
      </c>
      <c r="AQ740" s="598" t="str">
        <f>+VLOOKUP($AJ740,Data_Validation!$A:$D,4,0)</f>
        <v>M/O Sous-traitement</v>
      </c>
      <c r="AR740" s="598" t="s">
        <v>299</v>
      </c>
      <c r="AS740" s="598">
        <f>+VLOOKUP($AJ740,Data_Validation!$A:$E,5,0)</f>
        <v>0</v>
      </c>
      <c r="AT740" s="1036" t="str">
        <f t="shared" si="69"/>
        <v>H47100</v>
      </c>
      <c r="AU740" s="599" t="str">
        <f t="shared" si="70"/>
        <v>CT M.O B.R CLIENT- CARR</v>
      </c>
      <c r="AV740" s="1030">
        <f>IFERROR(INDEX(V740:AG740,1,MATCH(Parametres!$B$3,V$1:AG$1,0)-1)*IF(OR(C740="L",C740="S",C740="I"),-1,1),"")</f>
        <v>0</v>
      </c>
      <c r="AW740" s="1030">
        <f t="shared" si="71"/>
        <v>0</v>
      </c>
      <c r="AX740" s="1030">
        <f>INDEX(V740:AG740,1,MATCH(Parametres!$B$3,V$1:AG$1,0))*IF(OR(C740="L",C740="S",C740="I"),-1,1)</f>
        <v>0</v>
      </c>
      <c r="AY740" s="598" t="s">
        <v>337</v>
      </c>
      <c r="AZ740" s="598">
        <f>+VLOOKUP($AJ740,Data_Validation!$A:$E,5,0)</f>
        <v>0</v>
      </c>
    </row>
    <row r="741" spans="1:52" ht="15" customHeight="1">
      <c r="A741" s="832" t="s">
        <v>1150</v>
      </c>
      <c r="B741" s="832">
        <v>2025</v>
      </c>
      <c r="C741" s="832" t="s">
        <v>2604</v>
      </c>
      <c r="D741" s="832" t="s">
        <v>2605</v>
      </c>
      <c r="E741" s="832" t="s">
        <v>333</v>
      </c>
      <c r="F741" s="832" t="s">
        <v>2438</v>
      </c>
      <c r="G741" s="832">
        <v>19763.060000000001</v>
      </c>
      <c r="H741" s="832">
        <v>35937.81</v>
      </c>
      <c r="I741" s="832">
        <v>55507.16</v>
      </c>
      <c r="J741" s="832">
        <v>62997.27</v>
      </c>
      <c r="K741" s="832">
        <v>72749.56</v>
      </c>
      <c r="L741" s="832">
        <v>91308.44</v>
      </c>
      <c r="M741" s="832">
        <v>107237.85</v>
      </c>
      <c r="N741" s="832">
        <v>118868.75</v>
      </c>
      <c r="O741" s="832">
        <v>132740.59</v>
      </c>
      <c r="P741" s="832">
        <v>143931.64000000001</v>
      </c>
      <c r="Q741" s="832">
        <v>146749.96</v>
      </c>
      <c r="R741" s="832">
        <v>156204.26</v>
      </c>
      <c r="S741" s="832">
        <v>13340.91</v>
      </c>
      <c r="T741" s="832">
        <v>13340.91</v>
      </c>
      <c r="U741" s="832">
        <v>0</v>
      </c>
      <c r="V741" s="832">
        <v>0</v>
      </c>
      <c r="W741" s="832">
        <v>0</v>
      </c>
      <c r="X741" s="832">
        <v>0</v>
      </c>
      <c r="Y741" s="832">
        <v>0</v>
      </c>
      <c r="Z741" s="832">
        <v>0</v>
      </c>
      <c r="AA741" s="832">
        <v>0</v>
      </c>
      <c r="AB741" s="832">
        <v>0</v>
      </c>
      <c r="AC741" s="832">
        <v>0</v>
      </c>
      <c r="AD741" s="832">
        <v>0</v>
      </c>
      <c r="AE741" s="832">
        <v>0</v>
      </c>
      <c r="AF741" s="832">
        <v>0</v>
      </c>
      <c r="AG741" s="832">
        <v>0</v>
      </c>
      <c r="AH741" s="832">
        <v>0</v>
      </c>
      <c r="AI741" s="832">
        <v>0</v>
      </c>
      <c r="AJ741" s="1030" t="str">
        <f t="shared" si="72"/>
        <v>H47200</v>
      </c>
      <c r="AK741" s="1030" t="str">
        <f t="shared" si="73"/>
        <v>CT M.O B.R GARANTIE- MEC</v>
      </c>
      <c r="AL741" s="1030">
        <f>IFERROR(INDEX(G741:R741,1,MATCH(Parametres!$B$3,G$1:R$1,0)-1)*IF(OR(F741="L",F741="S",F741="I"),-1,1),"")</f>
        <v>62997.27</v>
      </c>
      <c r="AM741" s="1030">
        <f t="shared" si="68"/>
        <v>9752.2900000000009</v>
      </c>
      <c r="AN741" s="1030">
        <f>INDEX(G741:R741,1,MATCH(Parametres!$B$3,G$1:R$1,0))*IF(OR(F741="L",F741="S",F741="I"),-1,1)</f>
        <v>72749.56</v>
      </c>
      <c r="AO741" s="598" t="str">
        <f>+VLOOKUP($AJ741,Data_Validation!$A:$D,1,0)</f>
        <v>H47200</v>
      </c>
      <c r="AP741" s="598" t="str">
        <f>+VLOOKUP($AJ741,Data_Validation!$A:$D,3,0)</f>
        <v>Service</v>
      </c>
      <c r="AQ741" s="598" t="str">
        <f>+VLOOKUP($AJ741,Data_Validation!$A:$D,4,0)</f>
        <v>M/O Garantie</v>
      </c>
      <c r="AR741" s="598" t="s">
        <v>299</v>
      </c>
      <c r="AS741" s="598">
        <f>+VLOOKUP($AJ741,Data_Validation!$A:$E,5,0)</f>
        <v>0</v>
      </c>
      <c r="AT741" s="1036" t="str">
        <f t="shared" si="69"/>
        <v>H47200</v>
      </c>
      <c r="AU741" s="599" t="str">
        <f t="shared" si="70"/>
        <v>CT M.O B.R GARANTIE- MEC</v>
      </c>
      <c r="AV741" s="1030">
        <f>IFERROR(INDEX(V741:AG741,1,MATCH(Parametres!$B$3,V$1:AG$1,0)-1)*IF(OR(C741="L",C741="S",C741="I"),-1,1),"")</f>
        <v>0</v>
      </c>
      <c r="AW741" s="1030">
        <f t="shared" si="71"/>
        <v>0</v>
      </c>
      <c r="AX741" s="1030">
        <f>INDEX(V741:AG741,1,MATCH(Parametres!$B$3,V$1:AG$1,0))*IF(OR(C741="L",C741="S",C741="I"),-1,1)</f>
        <v>0</v>
      </c>
      <c r="AY741" s="598" t="s">
        <v>337</v>
      </c>
      <c r="AZ741" s="598">
        <f>+VLOOKUP($AJ741,Data_Validation!$A:$E,5,0)</f>
        <v>0</v>
      </c>
    </row>
    <row r="742" spans="1:52" ht="15" customHeight="1">
      <c r="A742" s="832" t="s">
        <v>1150</v>
      </c>
      <c r="B742" s="832">
        <v>2025</v>
      </c>
      <c r="C742" s="832" t="s">
        <v>2606</v>
      </c>
      <c r="D742" s="832" t="s">
        <v>2607</v>
      </c>
      <c r="E742" s="832" t="s">
        <v>333</v>
      </c>
      <c r="F742" s="832" t="s">
        <v>2438</v>
      </c>
      <c r="G742" s="832">
        <v>5755.13</v>
      </c>
      <c r="H742" s="832">
        <v>10989.19</v>
      </c>
      <c r="I742" s="832">
        <v>15085.32</v>
      </c>
      <c r="J742" s="832">
        <v>18970.330000000002</v>
      </c>
      <c r="K742" s="832">
        <v>23543.99</v>
      </c>
      <c r="L742" s="832">
        <v>28030.48</v>
      </c>
      <c r="M742" s="832">
        <v>32259.15</v>
      </c>
      <c r="N742" s="832">
        <v>36316.89</v>
      </c>
      <c r="O742" s="832">
        <v>40527.360000000001</v>
      </c>
      <c r="P742" s="832">
        <v>45163.12</v>
      </c>
      <c r="Q742" s="832">
        <v>49559.07</v>
      </c>
      <c r="R742" s="832">
        <v>54567.93</v>
      </c>
      <c r="S742" s="832">
        <v>4505.37</v>
      </c>
      <c r="T742" s="832">
        <v>4505.37</v>
      </c>
      <c r="U742" s="832">
        <v>0</v>
      </c>
      <c r="V742" s="832">
        <v>0</v>
      </c>
      <c r="W742" s="832">
        <v>0</v>
      </c>
      <c r="X742" s="832">
        <v>0</v>
      </c>
      <c r="Y742" s="832">
        <v>0</v>
      </c>
      <c r="Z742" s="832">
        <v>0</v>
      </c>
      <c r="AA742" s="832">
        <v>0</v>
      </c>
      <c r="AB742" s="832">
        <v>0</v>
      </c>
      <c r="AC742" s="832">
        <v>0</v>
      </c>
      <c r="AD742" s="832">
        <v>0</v>
      </c>
      <c r="AE742" s="832">
        <v>0</v>
      </c>
      <c r="AF742" s="832">
        <v>0</v>
      </c>
      <c r="AG742" s="832">
        <v>0</v>
      </c>
      <c r="AH742" s="832">
        <v>0</v>
      </c>
      <c r="AI742" s="832">
        <v>0</v>
      </c>
      <c r="AJ742" s="1030" t="str">
        <f t="shared" si="72"/>
        <v>H47400</v>
      </c>
      <c r="AK742" s="1030" t="str">
        <f t="shared" si="73"/>
        <v>CT M.O B.R INTERNE- MEC</v>
      </c>
      <c r="AL742" s="1030">
        <f>IFERROR(INDEX(G742:R742,1,MATCH(Parametres!$B$3,G$1:R$1,0)-1)*IF(OR(F742="L",F742="S",F742="I"),-1,1),"")</f>
        <v>18970.330000000002</v>
      </c>
      <c r="AM742" s="1030">
        <f t="shared" si="68"/>
        <v>4573.66</v>
      </c>
      <c r="AN742" s="1030">
        <f>INDEX(G742:R742,1,MATCH(Parametres!$B$3,G$1:R$1,0))*IF(OR(F742="L",F742="S",F742="I"),-1,1)</f>
        <v>23543.99</v>
      </c>
      <c r="AO742" s="598" t="str">
        <f>+VLOOKUP($AJ742,Data_Validation!$A:$D,1,0)</f>
        <v>H47400</v>
      </c>
      <c r="AP742" s="598" t="str">
        <f>+VLOOKUP($AJ742,Data_Validation!$A:$D,3,0)</f>
        <v>Service</v>
      </c>
      <c r="AQ742" s="598" t="str">
        <f>+VLOOKUP($AJ742,Data_Validation!$A:$D,4,0)</f>
        <v>M/O Interne</v>
      </c>
      <c r="AR742" s="598" t="s">
        <v>299</v>
      </c>
      <c r="AS742" s="598">
        <f>+VLOOKUP($AJ742,Data_Validation!$A:$E,5,0)</f>
        <v>0</v>
      </c>
      <c r="AT742" s="1036" t="str">
        <f t="shared" si="69"/>
        <v>H47400</v>
      </c>
      <c r="AU742" s="599" t="str">
        <f t="shared" si="70"/>
        <v>CT M.O B.R INTERNE- MEC</v>
      </c>
      <c r="AV742" s="1030">
        <f>IFERROR(INDEX(V742:AG742,1,MATCH(Parametres!$B$3,V$1:AG$1,0)-1)*IF(OR(C742="L",C742="S",C742="I"),-1,1),"")</f>
        <v>0</v>
      </c>
      <c r="AW742" s="1030">
        <f t="shared" si="71"/>
        <v>0</v>
      </c>
      <c r="AX742" s="1030">
        <f>INDEX(V742:AG742,1,MATCH(Parametres!$B$3,V$1:AG$1,0))*IF(OR(C742="L",C742="S",C742="I"),-1,1)</f>
        <v>0</v>
      </c>
      <c r="AY742" s="598" t="s">
        <v>337</v>
      </c>
      <c r="AZ742" s="598">
        <f>+VLOOKUP($AJ742,Data_Validation!$A:$E,5,0)</f>
        <v>0</v>
      </c>
    </row>
    <row r="743" spans="1:52" ht="15" customHeight="1">
      <c r="A743" s="832" t="s">
        <v>1150</v>
      </c>
      <c r="B743" s="832">
        <v>2025</v>
      </c>
      <c r="C743" s="832" t="s">
        <v>2608</v>
      </c>
      <c r="D743" s="832" t="s">
        <v>2609</v>
      </c>
      <c r="E743" s="832" t="s">
        <v>333</v>
      </c>
      <c r="F743" s="832" t="s">
        <v>2438</v>
      </c>
      <c r="G743" s="832">
        <v>0</v>
      </c>
      <c r="H743" s="832">
        <v>0</v>
      </c>
      <c r="I743" s="832">
        <v>0</v>
      </c>
      <c r="J743" s="832">
        <v>0</v>
      </c>
      <c r="K743" s="832">
        <v>0</v>
      </c>
      <c r="L743" s="832">
        <v>0</v>
      </c>
      <c r="M743" s="832">
        <v>0</v>
      </c>
      <c r="N743" s="832">
        <v>0</v>
      </c>
      <c r="O743" s="832">
        <v>0</v>
      </c>
      <c r="P743" s="832">
        <v>0</v>
      </c>
      <c r="Q743" s="832">
        <v>0</v>
      </c>
      <c r="R743" s="832">
        <v>0</v>
      </c>
      <c r="S743" s="832">
        <v>0</v>
      </c>
      <c r="T743" s="832">
        <v>0</v>
      </c>
      <c r="U743" s="832">
        <v>0</v>
      </c>
      <c r="V743" s="832">
        <v>0</v>
      </c>
      <c r="W743" s="832">
        <v>0</v>
      </c>
      <c r="X743" s="832">
        <v>0</v>
      </c>
      <c r="Y743" s="832">
        <v>0</v>
      </c>
      <c r="Z743" s="832">
        <v>0</v>
      </c>
      <c r="AA743" s="832">
        <v>0</v>
      </c>
      <c r="AB743" s="832">
        <v>0</v>
      </c>
      <c r="AC743" s="832">
        <v>0</v>
      </c>
      <c r="AD743" s="832">
        <v>0</v>
      </c>
      <c r="AE743" s="832">
        <v>0</v>
      </c>
      <c r="AF743" s="832">
        <v>0</v>
      </c>
      <c r="AG743" s="832">
        <v>0</v>
      </c>
      <c r="AH743" s="832">
        <v>0</v>
      </c>
      <c r="AI743" s="832">
        <v>0</v>
      </c>
      <c r="AJ743" s="1030" t="str">
        <f t="shared" si="72"/>
        <v>H47500</v>
      </c>
      <c r="AK743" s="1030" t="str">
        <f t="shared" si="73"/>
        <v>CT M.O B.R INTERNE- CARR</v>
      </c>
      <c r="AL743" s="1030">
        <f>IFERROR(INDEX(G743:R743,1,MATCH(Parametres!$B$3,G$1:R$1,0)-1)*IF(OR(F743="L",F743="S",F743="I"),-1,1),"")</f>
        <v>0</v>
      </c>
      <c r="AM743" s="1030">
        <f t="shared" si="68"/>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t="str">
        <f t="shared" si="69"/>
        <v>H47500</v>
      </c>
      <c r="AU743" s="599" t="str">
        <f t="shared" si="70"/>
        <v>CT M.O B.R INTERNE- CARR</v>
      </c>
      <c r="AV743" s="1030">
        <f>IFERROR(INDEX(V743:AG743,1,MATCH(Parametres!$B$3,V$1:AG$1,0)-1)*IF(OR(C743="L",C743="S",C743="I"),-1,1),"")</f>
        <v>0</v>
      </c>
      <c r="AW743" s="1030">
        <f t="shared" si="71"/>
        <v>0</v>
      </c>
      <c r="AX743" s="1030">
        <f>INDEX(V743:AG743,1,MATCH(Parametres!$B$3,V$1:AG$1,0))*IF(OR(C743="L",C743="S",C743="I"),-1,1)</f>
        <v>0</v>
      </c>
      <c r="AY743" s="598" t="s">
        <v>337</v>
      </c>
      <c r="AZ743" s="598" t="e">
        <f>+VLOOKUP($AJ743,Data_Validation!$A:$E,5,0)</f>
        <v>#N/A</v>
      </c>
    </row>
    <row r="744" spans="1:52" ht="15" customHeight="1">
      <c r="A744" s="832" t="s">
        <v>1150</v>
      </c>
      <c r="B744" s="832">
        <v>2025</v>
      </c>
      <c r="C744" s="832" t="s">
        <v>2610</v>
      </c>
      <c r="D744" s="832" t="s">
        <v>2611</v>
      </c>
      <c r="E744" s="832" t="s">
        <v>333</v>
      </c>
      <c r="F744" s="832" t="s">
        <v>2438</v>
      </c>
      <c r="G744" s="832">
        <v>0</v>
      </c>
      <c r="H744" s="832">
        <v>0</v>
      </c>
      <c r="I744" s="832">
        <v>0</v>
      </c>
      <c r="J744" s="832">
        <v>0</v>
      </c>
      <c r="K744" s="832">
        <v>0</v>
      </c>
      <c r="L744" s="832">
        <v>0</v>
      </c>
      <c r="M744" s="832">
        <v>0</v>
      </c>
      <c r="N744" s="832">
        <v>0</v>
      </c>
      <c r="O744" s="832">
        <v>0</v>
      </c>
      <c r="P744" s="832">
        <v>0</v>
      </c>
      <c r="Q744" s="832">
        <v>0</v>
      </c>
      <c r="R744" s="832">
        <v>0</v>
      </c>
      <c r="S744" s="832">
        <v>0</v>
      </c>
      <c r="T744" s="832">
        <v>0</v>
      </c>
      <c r="U744" s="832">
        <v>0</v>
      </c>
      <c r="V744" s="832">
        <v>0</v>
      </c>
      <c r="W744" s="832">
        <v>0</v>
      </c>
      <c r="X744" s="832">
        <v>0</v>
      </c>
      <c r="Y744" s="832">
        <v>0</v>
      </c>
      <c r="Z744" s="832">
        <v>0</v>
      </c>
      <c r="AA744" s="832">
        <v>0</v>
      </c>
      <c r="AB744" s="832">
        <v>0</v>
      </c>
      <c r="AC744" s="832">
        <v>0</v>
      </c>
      <c r="AD744" s="832">
        <v>0</v>
      </c>
      <c r="AE744" s="832">
        <v>0</v>
      </c>
      <c r="AF744" s="832">
        <v>0</v>
      </c>
      <c r="AG744" s="832">
        <v>0</v>
      </c>
      <c r="AH744" s="832">
        <v>0</v>
      </c>
      <c r="AI744" s="832">
        <v>0</v>
      </c>
      <c r="AJ744" s="1030" t="str">
        <f t="shared" si="72"/>
        <v>H47600</v>
      </c>
      <c r="AK744" s="1030" t="str">
        <f t="shared" si="73"/>
        <v>CT M.O S-TRAITANCE - CARR</v>
      </c>
      <c r="AL744" s="1030">
        <f>IFERROR(INDEX(G744:R744,1,MATCH(Parametres!$B$3,G$1:R$1,0)-1)*IF(OR(F744="L",F744="S",F744="I"),-1,1),"")</f>
        <v>0</v>
      </c>
      <c r="AM744" s="1030">
        <f t="shared" si="68"/>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t="str">
        <f t="shared" si="69"/>
        <v>H47600</v>
      </c>
      <c r="AU744" s="599" t="str">
        <f t="shared" si="70"/>
        <v>CT M.O S-TRAITANCE - CARR</v>
      </c>
      <c r="AV744" s="1030">
        <f>IFERROR(INDEX(V744:AG744,1,MATCH(Parametres!$B$3,V$1:AG$1,0)-1)*IF(OR(C744="L",C744="S",C744="I"),-1,1),"")</f>
        <v>0</v>
      </c>
      <c r="AW744" s="1030">
        <f t="shared" si="71"/>
        <v>0</v>
      </c>
      <c r="AX744" s="1030">
        <f>INDEX(V744:AG744,1,MATCH(Parametres!$B$3,V$1:AG$1,0))*IF(OR(C744="L",C744="S",C744="I"),-1,1)</f>
        <v>0</v>
      </c>
      <c r="AY744" s="598" t="s">
        <v>337</v>
      </c>
      <c r="AZ744" s="598" t="e">
        <f>+VLOOKUP($AJ744,Data_Validation!$A:$E,5,0)</f>
        <v>#N/A</v>
      </c>
    </row>
    <row r="745" spans="1:52" ht="15" customHeight="1">
      <c r="A745" s="832" t="s">
        <v>1150</v>
      </c>
      <c r="B745" s="832">
        <v>2025</v>
      </c>
      <c r="C745" s="832" t="s">
        <v>2612</v>
      </c>
      <c r="D745" s="832" t="s">
        <v>2613</v>
      </c>
      <c r="E745" s="832" t="s">
        <v>333</v>
      </c>
      <c r="F745" s="832" t="s">
        <v>2438</v>
      </c>
      <c r="G745" s="832">
        <v>0</v>
      </c>
      <c r="H745" s="832">
        <v>0</v>
      </c>
      <c r="I745" s="832">
        <v>0</v>
      </c>
      <c r="J745" s="832">
        <v>0</v>
      </c>
      <c r="K745" s="832">
        <v>0</v>
      </c>
      <c r="L745" s="832">
        <v>0</v>
      </c>
      <c r="M745" s="832">
        <v>0</v>
      </c>
      <c r="N745" s="832">
        <v>0</v>
      </c>
      <c r="O745" s="832">
        <v>0</v>
      </c>
      <c r="P745" s="832">
        <v>0</v>
      </c>
      <c r="Q745" s="832">
        <v>0</v>
      </c>
      <c r="R745" s="832">
        <v>0</v>
      </c>
      <c r="S745" s="832">
        <v>0</v>
      </c>
      <c r="T745" s="832">
        <v>0</v>
      </c>
      <c r="U745" s="832">
        <v>0</v>
      </c>
      <c r="V745" s="832">
        <v>0</v>
      </c>
      <c r="W745" s="832">
        <v>0</v>
      </c>
      <c r="X745" s="832">
        <v>0</v>
      </c>
      <c r="Y745" s="832">
        <v>0</v>
      </c>
      <c r="Z745" s="832">
        <v>0</v>
      </c>
      <c r="AA745" s="832">
        <v>0</v>
      </c>
      <c r="AB745" s="832">
        <v>0</v>
      </c>
      <c r="AC745" s="832">
        <v>0</v>
      </c>
      <c r="AD745" s="832">
        <v>0</v>
      </c>
      <c r="AE745" s="832">
        <v>0</v>
      </c>
      <c r="AF745" s="832">
        <v>0</v>
      </c>
      <c r="AG745" s="832">
        <v>0</v>
      </c>
      <c r="AH745" s="832">
        <v>0</v>
      </c>
      <c r="AI745" s="832">
        <v>0</v>
      </c>
      <c r="AJ745" s="1030" t="str">
        <f t="shared" si="72"/>
        <v>H47610</v>
      </c>
      <c r="AK745" s="1030" t="str">
        <f t="shared" si="73"/>
        <v>CT S-TRAITANCE INT CARR</v>
      </c>
      <c r="AL745" s="1030">
        <f>IFERROR(INDEX(G745:R745,1,MATCH(Parametres!$B$3,G$1:R$1,0)-1)*IF(OR(F745="L",F745="S",F745="I"),-1,1),"")</f>
        <v>0</v>
      </c>
      <c r="AM745" s="1030">
        <f t="shared" si="68"/>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t="str">
        <f t="shared" si="69"/>
        <v>H47610</v>
      </c>
      <c r="AU745" s="599" t="str">
        <f t="shared" si="70"/>
        <v>CT S-TRAITANCE INT CARR</v>
      </c>
      <c r="AV745" s="1030">
        <f>IFERROR(INDEX(V745:AG745,1,MATCH(Parametres!$B$3,V$1:AG$1,0)-1)*IF(OR(C745="L",C745="S",C745="I"),-1,1),"")</f>
        <v>0</v>
      </c>
      <c r="AW745" s="1030">
        <f t="shared" si="71"/>
        <v>0</v>
      </c>
      <c r="AX745" s="1030">
        <f>INDEX(V745:AG745,1,MATCH(Parametres!$B$3,V$1:AG$1,0))*IF(OR(C745="L",C745="S",C745="I"),-1,1)</f>
        <v>0</v>
      </c>
      <c r="AY745" s="598" t="s">
        <v>337</v>
      </c>
      <c r="AZ745" s="598" t="e">
        <f>+VLOOKUP($AJ745,Data_Validation!$A:$E,5,0)</f>
        <v>#N/A</v>
      </c>
    </row>
    <row r="746" spans="1:52" ht="15" customHeight="1">
      <c r="A746" s="832" t="s">
        <v>1150</v>
      </c>
      <c r="B746" s="832">
        <v>2025</v>
      </c>
      <c r="C746" s="832" t="s">
        <v>2614</v>
      </c>
      <c r="D746" s="832" t="s">
        <v>2615</v>
      </c>
      <c r="E746" s="832" t="s">
        <v>333</v>
      </c>
      <c r="F746" s="832" t="s">
        <v>2438</v>
      </c>
      <c r="G746" s="832">
        <v>0</v>
      </c>
      <c r="H746" s="832">
        <v>0</v>
      </c>
      <c r="I746" s="832">
        <v>0</v>
      </c>
      <c r="J746" s="832">
        <v>0</v>
      </c>
      <c r="K746" s="832">
        <v>0</v>
      </c>
      <c r="L746" s="832">
        <v>0</v>
      </c>
      <c r="M746" s="832">
        <v>0</v>
      </c>
      <c r="N746" s="832">
        <v>0</v>
      </c>
      <c r="O746" s="832">
        <v>0</v>
      </c>
      <c r="P746" s="832">
        <v>0</v>
      </c>
      <c r="Q746" s="832">
        <v>0</v>
      </c>
      <c r="R746" s="832">
        <v>0</v>
      </c>
      <c r="S746" s="832">
        <v>0</v>
      </c>
      <c r="T746" s="832">
        <v>0</v>
      </c>
      <c r="U746" s="832">
        <v>0</v>
      </c>
      <c r="V746" s="832">
        <v>0</v>
      </c>
      <c r="W746" s="832">
        <v>0</v>
      </c>
      <c r="X746" s="832">
        <v>0</v>
      </c>
      <c r="Y746" s="832">
        <v>0</v>
      </c>
      <c r="Z746" s="832">
        <v>0</v>
      </c>
      <c r="AA746" s="832">
        <v>0</v>
      </c>
      <c r="AB746" s="832">
        <v>0</v>
      </c>
      <c r="AC746" s="832">
        <v>0</v>
      </c>
      <c r="AD746" s="832">
        <v>0</v>
      </c>
      <c r="AE746" s="832">
        <v>0</v>
      </c>
      <c r="AF746" s="832">
        <v>0</v>
      </c>
      <c r="AG746" s="832">
        <v>0</v>
      </c>
      <c r="AH746" s="832">
        <v>0</v>
      </c>
      <c r="AI746" s="832">
        <v>0</v>
      </c>
      <c r="AJ746" s="1030" t="str">
        <f t="shared" si="72"/>
        <v>H47700</v>
      </c>
      <c r="AK746" s="1030" t="str">
        <f t="shared" si="73"/>
        <v>CT M.O B.R GARANTIE- CARR</v>
      </c>
      <c r="AL746" s="1030">
        <f>IFERROR(INDEX(G746:R746,1,MATCH(Parametres!$B$3,G$1:R$1,0)-1)*IF(OR(F746="L",F746="S",F746="I"),-1,1),"")</f>
        <v>0</v>
      </c>
      <c r="AM746" s="1030">
        <f t="shared" si="68"/>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t="str">
        <f t="shared" si="69"/>
        <v>H47700</v>
      </c>
      <c r="AU746" s="599" t="str">
        <f t="shared" si="70"/>
        <v>CT M.O B.R GARANTIE- CARR</v>
      </c>
      <c r="AV746" s="1030">
        <f>IFERROR(INDEX(V746:AG746,1,MATCH(Parametres!$B$3,V$1:AG$1,0)-1)*IF(OR(C746="L",C746="S",C746="I"),-1,1),"")</f>
        <v>0</v>
      </c>
      <c r="AW746" s="1030">
        <f t="shared" si="71"/>
        <v>0</v>
      </c>
      <c r="AX746" s="1030">
        <f>INDEX(V746:AG746,1,MATCH(Parametres!$B$3,V$1:AG$1,0))*IF(OR(C746="L",C746="S",C746="I"),-1,1)</f>
        <v>0</v>
      </c>
      <c r="AY746" s="598" t="s">
        <v>337</v>
      </c>
      <c r="AZ746" s="598" t="e">
        <f>+VLOOKUP($AJ746,Data_Validation!$A:$E,5,0)</f>
        <v>#N/A</v>
      </c>
    </row>
    <row r="747" spans="1:52" ht="15" customHeight="1">
      <c r="A747" s="832" t="s">
        <v>1150</v>
      </c>
      <c r="B747" s="832">
        <v>2025</v>
      </c>
      <c r="C747" s="832" t="s">
        <v>2616</v>
      </c>
      <c r="D747" s="832" t="s">
        <v>2617</v>
      </c>
      <c r="E747" s="832" t="s">
        <v>333</v>
      </c>
      <c r="F747" s="832" t="s">
        <v>2438</v>
      </c>
      <c r="G747" s="832">
        <v>0</v>
      </c>
      <c r="H747" s="832">
        <v>0</v>
      </c>
      <c r="I747" s="832">
        <v>0</v>
      </c>
      <c r="J747" s="832">
        <v>0</v>
      </c>
      <c r="K747" s="832">
        <v>0</v>
      </c>
      <c r="L747" s="832">
        <v>0</v>
      </c>
      <c r="M747" s="832">
        <v>0</v>
      </c>
      <c r="N747" s="832">
        <v>0</v>
      </c>
      <c r="O747" s="832">
        <v>0</v>
      </c>
      <c r="P747" s="832">
        <v>0</v>
      </c>
      <c r="Q747" s="832">
        <v>0</v>
      </c>
      <c r="R747" s="832">
        <v>0</v>
      </c>
      <c r="S747" s="832">
        <v>0</v>
      </c>
      <c r="T747" s="832">
        <v>0</v>
      </c>
      <c r="U747" s="832">
        <v>0</v>
      </c>
      <c r="V747" s="832">
        <v>0</v>
      </c>
      <c r="W747" s="832">
        <v>0</v>
      </c>
      <c r="X747" s="832">
        <v>0</v>
      </c>
      <c r="Y747" s="832">
        <v>0</v>
      </c>
      <c r="Z747" s="832">
        <v>0</v>
      </c>
      <c r="AA747" s="832">
        <v>0</v>
      </c>
      <c r="AB747" s="832">
        <v>0</v>
      </c>
      <c r="AC747" s="832">
        <v>0</v>
      </c>
      <c r="AD747" s="832">
        <v>0</v>
      </c>
      <c r="AE747" s="832">
        <v>0</v>
      </c>
      <c r="AF747" s="832">
        <v>0</v>
      </c>
      <c r="AG747" s="832">
        <v>0</v>
      </c>
      <c r="AH747" s="832">
        <v>0</v>
      </c>
      <c r="AI747" s="832">
        <v>0</v>
      </c>
      <c r="AJ747" s="1030" t="str">
        <f t="shared" si="72"/>
        <v>H47800</v>
      </c>
      <c r="AK747" s="1030" t="str">
        <f t="shared" si="73"/>
        <v>CT M.O DIVERSES (AUTOS)_</v>
      </c>
      <c r="AL747" s="1030">
        <f>IFERROR(INDEX(G747:R747,1,MATCH(Parametres!$B$3,G$1:R$1,0)-1)*IF(OR(F747="L",F747="S",F747="I"),-1,1),"")</f>
        <v>0</v>
      </c>
      <c r="AM747" s="1030">
        <f t="shared" si="68"/>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t="str">
        <f t="shared" si="69"/>
        <v>H47800</v>
      </c>
      <c r="AU747" s="599" t="str">
        <f t="shared" si="70"/>
        <v>CT M.O DIVERSES (AUTOS)_</v>
      </c>
      <c r="AV747" s="1030">
        <f>IFERROR(INDEX(V747:AG747,1,MATCH(Parametres!$B$3,V$1:AG$1,0)-1)*IF(OR(C747="L",C747="S",C747="I"),-1,1),"")</f>
        <v>0</v>
      </c>
      <c r="AW747" s="1030">
        <f t="shared" si="71"/>
        <v>0</v>
      </c>
      <c r="AX747" s="1030">
        <f>INDEX(V747:AG747,1,MATCH(Parametres!$B$3,V$1:AG$1,0))*IF(OR(C747="L",C747="S",C747="I"),-1,1)</f>
        <v>0</v>
      </c>
      <c r="AY747" s="598" t="s">
        <v>337</v>
      </c>
      <c r="AZ747" s="598" t="e">
        <f>+VLOOKUP($AJ747,Data_Validation!$A:$E,5,0)</f>
        <v>#N/A</v>
      </c>
    </row>
    <row r="748" spans="1:52" ht="15" customHeight="1">
      <c r="A748" s="832" t="s">
        <v>1150</v>
      </c>
      <c r="B748" s="832">
        <v>2025</v>
      </c>
      <c r="C748" s="832" t="s">
        <v>2618</v>
      </c>
      <c r="D748" s="832" t="s">
        <v>2619</v>
      </c>
      <c r="E748" s="832" t="s">
        <v>333</v>
      </c>
      <c r="F748" s="832" t="s">
        <v>2438</v>
      </c>
      <c r="G748" s="832">
        <v>104.46</v>
      </c>
      <c r="H748" s="832">
        <v>104.46</v>
      </c>
      <c r="I748" s="832">
        <v>5006.97</v>
      </c>
      <c r="J748" s="832">
        <v>10200.31</v>
      </c>
      <c r="K748" s="832">
        <v>7500.9</v>
      </c>
      <c r="L748" s="832">
        <v>12929.53</v>
      </c>
      <c r="M748" s="832">
        <v>15420.45</v>
      </c>
      <c r="N748" s="832">
        <v>17991</v>
      </c>
      <c r="O748" s="832">
        <v>22677.37</v>
      </c>
      <c r="P748" s="832">
        <v>25522.63</v>
      </c>
      <c r="Q748" s="832">
        <v>30621.21</v>
      </c>
      <c r="R748" s="832">
        <v>31961.65</v>
      </c>
      <c r="S748" s="832">
        <v>2783.75</v>
      </c>
      <c r="T748" s="832">
        <v>2783.75</v>
      </c>
      <c r="U748" s="832">
        <v>0</v>
      </c>
      <c r="V748" s="832">
        <v>0</v>
      </c>
      <c r="W748" s="832">
        <v>0</v>
      </c>
      <c r="X748" s="832">
        <v>0</v>
      </c>
      <c r="Y748" s="832">
        <v>0</v>
      </c>
      <c r="Z748" s="832">
        <v>0</v>
      </c>
      <c r="AA748" s="832">
        <v>0</v>
      </c>
      <c r="AB748" s="832">
        <v>0</v>
      </c>
      <c r="AC748" s="832">
        <v>0</v>
      </c>
      <c r="AD748" s="832">
        <v>0</v>
      </c>
      <c r="AE748" s="832">
        <v>0</v>
      </c>
      <c r="AF748" s="832">
        <v>0</v>
      </c>
      <c r="AG748" s="832">
        <v>0</v>
      </c>
      <c r="AH748" s="832">
        <v>0</v>
      </c>
      <c r="AI748" s="832">
        <v>0</v>
      </c>
      <c r="AJ748" s="1030" t="str">
        <f t="shared" si="72"/>
        <v>H48000</v>
      </c>
      <c r="AK748" s="1030" t="str">
        <f t="shared" si="73"/>
        <v>CT TEMPS MORT - MECANIQUE</v>
      </c>
      <c r="AL748" s="1030">
        <f>IFERROR(INDEX(G748:R748,1,MATCH(Parametres!$B$3,G$1:R$1,0)-1)*IF(OR(F748="L",F748="S",F748="I"),-1,1),"")</f>
        <v>10200.31</v>
      </c>
      <c r="AM748" s="1030">
        <f t="shared" si="68"/>
        <v>-2699.41</v>
      </c>
      <c r="AN748" s="1030">
        <f>INDEX(G748:R748,1,MATCH(Parametres!$B$3,G$1:R$1,0))*IF(OR(F748="L",F748="S",F748="I"),-1,1)</f>
        <v>7500.9</v>
      </c>
      <c r="AO748" s="598" t="str">
        <f>+VLOOKUP($AJ748,Data_Validation!$A:$D,1,0)</f>
        <v>H48000</v>
      </c>
      <c r="AP748" s="598" t="str">
        <f>+VLOOKUP($AJ748,Data_Validation!$A:$D,3,0)</f>
        <v>Service</v>
      </c>
      <c r="AQ748" s="598" t="str">
        <f>+VLOOKUP($AJ748,Data_Validation!$A:$D,4,0)</f>
        <v>Ajustement M/O</v>
      </c>
      <c r="AR748" s="598" t="s">
        <v>299</v>
      </c>
      <c r="AS748" s="598">
        <f>+VLOOKUP($AJ748,Data_Validation!$A:$E,5,0)</f>
        <v>0</v>
      </c>
      <c r="AT748" s="1036" t="str">
        <f t="shared" si="69"/>
        <v>H48000</v>
      </c>
      <c r="AU748" s="599" t="str">
        <f t="shared" si="70"/>
        <v>CT TEMPS MORT - MECANIQUE</v>
      </c>
      <c r="AV748" s="1030">
        <f>IFERROR(INDEX(V748:AG748,1,MATCH(Parametres!$B$3,V$1:AG$1,0)-1)*IF(OR(C748="L",C748="S",C748="I"),-1,1),"")</f>
        <v>0</v>
      </c>
      <c r="AW748" s="1030">
        <f t="shared" si="71"/>
        <v>0</v>
      </c>
      <c r="AX748" s="1030">
        <f>INDEX(V748:AG748,1,MATCH(Parametres!$B$3,V$1:AG$1,0))*IF(OR(C748="L",C748="S",C748="I"),-1,1)</f>
        <v>0</v>
      </c>
      <c r="AY748" s="598" t="s">
        <v>337</v>
      </c>
      <c r="AZ748" s="598">
        <f>+VLOOKUP($AJ748,Data_Validation!$A:$E,5,0)</f>
        <v>0</v>
      </c>
    </row>
    <row r="749" spans="1:52" ht="15" customHeight="1">
      <c r="A749" s="832" t="s">
        <v>1150</v>
      </c>
      <c r="B749" s="832">
        <v>2025</v>
      </c>
      <c r="C749" s="832" t="s">
        <v>2620</v>
      </c>
      <c r="D749" s="832" t="s">
        <v>2621</v>
      </c>
      <c r="E749" s="832" t="s">
        <v>333</v>
      </c>
      <c r="F749" s="832" t="s">
        <v>2438</v>
      </c>
      <c r="G749" s="832">
        <v>0</v>
      </c>
      <c r="H749" s="832">
        <v>0</v>
      </c>
      <c r="I749" s="832">
        <v>0</v>
      </c>
      <c r="J749" s="832">
        <v>0</v>
      </c>
      <c r="K749" s="832">
        <v>0</v>
      </c>
      <c r="L749" s="832">
        <v>0</v>
      </c>
      <c r="M749" s="832">
        <v>0</v>
      </c>
      <c r="N749" s="832">
        <v>0</v>
      </c>
      <c r="O749" s="832">
        <v>0</v>
      </c>
      <c r="P749" s="832">
        <v>0</v>
      </c>
      <c r="Q749" s="832">
        <v>0</v>
      </c>
      <c r="R749" s="832">
        <v>0</v>
      </c>
      <c r="S749" s="832">
        <v>0</v>
      </c>
      <c r="T749" s="832">
        <v>0</v>
      </c>
      <c r="U749" s="832">
        <v>0</v>
      </c>
      <c r="V749" s="832">
        <v>0</v>
      </c>
      <c r="W749" s="832">
        <v>0</v>
      </c>
      <c r="X749" s="832">
        <v>0</v>
      </c>
      <c r="Y749" s="832">
        <v>0</v>
      </c>
      <c r="Z749" s="832">
        <v>0</v>
      </c>
      <c r="AA749" s="832">
        <v>0</v>
      </c>
      <c r="AB749" s="832">
        <v>0</v>
      </c>
      <c r="AC749" s="832">
        <v>0</v>
      </c>
      <c r="AD749" s="832">
        <v>0</v>
      </c>
      <c r="AE749" s="832">
        <v>0</v>
      </c>
      <c r="AF749" s="832">
        <v>0</v>
      </c>
      <c r="AG749" s="832">
        <v>0</v>
      </c>
      <c r="AH749" s="832">
        <v>0</v>
      </c>
      <c r="AI749" s="832">
        <v>0</v>
      </c>
      <c r="AJ749" s="1030" t="str">
        <f t="shared" si="72"/>
        <v>H48100</v>
      </c>
      <c r="AK749" s="1030" t="str">
        <f t="shared" si="73"/>
        <v>CT TEMPS MORT-CARR/PEINT.</v>
      </c>
      <c r="AL749" s="1030">
        <f>IFERROR(INDEX(G749:R749,1,MATCH(Parametres!$B$3,G$1:R$1,0)-1)*IF(OR(F749="L",F749="S",F749="I"),-1,1),"")</f>
        <v>0</v>
      </c>
      <c r="AM749" s="1030">
        <f t="shared" si="68"/>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t="str">
        <f t="shared" si="69"/>
        <v>H48100</v>
      </c>
      <c r="AU749" s="599" t="str">
        <f t="shared" si="70"/>
        <v>CT TEMPS MORT-CARR/PEINT.</v>
      </c>
      <c r="AV749" s="1030">
        <f>IFERROR(INDEX(V749:AG749,1,MATCH(Parametres!$B$3,V$1:AG$1,0)-1)*IF(OR(C749="L",C749="S",C749="I"),-1,1),"")</f>
        <v>0</v>
      </c>
      <c r="AW749" s="1030">
        <f t="shared" si="71"/>
        <v>0</v>
      </c>
      <c r="AX749" s="1030">
        <f>INDEX(V749:AG749,1,MATCH(Parametres!$B$3,V$1:AG$1,0))*IF(OR(C749="L",C749="S",C749="I"),-1,1)</f>
        <v>0</v>
      </c>
      <c r="AY749" s="598" t="s">
        <v>337</v>
      </c>
      <c r="AZ749" s="598" t="e">
        <f>+VLOOKUP($AJ749,Data_Validation!$A:$E,5,0)</f>
        <v>#N/A</v>
      </c>
    </row>
    <row r="750" spans="1:52" ht="15" customHeight="1">
      <c r="A750" s="832" t="s">
        <v>1150</v>
      </c>
      <c r="B750" s="832">
        <v>2025</v>
      </c>
      <c r="C750" s="832" t="s">
        <v>2622</v>
      </c>
      <c r="D750" s="832" t="s">
        <v>2623</v>
      </c>
      <c r="E750" s="832" t="s">
        <v>333</v>
      </c>
      <c r="F750" s="832" t="s">
        <v>2438</v>
      </c>
      <c r="G750" s="832">
        <v>40273.910000000003</v>
      </c>
      <c r="H750" s="832">
        <v>65488.02</v>
      </c>
      <c r="I750" s="832">
        <v>96274.8</v>
      </c>
      <c r="J750" s="832">
        <v>151538.16</v>
      </c>
      <c r="K750" s="832">
        <v>197918.95</v>
      </c>
      <c r="L750" s="832">
        <v>234938.89</v>
      </c>
      <c r="M750" s="832">
        <v>267731</v>
      </c>
      <c r="N750" s="832">
        <v>311099.40999999997</v>
      </c>
      <c r="O750" s="832">
        <v>337272.02</v>
      </c>
      <c r="P750" s="832">
        <v>396463.95</v>
      </c>
      <c r="Q750" s="832">
        <v>449478.52</v>
      </c>
      <c r="R750" s="832">
        <v>481962.95</v>
      </c>
      <c r="S750" s="832">
        <v>40861.68</v>
      </c>
      <c r="T750" s="832">
        <v>40861.68</v>
      </c>
      <c r="U750" s="832">
        <v>0</v>
      </c>
      <c r="V750" s="832">
        <v>0</v>
      </c>
      <c r="W750" s="832">
        <v>0</v>
      </c>
      <c r="X750" s="832">
        <v>0</v>
      </c>
      <c r="Y750" s="832">
        <v>0</v>
      </c>
      <c r="Z750" s="832">
        <v>0</v>
      </c>
      <c r="AA750" s="832">
        <v>0</v>
      </c>
      <c r="AB750" s="832">
        <v>0</v>
      </c>
      <c r="AC750" s="832">
        <v>0</v>
      </c>
      <c r="AD750" s="832">
        <v>0</v>
      </c>
      <c r="AE750" s="832">
        <v>0</v>
      </c>
      <c r="AF750" s="832">
        <v>0</v>
      </c>
      <c r="AG750" s="832">
        <v>0</v>
      </c>
      <c r="AH750" s="832">
        <v>0</v>
      </c>
      <c r="AI750" s="832">
        <v>0</v>
      </c>
      <c r="AJ750" s="1030" t="str">
        <f t="shared" si="72"/>
        <v>H48200</v>
      </c>
      <c r="AK750" s="1030" t="str">
        <f t="shared" si="73"/>
        <v>CT M.O S-TRAITANCE - MEC</v>
      </c>
      <c r="AL750" s="1030">
        <f>IFERROR(INDEX(G750:R750,1,MATCH(Parametres!$B$3,G$1:R$1,0)-1)*IF(OR(F750="L",F750="S",F750="I"),-1,1),"")</f>
        <v>151538.16</v>
      </c>
      <c r="AM750" s="1030">
        <f t="shared" si="68"/>
        <v>46380.790000000008</v>
      </c>
      <c r="AN750" s="1030">
        <f>INDEX(G750:R750,1,MATCH(Parametres!$B$3,G$1:R$1,0))*IF(OR(F750="L",F750="S",F750="I"),-1,1)</f>
        <v>197918.95</v>
      </c>
      <c r="AO750" s="598" t="str">
        <f>+VLOOKUP($AJ750,Data_Validation!$A:$D,1,0)</f>
        <v>H48200</v>
      </c>
      <c r="AP750" s="598" t="str">
        <f>+VLOOKUP($AJ750,Data_Validation!$A:$D,3,0)</f>
        <v>Service</v>
      </c>
      <c r="AQ750" s="598" t="str">
        <f>+VLOOKUP($AJ750,Data_Validation!$A:$D,4,0)</f>
        <v>Sous-traitement</v>
      </c>
      <c r="AR750" s="598" t="s">
        <v>299</v>
      </c>
      <c r="AS750" s="598">
        <f>+VLOOKUP($AJ750,Data_Validation!$A:$E,5,0)</f>
        <v>0</v>
      </c>
      <c r="AT750" s="1036" t="str">
        <f t="shared" si="69"/>
        <v>H48200</v>
      </c>
      <c r="AU750" s="599" t="str">
        <f t="shared" si="70"/>
        <v>CT M.O S-TRAITANCE - MEC</v>
      </c>
      <c r="AV750" s="1030">
        <f>IFERROR(INDEX(V750:AG750,1,MATCH(Parametres!$B$3,V$1:AG$1,0)-1)*IF(OR(C750="L",C750="S",C750="I"),-1,1),"")</f>
        <v>0</v>
      </c>
      <c r="AW750" s="1030">
        <f t="shared" si="71"/>
        <v>0</v>
      </c>
      <c r="AX750" s="1030">
        <f>INDEX(V750:AG750,1,MATCH(Parametres!$B$3,V$1:AG$1,0))*IF(OR(C750="L",C750="S",C750="I"),-1,1)</f>
        <v>0</v>
      </c>
      <c r="AY750" s="598" t="s">
        <v>337</v>
      </c>
      <c r="AZ750" s="598">
        <f>+VLOOKUP($AJ750,Data_Validation!$A:$E,5,0)</f>
        <v>0</v>
      </c>
    </row>
    <row r="751" spans="1:52" ht="15" customHeight="1">
      <c r="A751" s="832" t="s">
        <v>1150</v>
      </c>
      <c r="B751" s="832">
        <v>2025</v>
      </c>
      <c r="C751" s="832" t="s">
        <v>2624</v>
      </c>
      <c r="D751" s="832" t="s">
        <v>2625</v>
      </c>
      <c r="E751" s="832" t="s">
        <v>333</v>
      </c>
      <c r="F751" s="832" t="s">
        <v>2438</v>
      </c>
      <c r="G751" s="832">
        <v>0</v>
      </c>
      <c r="H751" s="832">
        <v>0</v>
      </c>
      <c r="I751" s="832">
        <v>0</v>
      </c>
      <c r="J751" s="832">
        <v>0</v>
      </c>
      <c r="K751" s="832">
        <v>0</v>
      </c>
      <c r="L751" s="832">
        <v>0</v>
      </c>
      <c r="M751" s="832">
        <v>0</v>
      </c>
      <c r="N751" s="832">
        <v>0</v>
      </c>
      <c r="O751" s="832">
        <v>0</v>
      </c>
      <c r="P751" s="832">
        <v>0</v>
      </c>
      <c r="Q751" s="832">
        <v>0</v>
      </c>
      <c r="R751" s="832">
        <v>0</v>
      </c>
      <c r="S751" s="832">
        <v>0</v>
      </c>
      <c r="T751" s="832">
        <v>0</v>
      </c>
      <c r="U751" s="832">
        <v>0</v>
      </c>
      <c r="V751" s="832">
        <v>0</v>
      </c>
      <c r="W751" s="832">
        <v>0</v>
      </c>
      <c r="X751" s="832">
        <v>0</v>
      </c>
      <c r="Y751" s="832">
        <v>0</v>
      </c>
      <c r="Z751" s="832">
        <v>0</v>
      </c>
      <c r="AA751" s="832">
        <v>0</v>
      </c>
      <c r="AB751" s="832">
        <v>0</v>
      </c>
      <c r="AC751" s="832">
        <v>0</v>
      </c>
      <c r="AD751" s="832">
        <v>0</v>
      </c>
      <c r="AE751" s="832">
        <v>0</v>
      </c>
      <c r="AF751" s="832">
        <v>0</v>
      </c>
      <c r="AG751" s="832">
        <v>0</v>
      </c>
      <c r="AH751" s="832">
        <v>0</v>
      </c>
      <c r="AI751" s="832">
        <v>0</v>
      </c>
      <c r="AJ751" s="1030" t="str">
        <f t="shared" si="72"/>
        <v>H48210</v>
      </c>
      <c r="AK751" s="1030" t="str">
        <f t="shared" si="73"/>
        <v>CT SOUS TRAITANCE HPP</v>
      </c>
      <c r="AL751" s="1030">
        <f>IFERROR(INDEX(G751:R751,1,MATCH(Parametres!$B$3,G$1:R$1,0)-1)*IF(OR(F751="L",F751="S",F751="I"),-1,1),"")</f>
        <v>0</v>
      </c>
      <c r="AM751" s="1030">
        <f t="shared" si="68"/>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t="str">
        <f t="shared" si="69"/>
        <v>H48210</v>
      </c>
      <c r="AU751" s="599" t="str">
        <f t="shared" si="70"/>
        <v>CT SOUS TRAITANCE HPP</v>
      </c>
      <c r="AV751" s="1030">
        <f>IFERROR(INDEX(V751:AG751,1,MATCH(Parametres!$B$3,V$1:AG$1,0)-1)*IF(OR(C751="L",C751="S",C751="I"),-1,1),"")</f>
        <v>0</v>
      </c>
      <c r="AW751" s="1030">
        <f t="shared" si="71"/>
        <v>0</v>
      </c>
      <c r="AX751" s="1030">
        <f>INDEX(V751:AG751,1,MATCH(Parametres!$B$3,V$1:AG$1,0))*IF(OR(C751="L",C751="S",C751="I"),-1,1)</f>
        <v>0</v>
      </c>
      <c r="AY751" s="598" t="s">
        <v>337</v>
      </c>
      <c r="AZ751" s="598" t="e">
        <f>+VLOOKUP($AJ751,Data_Validation!$A:$E,5,0)</f>
        <v>#N/A</v>
      </c>
    </row>
    <row r="752" spans="1:52" ht="15" customHeight="1">
      <c r="A752" s="832" t="s">
        <v>1150</v>
      </c>
      <c r="B752" s="832">
        <v>2025</v>
      </c>
      <c r="C752" s="832" t="s">
        <v>2626</v>
      </c>
      <c r="D752" s="832" t="s">
        <v>2627</v>
      </c>
      <c r="E752" s="832" t="s">
        <v>333</v>
      </c>
      <c r="F752" s="832" t="s">
        <v>2438</v>
      </c>
      <c r="G752" s="832">
        <v>0</v>
      </c>
      <c r="H752" s="832">
        <v>0</v>
      </c>
      <c r="I752" s="832">
        <v>0</v>
      </c>
      <c r="J752" s="832">
        <v>0</v>
      </c>
      <c r="K752" s="832">
        <v>0</v>
      </c>
      <c r="L752" s="832">
        <v>0</v>
      </c>
      <c r="M752" s="832">
        <v>0</v>
      </c>
      <c r="N752" s="832">
        <v>0</v>
      </c>
      <c r="O752" s="832">
        <v>0</v>
      </c>
      <c r="P752" s="832">
        <v>0</v>
      </c>
      <c r="Q752" s="832">
        <v>0</v>
      </c>
      <c r="R752" s="832">
        <v>0</v>
      </c>
      <c r="S752" s="832">
        <v>0</v>
      </c>
      <c r="T752" s="832">
        <v>0</v>
      </c>
      <c r="U752" s="832">
        <v>0</v>
      </c>
      <c r="V752" s="832">
        <v>0</v>
      </c>
      <c r="W752" s="832">
        <v>0</v>
      </c>
      <c r="X752" s="832">
        <v>0</v>
      </c>
      <c r="Y752" s="832">
        <v>0</v>
      </c>
      <c r="Z752" s="832">
        <v>0</v>
      </c>
      <c r="AA752" s="832">
        <v>0</v>
      </c>
      <c r="AB752" s="832">
        <v>0</v>
      </c>
      <c r="AC752" s="832">
        <v>0</v>
      </c>
      <c r="AD752" s="832">
        <v>0</v>
      </c>
      <c r="AE752" s="832">
        <v>0</v>
      </c>
      <c r="AF752" s="832">
        <v>0</v>
      </c>
      <c r="AG752" s="832">
        <v>0</v>
      </c>
      <c r="AH752" s="832">
        <v>0</v>
      </c>
      <c r="AI752" s="832">
        <v>0</v>
      </c>
      <c r="AJ752" s="1030" t="str">
        <f t="shared" si="72"/>
        <v>H48300</v>
      </c>
      <c r="AK752" s="1030" t="str">
        <f t="shared" si="73"/>
        <v>CT ENTREPOSAGE DE PNEU</v>
      </c>
      <c r="AL752" s="1030">
        <f>IFERROR(INDEX(G752:R752,1,MATCH(Parametres!$B$3,G$1:R$1,0)-1)*IF(OR(F752="L",F752="S",F752="I"),-1,1),"")</f>
        <v>0</v>
      </c>
      <c r="AM752" s="1030">
        <f t="shared" si="68"/>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t="str">
        <f t="shared" si="69"/>
        <v>H48300</v>
      </c>
      <c r="AU752" s="599" t="str">
        <f t="shared" si="70"/>
        <v>CT ENTREPOSAGE DE PNEU</v>
      </c>
      <c r="AV752" s="1030">
        <f>IFERROR(INDEX(V752:AG752,1,MATCH(Parametres!$B$3,V$1:AG$1,0)-1)*IF(OR(C752="L",C752="S",C752="I"),-1,1),"")</f>
        <v>0</v>
      </c>
      <c r="AW752" s="1030">
        <f t="shared" si="71"/>
        <v>0</v>
      </c>
      <c r="AX752" s="1030">
        <f>INDEX(V752:AG752,1,MATCH(Parametres!$B$3,V$1:AG$1,0))*IF(OR(C752="L",C752="S",C752="I"),-1,1)</f>
        <v>0</v>
      </c>
      <c r="AY752" s="598" t="s">
        <v>337</v>
      </c>
      <c r="AZ752" s="598" t="e">
        <f>+VLOOKUP($AJ752,Data_Validation!$A:$E,5,0)</f>
        <v>#N/A</v>
      </c>
    </row>
    <row r="753" spans="1:52" ht="15" customHeight="1">
      <c r="A753" s="832" t="s">
        <v>1150</v>
      </c>
      <c r="B753" s="832">
        <v>2025</v>
      </c>
      <c r="C753" s="832" t="s">
        <v>2628</v>
      </c>
      <c r="D753" s="832" t="s">
        <v>2629</v>
      </c>
      <c r="E753" s="832" t="s">
        <v>333</v>
      </c>
      <c r="F753" s="832" t="s">
        <v>2438</v>
      </c>
      <c r="G753" s="832">
        <v>10423.48</v>
      </c>
      <c r="H753" s="832">
        <v>18557.009999999998</v>
      </c>
      <c r="I753" s="832">
        <v>28339.13</v>
      </c>
      <c r="J753" s="832">
        <v>44879.69</v>
      </c>
      <c r="K753" s="832">
        <v>59473.23</v>
      </c>
      <c r="L753" s="832">
        <v>72752.61</v>
      </c>
      <c r="M753" s="832">
        <v>83189.91</v>
      </c>
      <c r="N753" s="832">
        <v>90860.61</v>
      </c>
      <c r="O753" s="832">
        <v>100142.33</v>
      </c>
      <c r="P753" s="832">
        <v>114313.08</v>
      </c>
      <c r="Q753" s="832">
        <v>129624.32000000001</v>
      </c>
      <c r="R753" s="832">
        <v>139129.14000000001</v>
      </c>
      <c r="S753" s="832">
        <v>11784.03</v>
      </c>
      <c r="T753" s="832">
        <v>11784.03</v>
      </c>
      <c r="U753" s="832">
        <v>0</v>
      </c>
      <c r="V753" s="832">
        <v>0</v>
      </c>
      <c r="W753" s="832">
        <v>0</v>
      </c>
      <c r="X753" s="832">
        <v>0</v>
      </c>
      <c r="Y753" s="832">
        <v>0</v>
      </c>
      <c r="Z753" s="832">
        <v>0</v>
      </c>
      <c r="AA753" s="832">
        <v>0</v>
      </c>
      <c r="AB753" s="832">
        <v>0</v>
      </c>
      <c r="AC753" s="832">
        <v>0</v>
      </c>
      <c r="AD753" s="832">
        <v>0</v>
      </c>
      <c r="AE753" s="832">
        <v>0</v>
      </c>
      <c r="AF753" s="832">
        <v>0</v>
      </c>
      <c r="AG753" s="832">
        <v>0</v>
      </c>
      <c r="AH753" s="832">
        <v>0</v>
      </c>
      <c r="AI753" s="832">
        <v>0</v>
      </c>
      <c r="AJ753" s="1030" t="str">
        <f t="shared" si="72"/>
        <v>H48400</v>
      </c>
      <c r="AK753" s="1030" t="str">
        <f t="shared" si="73"/>
        <v>CT HUILE-GRAISSE</v>
      </c>
      <c r="AL753" s="1030">
        <f>IFERROR(INDEX(G753:R753,1,MATCH(Parametres!$B$3,G$1:R$1,0)-1)*IF(OR(F753="L",F753="S",F753="I"),-1,1),"")</f>
        <v>44879.69</v>
      </c>
      <c r="AM753" s="1030">
        <f t="shared" si="68"/>
        <v>14593.54</v>
      </c>
      <c r="AN753" s="1030">
        <f>INDEX(G753:R753,1,MATCH(Parametres!$B$3,G$1:R$1,0))*IF(OR(F753="L",F753="S",F753="I"),-1,1)</f>
        <v>59473.23</v>
      </c>
      <c r="AO753" s="598" t="str">
        <f>+VLOOKUP($AJ753,Data_Validation!$A:$D,1,0)</f>
        <v>H48400</v>
      </c>
      <c r="AP753" s="598" t="str">
        <f>+VLOOKUP($AJ753,Data_Validation!$A:$D,3,0)</f>
        <v>Pièces</v>
      </c>
      <c r="AQ753" s="598" t="str">
        <f>+VLOOKUP($AJ753,Data_Validation!$A:$D,4,0)</f>
        <v>Huiles et Graisse</v>
      </c>
      <c r="AR753" s="598" t="s">
        <v>299</v>
      </c>
      <c r="AS753" s="598">
        <f>+VLOOKUP($AJ753,Data_Validation!$A:$E,5,0)</f>
        <v>0</v>
      </c>
      <c r="AT753" s="1036" t="str">
        <f t="shared" si="69"/>
        <v>H48400</v>
      </c>
      <c r="AU753" s="599" t="str">
        <f t="shared" si="70"/>
        <v>CT HUILE-GRAISSE</v>
      </c>
      <c r="AV753" s="1030">
        <f>IFERROR(INDEX(V753:AG753,1,MATCH(Parametres!$B$3,V$1:AG$1,0)-1)*IF(OR(C753="L",C753="S",C753="I"),-1,1),"")</f>
        <v>0</v>
      </c>
      <c r="AW753" s="1030">
        <f t="shared" si="71"/>
        <v>0</v>
      </c>
      <c r="AX753" s="1030">
        <f>INDEX(V753:AG753,1,MATCH(Parametres!$B$3,V$1:AG$1,0))*IF(OR(C753="L",C753="S",C753="I"),-1,1)</f>
        <v>0</v>
      </c>
      <c r="AY753" s="598" t="s">
        <v>337</v>
      </c>
      <c r="AZ753" s="598">
        <f>+VLOOKUP($AJ753,Data_Validation!$A:$E,5,0)</f>
        <v>0</v>
      </c>
    </row>
    <row r="754" spans="1:52" ht="15" customHeight="1">
      <c r="A754" s="832" t="s">
        <v>1150</v>
      </c>
      <c r="B754" s="832">
        <v>2025</v>
      </c>
      <c r="C754" s="832" t="s">
        <v>2630</v>
      </c>
      <c r="D754" s="832" t="s">
        <v>2631</v>
      </c>
      <c r="E754" s="832" t="s">
        <v>333</v>
      </c>
      <c r="F754" s="832" t="s">
        <v>2438</v>
      </c>
      <c r="G754" s="832">
        <v>3859.85</v>
      </c>
      <c r="H754" s="832">
        <v>6049.37</v>
      </c>
      <c r="I754" s="832">
        <v>10059.82</v>
      </c>
      <c r="J754" s="832">
        <v>14540.11</v>
      </c>
      <c r="K754" s="832">
        <v>19563.5</v>
      </c>
      <c r="L754" s="832">
        <v>23979.49</v>
      </c>
      <c r="M754" s="832">
        <v>28899.21</v>
      </c>
      <c r="N754" s="832">
        <v>32685.64</v>
      </c>
      <c r="O754" s="832">
        <v>36835.379999999997</v>
      </c>
      <c r="P754" s="832">
        <v>40441.42</v>
      </c>
      <c r="Q754" s="832">
        <v>43010.42</v>
      </c>
      <c r="R754" s="832">
        <v>45175.48</v>
      </c>
      <c r="S754" s="832">
        <v>3910.04</v>
      </c>
      <c r="T754" s="832">
        <v>3910.04</v>
      </c>
      <c r="U754" s="832">
        <v>0</v>
      </c>
      <c r="V754" s="832">
        <v>0</v>
      </c>
      <c r="W754" s="832">
        <v>0</v>
      </c>
      <c r="X754" s="832">
        <v>0</v>
      </c>
      <c r="Y754" s="832">
        <v>0</v>
      </c>
      <c r="Z754" s="832">
        <v>0</v>
      </c>
      <c r="AA754" s="832">
        <v>0</v>
      </c>
      <c r="AB754" s="832">
        <v>0</v>
      </c>
      <c r="AC754" s="832">
        <v>0</v>
      </c>
      <c r="AD754" s="832">
        <v>0</v>
      </c>
      <c r="AE754" s="832">
        <v>0</v>
      </c>
      <c r="AF754" s="832">
        <v>0</v>
      </c>
      <c r="AG754" s="832">
        <v>0</v>
      </c>
      <c r="AH754" s="832">
        <v>0</v>
      </c>
      <c r="AI754" s="832">
        <v>0</v>
      </c>
      <c r="AJ754" s="1030" t="str">
        <f t="shared" si="72"/>
        <v>H48500</v>
      </c>
      <c r="AK754" s="1030" t="str">
        <f t="shared" si="73"/>
        <v>CT ESSENCE</v>
      </c>
      <c r="AL754" s="1030">
        <f>IFERROR(INDEX(G754:R754,1,MATCH(Parametres!$B$3,G$1:R$1,0)-1)*IF(OR(F754="L",F754="S",F754="I"),-1,1),"")</f>
        <v>14540.11</v>
      </c>
      <c r="AM754" s="1030">
        <f t="shared" si="68"/>
        <v>5023.3899999999994</v>
      </c>
      <c r="AN754" s="1030">
        <f>INDEX(G754:R754,1,MATCH(Parametres!$B$3,G$1:R$1,0))*IF(OR(F754="L",F754="S",F754="I"),-1,1)</f>
        <v>19563.5</v>
      </c>
      <c r="AO754" s="598" t="str">
        <f>+VLOOKUP($AJ754,Data_Validation!$A:$D,1,0)</f>
        <v>H48500</v>
      </c>
      <c r="AP754" s="598" t="str">
        <f>+VLOOKUP($AJ754,Data_Validation!$A:$D,3,0)</f>
        <v>Pièces</v>
      </c>
      <c r="AQ754" s="598" t="str">
        <f>+VLOOKUP($AJ754,Data_Validation!$A:$D,4,0)</f>
        <v>Huiles et Graisse</v>
      </c>
      <c r="AR754" s="598" t="s">
        <v>299</v>
      </c>
      <c r="AS754" s="598">
        <f>+VLOOKUP($AJ754,Data_Validation!$A:$E,5,0)</f>
        <v>0</v>
      </c>
      <c r="AT754" s="1036" t="str">
        <f t="shared" si="69"/>
        <v>H48500</v>
      </c>
      <c r="AU754" s="599" t="str">
        <f t="shared" si="70"/>
        <v>CT ESSENCE</v>
      </c>
      <c r="AV754" s="1030">
        <f>IFERROR(INDEX(V754:AG754,1,MATCH(Parametres!$B$3,V$1:AG$1,0)-1)*IF(OR(C754="L",C754="S",C754="I"),-1,1),"")</f>
        <v>0</v>
      </c>
      <c r="AW754" s="1030">
        <f t="shared" si="71"/>
        <v>0</v>
      </c>
      <c r="AX754" s="1030">
        <f>INDEX(V754:AG754,1,MATCH(Parametres!$B$3,V$1:AG$1,0))*IF(OR(C754="L",C754="S",C754="I"),-1,1)</f>
        <v>0</v>
      </c>
      <c r="AY754" s="598" t="s">
        <v>337</v>
      </c>
      <c r="AZ754" s="598">
        <f>+VLOOKUP($AJ754,Data_Validation!$A:$E,5,0)</f>
        <v>0</v>
      </c>
    </row>
    <row r="755" spans="1:52" ht="15" customHeight="1">
      <c r="A755" s="832" t="s">
        <v>1150</v>
      </c>
      <c r="B755" s="832">
        <v>2025</v>
      </c>
      <c r="C755" s="832" t="s">
        <v>2632</v>
      </c>
      <c r="D755" s="832" t="s">
        <v>2633</v>
      </c>
      <c r="E755" s="832" t="s">
        <v>333</v>
      </c>
      <c r="F755" s="832" t="s">
        <v>2438</v>
      </c>
      <c r="G755" s="832">
        <v>0</v>
      </c>
      <c r="H755" s="832">
        <v>0</v>
      </c>
      <c r="I755" s="832">
        <v>0</v>
      </c>
      <c r="J755" s="832">
        <v>0</v>
      </c>
      <c r="K755" s="832">
        <v>0</v>
      </c>
      <c r="L755" s="832">
        <v>0</v>
      </c>
      <c r="M755" s="832">
        <v>0</v>
      </c>
      <c r="N755" s="832">
        <v>0</v>
      </c>
      <c r="O755" s="832">
        <v>0</v>
      </c>
      <c r="P755" s="832">
        <v>0</v>
      </c>
      <c r="Q755" s="832">
        <v>0</v>
      </c>
      <c r="R755" s="832">
        <v>0</v>
      </c>
      <c r="S755" s="832">
        <v>0</v>
      </c>
      <c r="T755" s="832">
        <v>0</v>
      </c>
      <c r="U755" s="832">
        <v>0</v>
      </c>
      <c r="V755" s="832">
        <v>0</v>
      </c>
      <c r="W755" s="832">
        <v>0</v>
      </c>
      <c r="X755" s="832">
        <v>0</v>
      </c>
      <c r="Y755" s="832">
        <v>0</v>
      </c>
      <c r="Z755" s="832">
        <v>0</v>
      </c>
      <c r="AA755" s="832">
        <v>0</v>
      </c>
      <c r="AB755" s="832">
        <v>0</v>
      </c>
      <c r="AC755" s="832">
        <v>0</v>
      </c>
      <c r="AD755" s="832">
        <v>0</v>
      </c>
      <c r="AE755" s="832">
        <v>0</v>
      </c>
      <c r="AF755" s="832">
        <v>0</v>
      </c>
      <c r="AG755" s="832">
        <v>0</v>
      </c>
      <c r="AH755" s="832">
        <v>0</v>
      </c>
      <c r="AI755" s="832">
        <v>0</v>
      </c>
      <c r="AJ755" s="1030" t="str">
        <f t="shared" si="72"/>
        <v>H49000</v>
      </c>
      <c r="AK755" s="1030" t="str">
        <f t="shared" si="73"/>
        <v>CT OPERATION LOCATION</v>
      </c>
      <c r="AL755" s="1030">
        <f>IFERROR(INDEX(G755:R755,1,MATCH(Parametres!$B$3,G$1:R$1,0)-1)*IF(OR(F755="L",F755="S",F755="I"),-1,1),"")</f>
        <v>0</v>
      </c>
      <c r="AM755" s="1030">
        <f t="shared" si="68"/>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t="str">
        <f t="shared" si="69"/>
        <v>H49000</v>
      </c>
      <c r="AU755" s="599" t="str">
        <f t="shared" si="70"/>
        <v>CT OPERATION LOCATION</v>
      </c>
      <c r="AV755" s="1030">
        <f>IFERROR(INDEX(V755:AG755,1,MATCH(Parametres!$B$3,V$1:AG$1,0)-1)*IF(OR(C755="L",C755="S",C755="I"),-1,1),"")</f>
        <v>0</v>
      </c>
      <c r="AW755" s="1030">
        <f t="shared" si="71"/>
        <v>0</v>
      </c>
      <c r="AX755" s="1030">
        <f>INDEX(V755:AG755,1,MATCH(Parametres!$B$3,V$1:AG$1,0))*IF(OR(C755="L",C755="S",C755="I"),-1,1)</f>
        <v>0</v>
      </c>
      <c r="AY755" s="598" t="s">
        <v>337</v>
      </c>
      <c r="AZ755" s="598" t="e">
        <f>+VLOOKUP($AJ755,Data_Validation!$A:$E,5,0)</f>
        <v>#N/A</v>
      </c>
    </row>
    <row r="756" spans="1:52" ht="15" customHeight="1">
      <c r="A756" s="832" t="s">
        <v>1150</v>
      </c>
      <c r="B756" s="832">
        <v>2025</v>
      </c>
      <c r="C756" s="832" t="s">
        <v>2634</v>
      </c>
      <c r="D756" s="832" t="s">
        <v>2635</v>
      </c>
      <c r="E756" s="832" t="s">
        <v>333</v>
      </c>
      <c r="F756" s="832" t="s">
        <v>2438</v>
      </c>
      <c r="G756" s="832">
        <v>0</v>
      </c>
      <c r="H756" s="832">
        <v>0</v>
      </c>
      <c r="I756" s="832">
        <v>0</v>
      </c>
      <c r="J756" s="832">
        <v>0</v>
      </c>
      <c r="K756" s="832">
        <v>0</v>
      </c>
      <c r="L756" s="832">
        <v>0</v>
      </c>
      <c r="M756" s="832">
        <v>0</v>
      </c>
      <c r="N756" s="832">
        <v>0</v>
      </c>
      <c r="O756" s="832">
        <v>0</v>
      </c>
      <c r="P756" s="832">
        <v>0</v>
      </c>
      <c r="Q756" s="832">
        <v>0</v>
      </c>
      <c r="R756" s="832">
        <v>0</v>
      </c>
      <c r="S756" s="832">
        <v>0</v>
      </c>
      <c r="T756" s="832">
        <v>0</v>
      </c>
      <c r="U756" s="832">
        <v>0</v>
      </c>
      <c r="V756" s="832">
        <v>0</v>
      </c>
      <c r="W756" s="832">
        <v>0</v>
      </c>
      <c r="X756" s="832">
        <v>0</v>
      </c>
      <c r="Y756" s="832">
        <v>0</v>
      </c>
      <c r="Z756" s="832">
        <v>0</v>
      </c>
      <c r="AA756" s="832">
        <v>0</v>
      </c>
      <c r="AB756" s="832">
        <v>0</v>
      </c>
      <c r="AC756" s="832">
        <v>0</v>
      </c>
      <c r="AD756" s="832">
        <v>0</v>
      </c>
      <c r="AE756" s="832">
        <v>0</v>
      </c>
      <c r="AF756" s="832">
        <v>0</v>
      </c>
      <c r="AG756" s="832">
        <v>0</v>
      </c>
      <c r="AH756" s="832">
        <v>0</v>
      </c>
      <c r="AI756" s="832">
        <v>0</v>
      </c>
      <c r="AJ756" s="1030" t="str">
        <f t="shared" si="72"/>
        <v>H49100</v>
      </c>
      <c r="AK756" s="1030" t="str">
        <f t="shared" si="73"/>
        <v>FRAIS LOCATION CT &amp; LT</v>
      </c>
      <c r="AL756" s="1030">
        <f>IFERROR(INDEX(G756:R756,1,MATCH(Parametres!$B$3,G$1:R$1,0)-1)*IF(OR(F756="L",F756="S",F756="I"),-1,1),"")</f>
        <v>0</v>
      </c>
      <c r="AM756" s="1030">
        <f t="shared" si="68"/>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t="str">
        <f t="shared" si="69"/>
        <v>H49100</v>
      </c>
      <c r="AU756" s="599" t="str">
        <f t="shared" si="70"/>
        <v>FRAIS LOCATION CT &amp; LT</v>
      </c>
      <c r="AV756" s="1030">
        <f>IFERROR(INDEX(V756:AG756,1,MATCH(Parametres!$B$3,V$1:AG$1,0)-1)*IF(OR(C756="L",C756="S",C756="I"),-1,1),"")</f>
        <v>0</v>
      </c>
      <c r="AW756" s="1030">
        <f t="shared" si="71"/>
        <v>0</v>
      </c>
      <c r="AX756" s="1030">
        <f>INDEX(V756:AG756,1,MATCH(Parametres!$B$3,V$1:AG$1,0))*IF(OR(C756="L",C756="S",C756="I"),-1,1)</f>
        <v>0</v>
      </c>
      <c r="AY756" s="598" t="s">
        <v>337</v>
      </c>
      <c r="AZ756" s="598" t="e">
        <f>+VLOOKUP($AJ756,Data_Validation!$A:$E,5,0)</f>
        <v>#N/A</v>
      </c>
    </row>
    <row r="757" spans="1:52" ht="15" customHeight="1">
      <c r="A757" s="832" t="s">
        <v>1150</v>
      </c>
      <c r="B757" s="832">
        <v>2025</v>
      </c>
      <c r="C757" s="832" t="s">
        <v>2636</v>
      </c>
      <c r="D757" s="832" t="s">
        <v>2427</v>
      </c>
      <c r="E757" s="832" t="s">
        <v>333</v>
      </c>
      <c r="F757" s="832" t="s">
        <v>2438</v>
      </c>
      <c r="G757" s="832">
        <v>0</v>
      </c>
      <c r="H757" s="832">
        <v>0</v>
      </c>
      <c r="I757" s="832">
        <v>0</v>
      </c>
      <c r="J757" s="832">
        <v>0</v>
      </c>
      <c r="K757" s="832">
        <v>0</v>
      </c>
      <c r="L757" s="832">
        <v>0</v>
      </c>
      <c r="M757" s="832">
        <v>0</v>
      </c>
      <c r="N757" s="832">
        <v>0</v>
      </c>
      <c r="O757" s="832">
        <v>0</v>
      </c>
      <c r="P757" s="832">
        <v>0</v>
      </c>
      <c r="Q757" s="832">
        <v>0</v>
      </c>
      <c r="R757" s="832">
        <v>0</v>
      </c>
      <c r="S757" s="832">
        <v>0</v>
      </c>
      <c r="T757" s="832">
        <v>0</v>
      </c>
      <c r="U757" s="832">
        <v>0</v>
      </c>
      <c r="V757" s="832">
        <v>0</v>
      </c>
      <c r="W757" s="832">
        <v>0</v>
      </c>
      <c r="X757" s="832">
        <v>0</v>
      </c>
      <c r="Y757" s="832">
        <v>0</v>
      </c>
      <c r="Z757" s="832">
        <v>0</v>
      </c>
      <c r="AA757" s="832">
        <v>0</v>
      </c>
      <c r="AB757" s="832">
        <v>0</v>
      </c>
      <c r="AC757" s="832">
        <v>0</v>
      </c>
      <c r="AD757" s="832">
        <v>0</v>
      </c>
      <c r="AE757" s="832">
        <v>0</v>
      </c>
      <c r="AF757" s="832">
        <v>0</v>
      </c>
      <c r="AG757" s="832">
        <v>0</v>
      </c>
      <c r="AH757" s="832">
        <v>0</v>
      </c>
      <c r="AI757" s="832">
        <v>0</v>
      </c>
      <c r="AJ757" s="1030" t="str">
        <f t="shared" si="72"/>
        <v>H49200</v>
      </c>
      <c r="AK757" s="1030" t="str">
        <f t="shared" si="73"/>
        <v>GAIN/PERTE DISPOSITION</v>
      </c>
      <c r="AL757" s="1030">
        <f>IFERROR(INDEX(G757:R757,1,MATCH(Parametres!$B$3,G$1:R$1,0)-1)*IF(OR(F757="L",F757="S",F757="I"),-1,1),"")</f>
        <v>0</v>
      </c>
      <c r="AM757" s="1030">
        <f t="shared" si="68"/>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t="str">
        <f t="shared" si="69"/>
        <v>H49200</v>
      </c>
      <c r="AU757" s="599" t="str">
        <f t="shared" si="70"/>
        <v>GAIN/PERTE DISPOSITION</v>
      </c>
      <c r="AV757" s="1030">
        <f>IFERROR(INDEX(V757:AG757,1,MATCH(Parametres!$B$3,V$1:AG$1,0)-1)*IF(OR(C757="L",C757="S",C757="I"),-1,1),"")</f>
        <v>0</v>
      </c>
      <c r="AW757" s="1030">
        <f t="shared" si="71"/>
        <v>0</v>
      </c>
      <c r="AX757" s="1030">
        <f>INDEX(V757:AG757,1,MATCH(Parametres!$B$3,V$1:AG$1,0))*IF(OR(C757="L",C757="S",C757="I"),-1,1)</f>
        <v>0</v>
      </c>
      <c r="AY757" s="598" t="s">
        <v>337</v>
      </c>
      <c r="AZ757" s="598" t="e">
        <f>+VLOOKUP($AJ757,Data_Validation!$A:$E,5,0)</f>
        <v>#N/A</v>
      </c>
    </row>
    <row r="758" spans="1:52" ht="15" customHeight="1">
      <c r="A758" s="832" t="s">
        <v>1150</v>
      </c>
      <c r="B758" s="832">
        <v>2025</v>
      </c>
      <c r="C758" s="832" t="s">
        <v>2637</v>
      </c>
      <c r="D758" s="832" t="s">
        <v>2638</v>
      </c>
      <c r="E758" s="832" t="s">
        <v>333</v>
      </c>
      <c r="F758" s="832" t="s">
        <v>2438</v>
      </c>
      <c r="G758" s="832">
        <v>0</v>
      </c>
      <c r="H758" s="832">
        <v>0</v>
      </c>
      <c r="I758" s="832">
        <v>0</v>
      </c>
      <c r="J758" s="832">
        <v>0</v>
      </c>
      <c r="K758" s="832">
        <v>0</v>
      </c>
      <c r="L758" s="832">
        <v>0</v>
      </c>
      <c r="M758" s="832">
        <v>0</v>
      </c>
      <c r="N758" s="832">
        <v>0</v>
      </c>
      <c r="O758" s="832">
        <v>0</v>
      </c>
      <c r="P758" s="832">
        <v>0</v>
      </c>
      <c r="Q758" s="832">
        <v>0</v>
      </c>
      <c r="R758" s="832">
        <v>0</v>
      </c>
      <c r="S758" s="832">
        <v>0</v>
      </c>
      <c r="T758" s="832">
        <v>0</v>
      </c>
      <c r="U758" s="832">
        <v>0</v>
      </c>
      <c r="V758" s="832">
        <v>0</v>
      </c>
      <c r="W758" s="832">
        <v>0</v>
      </c>
      <c r="X758" s="832">
        <v>0</v>
      </c>
      <c r="Y758" s="832">
        <v>0</v>
      </c>
      <c r="Z758" s="832">
        <v>0</v>
      </c>
      <c r="AA758" s="832">
        <v>0</v>
      </c>
      <c r="AB758" s="832">
        <v>0</v>
      </c>
      <c r="AC758" s="832">
        <v>0</v>
      </c>
      <c r="AD758" s="832">
        <v>0</v>
      </c>
      <c r="AE758" s="832">
        <v>0</v>
      </c>
      <c r="AF758" s="832">
        <v>0</v>
      </c>
      <c r="AG758" s="832">
        <v>0</v>
      </c>
      <c r="AH758" s="832">
        <v>0</v>
      </c>
      <c r="AI758" s="832">
        <v>0</v>
      </c>
      <c r="AJ758" s="1030" t="str">
        <f t="shared" si="72"/>
        <v>H49300</v>
      </c>
      <c r="AK758" s="1030" t="str">
        <f t="shared" si="73"/>
        <v>CT AUTRE DEPARTEMENT</v>
      </c>
      <c r="AL758" s="1030">
        <f>IFERROR(INDEX(G758:R758,1,MATCH(Parametres!$B$3,G$1:R$1,0)-1)*IF(OR(F758="L",F758="S",F758="I"),-1,1),"")</f>
        <v>0</v>
      </c>
      <c r="AM758" s="1030">
        <f t="shared" si="68"/>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t="str">
        <f t="shared" si="69"/>
        <v>H49300</v>
      </c>
      <c r="AU758" s="599" t="str">
        <f t="shared" si="70"/>
        <v>CT AUTRE DEPARTEMENT</v>
      </c>
      <c r="AV758" s="1030">
        <f>IFERROR(INDEX(V758:AG758,1,MATCH(Parametres!$B$3,V$1:AG$1,0)-1)*IF(OR(C758="L",C758="S",C758="I"),-1,1),"")</f>
        <v>0</v>
      </c>
      <c r="AW758" s="1030">
        <f t="shared" si="71"/>
        <v>0</v>
      </c>
      <c r="AX758" s="1030">
        <f>INDEX(V758:AG758,1,MATCH(Parametres!$B$3,V$1:AG$1,0))*IF(OR(C758="L",C758="S",C758="I"),-1,1)</f>
        <v>0</v>
      </c>
      <c r="AY758" s="598" t="s">
        <v>337</v>
      </c>
      <c r="AZ758" s="598" t="e">
        <f>+VLOOKUP($AJ758,Data_Validation!$A:$E,5,0)</f>
        <v>#N/A</v>
      </c>
    </row>
    <row r="759" spans="1:52" ht="15" customHeight="1">
      <c r="A759" s="832" t="s">
        <v>1150</v>
      </c>
      <c r="B759" s="832">
        <v>2025</v>
      </c>
      <c r="C759" s="832" t="s">
        <v>2639</v>
      </c>
      <c r="D759" s="832" t="s">
        <v>2638</v>
      </c>
      <c r="E759" s="832" t="s">
        <v>333</v>
      </c>
      <c r="F759" s="832" t="s">
        <v>2438</v>
      </c>
      <c r="G759" s="832">
        <v>0</v>
      </c>
      <c r="H759" s="832">
        <v>0</v>
      </c>
      <c r="I759" s="832">
        <v>0</v>
      </c>
      <c r="J759" s="832">
        <v>0</v>
      </c>
      <c r="K759" s="832">
        <v>0</v>
      </c>
      <c r="L759" s="832">
        <v>0</v>
      </c>
      <c r="M759" s="832">
        <v>0</v>
      </c>
      <c r="N759" s="832">
        <v>0</v>
      </c>
      <c r="O759" s="832">
        <v>0</v>
      </c>
      <c r="P759" s="832">
        <v>0</v>
      </c>
      <c r="Q759" s="832">
        <v>0</v>
      </c>
      <c r="R759" s="832">
        <v>0</v>
      </c>
      <c r="S759" s="832">
        <v>0</v>
      </c>
      <c r="T759" s="832">
        <v>0</v>
      </c>
      <c r="U759" s="832">
        <v>0</v>
      </c>
      <c r="V759" s="832">
        <v>0</v>
      </c>
      <c r="W759" s="832">
        <v>0</v>
      </c>
      <c r="X759" s="832">
        <v>0</v>
      </c>
      <c r="Y759" s="832">
        <v>0</v>
      </c>
      <c r="Z759" s="832">
        <v>0</v>
      </c>
      <c r="AA759" s="832">
        <v>0</v>
      </c>
      <c r="AB759" s="832">
        <v>0</v>
      </c>
      <c r="AC759" s="832">
        <v>0</v>
      </c>
      <c r="AD759" s="832">
        <v>0</v>
      </c>
      <c r="AE759" s="832">
        <v>0</v>
      </c>
      <c r="AF759" s="832">
        <v>0</v>
      </c>
      <c r="AG759" s="832">
        <v>0</v>
      </c>
      <c r="AH759" s="832">
        <v>0</v>
      </c>
      <c r="AI759" s="832">
        <v>0</v>
      </c>
      <c r="AJ759" s="1030" t="str">
        <f t="shared" si="72"/>
        <v>H49400</v>
      </c>
      <c r="AK759" s="1030" t="str">
        <f t="shared" si="73"/>
        <v>CT AUTRE DEPARTEMENT</v>
      </c>
      <c r="AL759" s="1030">
        <f>IFERROR(INDEX(G759:R759,1,MATCH(Parametres!$B$3,G$1:R$1,0)-1)*IF(OR(F759="L",F759="S",F759="I"),-1,1),"")</f>
        <v>0</v>
      </c>
      <c r="AM759" s="1030">
        <f t="shared" si="68"/>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t="str">
        <f t="shared" si="69"/>
        <v>H49400</v>
      </c>
      <c r="AU759" s="599" t="str">
        <f t="shared" si="70"/>
        <v>CT AUTRE DEPARTEMENT</v>
      </c>
      <c r="AV759" s="1030">
        <f>IFERROR(INDEX(V759:AG759,1,MATCH(Parametres!$B$3,V$1:AG$1,0)-1)*IF(OR(C759="L",C759="S",C759="I"),-1,1),"")</f>
        <v>0</v>
      </c>
      <c r="AW759" s="1030">
        <f t="shared" si="71"/>
        <v>0</v>
      </c>
      <c r="AX759" s="1030">
        <f>INDEX(V759:AG759,1,MATCH(Parametres!$B$3,V$1:AG$1,0))*IF(OR(C759="L",C759="S",C759="I"),-1,1)</f>
        <v>0</v>
      </c>
      <c r="AY759" s="598" t="s">
        <v>337</v>
      </c>
      <c r="AZ759" s="598" t="e">
        <f>+VLOOKUP($AJ759,Data_Validation!$A:$E,5,0)</f>
        <v>#N/A</v>
      </c>
    </row>
    <row r="760" spans="1:52" ht="15" customHeight="1">
      <c r="A760" s="832" t="s">
        <v>1150</v>
      </c>
      <c r="B760" s="832">
        <v>2025</v>
      </c>
      <c r="C760" s="832" t="s">
        <v>2640</v>
      </c>
      <c r="D760" s="832" t="s">
        <v>2638</v>
      </c>
      <c r="E760" s="832" t="s">
        <v>333</v>
      </c>
      <c r="F760" s="832" t="s">
        <v>2438</v>
      </c>
      <c r="G760" s="832">
        <v>0</v>
      </c>
      <c r="H760" s="832">
        <v>0</v>
      </c>
      <c r="I760" s="832">
        <v>0</v>
      </c>
      <c r="J760" s="832">
        <v>0</v>
      </c>
      <c r="K760" s="832">
        <v>0</v>
      </c>
      <c r="L760" s="832">
        <v>0</v>
      </c>
      <c r="M760" s="832">
        <v>0</v>
      </c>
      <c r="N760" s="832">
        <v>0</v>
      </c>
      <c r="O760" s="832">
        <v>0</v>
      </c>
      <c r="P760" s="832">
        <v>0</v>
      </c>
      <c r="Q760" s="832">
        <v>0</v>
      </c>
      <c r="R760" s="832">
        <v>0</v>
      </c>
      <c r="S760" s="832">
        <v>0</v>
      </c>
      <c r="T760" s="832">
        <v>0</v>
      </c>
      <c r="U760" s="832">
        <v>0</v>
      </c>
      <c r="V760" s="832">
        <v>0</v>
      </c>
      <c r="W760" s="832">
        <v>0</v>
      </c>
      <c r="X760" s="832">
        <v>0</v>
      </c>
      <c r="Y760" s="832">
        <v>0</v>
      </c>
      <c r="Z760" s="832">
        <v>0</v>
      </c>
      <c r="AA760" s="832">
        <v>0</v>
      </c>
      <c r="AB760" s="832">
        <v>0</v>
      </c>
      <c r="AC760" s="832">
        <v>0</v>
      </c>
      <c r="AD760" s="832">
        <v>0</v>
      </c>
      <c r="AE760" s="832">
        <v>0</v>
      </c>
      <c r="AF760" s="832">
        <v>0</v>
      </c>
      <c r="AG760" s="832">
        <v>0</v>
      </c>
      <c r="AH760" s="832">
        <v>0</v>
      </c>
      <c r="AI760" s="832">
        <v>0</v>
      </c>
      <c r="AJ760" s="1030" t="str">
        <f t="shared" si="72"/>
        <v>H49500</v>
      </c>
      <c r="AK760" s="1030" t="str">
        <f t="shared" si="73"/>
        <v>CT AUTRE DEPARTEMENT</v>
      </c>
      <c r="AL760" s="1030">
        <f>IFERROR(INDEX(G760:R760,1,MATCH(Parametres!$B$3,G$1:R$1,0)-1)*IF(OR(F760="L",F760="S",F760="I"),-1,1),"")</f>
        <v>0</v>
      </c>
      <c r="AM760" s="1030">
        <f t="shared" si="68"/>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t="str">
        <f t="shared" si="69"/>
        <v>H49500</v>
      </c>
      <c r="AU760" s="599" t="str">
        <f t="shared" si="70"/>
        <v>CT AUTRE DEPARTEMENT</v>
      </c>
      <c r="AV760" s="1030">
        <f>IFERROR(INDEX(V760:AG760,1,MATCH(Parametres!$B$3,V$1:AG$1,0)-1)*IF(OR(C760="L",C760="S",C760="I"),-1,1),"")</f>
        <v>0</v>
      </c>
      <c r="AW760" s="1030">
        <f t="shared" si="71"/>
        <v>0</v>
      </c>
      <c r="AX760" s="1030">
        <f>INDEX(V760:AG760,1,MATCH(Parametres!$B$3,V$1:AG$1,0))*IF(OR(C760="L",C760="S",C760="I"),-1,1)</f>
        <v>0</v>
      </c>
      <c r="AY760" s="598" t="s">
        <v>337</v>
      </c>
      <c r="AZ760" s="598" t="e">
        <f>+VLOOKUP($AJ760,Data_Validation!$A:$E,5,0)</f>
        <v>#N/A</v>
      </c>
    </row>
    <row r="761" spans="1:52" ht="15" customHeight="1">
      <c r="A761" s="832" t="s">
        <v>1150</v>
      </c>
      <c r="B761" s="832">
        <v>2025</v>
      </c>
      <c r="C761" s="832" t="s">
        <v>2641</v>
      </c>
      <c r="D761" s="832" t="s">
        <v>2638</v>
      </c>
      <c r="E761" s="832" t="s">
        <v>333</v>
      </c>
      <c r="F761" s="832" t="s">
        <v>2438</v>
      </c>
      <c r="G761" s="832">
        <v>0</v>
      </c>
      <c r="H761" s="832">
        <v>0</v>
      </c>
      <c r="I761" s="832">
        <v>0</v>
      </c>
      <c r="J761" s="832">
        <v>0</v>
      </c>
      <c r="K761" s="832">
        <v>0</v>
      </c>
      <c r="L761" s="832">
        <v>0</v>
      </c>
      <c r="M761" s="832">
        <v>0</v>
      </c>
      <c r="N761" s="832">
        <v>0</v>
      </c>
      <c r="O761" s="832">
        <v>0</v>
      </c>
      <c r="P761" s="832">
        <v>0</v>
      </c>
      <c r="Q761" s="832">
        <v>0</v>
      </c>
      <c r="R761" s="832">
        <v>0</v>
      </c>
      <c r="S761" s="832">
        <v>0</v>
      </c>
      <c r="T761" s="832">
        <v>0</v>
      </c>
      <c r="U761" s="832">
        <v>0</v>
      </c>
      <c r="V761" s="832">
        <v>0</v>
      </c>
      <c r="W761" s="832">
        <v>0</v>
      </c>
      <c r="X761" s="832">
        <v>0</v>
      </c>
      <c r="Y761" s="832">
        <v>0</v>
      </c>
      <c r="Z761" s="832">
        <v>0</v>
      </c>
      <c r="AA761" s="832">
        <v>0</v>
      </c>
      <c r="AB761" s="832">
        <v>0</v>
      </c>
      <c r="AC761" s="832">
        <v>0</v>
      </c>
      <c r="AD761" s="832">
        <v>0</v>
      </c>
      <c r="AE761" s="832">
        <v>0</v>
      </c>
      <c r="AF761" s="832">
        <v>0</v>
      </c>
      <c r="AG761" s="832">
        <v>0</v>
      </c>
      <c r="AH761" s="832">
        <v>0</v>
      </c>
      <c r="AI761" s="832">
        <v>0</v>
      </c>
      <c r="AJ761" s="1030" t="str">
        <f t="shared" si="72"/>
        <v>H49600</v>
      </c>
      <c r="AK761" s="1030" t="str">
        <f t="shared" si="73"/>
        <v>CT AUTRE DEPARTEMENT</v>
      </c>
      <c r="AL761" s="1030">
        <f>IFERROR(INDEX(G761:R761,1,MATCH(Parametres!$B$3,G$1:R$1,0)-1)*IF(OR(F761="L",F761="S",F761="I"),-1,1),"")</f>
        <v>0</v>
      </c>
      <c r="AM761" s="1030">
        <f t="shared" si="68"/>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t="str">
        <f t="shared" si="69"/>
        <v>H49600</v>
      </c>
      <c r="AU761" s="599" t="str">
        <f t="shared" si="70"/>
        <v>CT AUTRE DEPARTEMENT</v>
      </c>
      <c r="AV761" s="1030">
        <f>IFERROR(INDEX(V761:AG761,1,MATCH(Parametres!$B$3,V$1:AG$1,0)-1)*IF(OR(C761="L",C761="S",C761="I"),-1,1),"")</f>
        <v>0</v>
      </c>
      <c r="AW761" s="1030">
        <f t="shared" si="71"/>
        <v>0</v>
      </c>
      <c r="AX761" s="1030">
        <f>INDEX(V761:AG761,1,MATCH(Parametres!$B$3,V$1:AG$1,0))*IF(OR(C761="L",C761="S",C761="I"),-1,1)</f>
        <v>0</v>
      </c>
      <c r="AY761" s="598" t="s">
        <v>337</v>
      </c>
      <c r="AZ761" s="598" t="e">
        <f>+VLOOKUP($AJ761,Data_Validation!$A:$E,5,0)</f>
        <v>#N/A</v>
      </c>
    </row>
    <row r="762" spans="1:52" ht="15" customHeight="1">
      <c r="A762" s="832" t="s">
        <v>1150</v>
      </c>
      <c r="B762" s="832">
        <v>2025</v>
      </c>
      <c r="C762" s="832" t="s">
        <v>2642</v>
      </c>
      <c r="D762" s="832" t="s">
        <v>2638</v>
      </c>
      <c r="E762" s="832" t="s">
        <v>333</v>
      </c>
      <c r="F762" s="832" t="s">
        <v>2438</v>
      </c>
      <c r="G762" s="832">
        <v>0</v>
      </c>
      <c r="H762" s="832">
        <v>0</v>
      </c>
      <c r="I762" s="832">
        <v>0</v>
      </c>
      <c r="J762" s="832">
        <v>0</v>
      </c>
      <c r="K762" s="832">
        <v>0</v>
      </c>
      <c r="L762" s="832">
        <v>0</v>
      </c>
      <c r="M762" s="832">
        <v>0</v>
      </c>
      <c r="N762" s="832">
        <v>0</v>
      </c>
      <c r="O762" s="832">
        <v>0</v>
      </c>
      <c r="P762" s="832">
        <v>0</v>
      </c>
      <c r="Q762" s="832">
        <v>0</v>
      </c>
      <c r="R762" s="832">
        <v>0</v>
      </c>
      <c r="S762" s="832">
        <v>0</v>
      </c>
      <c r="T762" s="832">
        <v>0</v>
      </c>
      <c r="U762" s="832">
        <v>0</v>
      </c>
      <c r="V762" s="832">
        <v>0</v>
      </c>
      <c r="W762" s="832">
        <v>0</v>
      </c>
      <c r="X762" s="832">
        <v>0</v>
      </c>
      <c r="Y762" s="832">
        <v>0</v>
      </c>
      <c r="Z762" s="832">
        <v>0</v>
      </c>
      <c r="AA762" s="832">
        <v>0</v>
      </c>
      <c r="AB762" s="832">
        <v>0</v>
      </c>
      <c r="AC762" s="832">
        <v>0</v>
      </c>
      <c r="AD762" s="832">
        <v>0</v>
      </c>
      <c r="AE762" s="832">
        <v>0</v>
      </c>
      <c r="AF762" s="832">
        <v>0</v>
      </c>
      <c r="AG762" s="832">
        <v>0</v>
      </c>
      <c r="AH762" s="832">
        <v>0</v>
      </c>
      <c r="AI762" s="832">
        <v>0</v>
      </c>
      <c r="AJ762" s="1030" t="str">
        <f t="shared" si="72"/>
        <v>H49700</v>
      </c>
      <c r="AK762" s="1030" t="str">
        <f t="shared" si="73"/>
        <v>CT AUTRE DEPARTEMENT</v>
      </c>
      <c r="AL762" s="1030">
        <f>IFERROR(INDEX(G762:R762,1,MATCH(Parametres!$B$3,G$1:R$1,0)-1)*IF(OR(F762="L",F762="S",F762="I"),-1,1),"")</f>
        <v>0</v>
      </c>
      <c r="AM762" s="1030">
        <f t="shared" si="68"/>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t="str">
        <f t="shared" si="69"/>
        <v>H49700</v>
      </c>
      <c r="AU762" s="599" t="str">
        <f t="shared" si="70"/>
        <v>CT AUTRE DEPARTEMENT</v>
      </c>
      <c r="AV762" s="1030">
        <f>IFERROR(INDEX(V762:AG762,1,MATCH(Parametres!$B$3,V$1:AG$1,0)-1)*IF(OR(C762="L",C762="S",C762="I"),-1,1),"")</f>
        <v>0</v>
      </c>
      <c r="AW762" s="1030">
        <f t="shared" si="71"/>
        <v>0</v>
      </c>
      <c r="AX762" s="1030">
        <f>INDEX(V762:AG762,1,MATCH(Parametres!$B$3,V$1:AG$1,0))*IF(OR(C762="L",C762="S",C762="I"),-1,1)</f>
        <v>0</v>
      </c>
      <c r="AY762" s="598" t="s">
        <v>337</v>
      </c>
      <c r="AZ762" s="598" t="e">
        <f>+VLOOKUP($AJ762,Data_Validation!$A:$E,5,0)</f>
        <v>#N/A</v>
      </c>
    </row>
    <row r="763" spans="1:52" ht="15" customHeight="1">
      <c r="A763" s="832" t="s">
        <v>1150</v>
      </c>
      <c r="B763" s="832">
        <v>2025</v>
      </c>
      <c r="C763" s="832" t="s">
        <v>2643</v>
      </c>
      <c r="D763" s="832" t="s">
        <v>2638</v>
      </c>
      <c r="E763" s="832" t="s">
        <v>333</v>
      </c>
      <c r="F763" s="832" t="s">
        <v>2438</v>
      </c>
      <c r="G763" s="832">
        <v>0</v>
      </c>
      <c r="H763" s="832">
        <v>0</v>
      </c>
      <c r="I763" s="832">
        <v>0</v>
      </c>
      <c r="J763" s="832">
        <v>0</v>
      </c>
      <c r="K763" s="832">
        <v>0</v>
      </c>
      <c r="L763" s="832">
        <v>0</v>
      </c>
      <c r="M763" s="832">
        <v>0</v>
      </c>
      <c r="N763" s="832">
        <v>0</v>
      </c>
      <c r="O763" s="832">
        <v>0</v>
      </c>
      <c r="P763" s="832">
        <v>0</v>
      </c>
      <c r="Q763" s="832">
        <v>0</v>
      </c>
      <c r="R763" s="832">
        <v>0</v>
      </c>
      <c r="S763" s="832">
        <v>0</v>
      </c>
      <c r="T763" s="832">
        <v>0</v>
      </c>
      <c r="U763" s="832">
        <v>0</v>
      </c>
      <c r="V763" s="832">
        <v>0</v>
      </c>
      <c r="W763" s="832">
        <v>0</v>
      </c>
      <c r="X763" s="832">
        <v>0</v>
      </c>
      <c r="Y763" s="832">
        <v>0</v>
      </c>
      <c r="Z763" s="832">
        <v>0</v>
      </c>
      <c r="AA763" s="832">
        <v>0</v>
      </c>
      <c r="AB763" s="832">
        <v>0</v>
      </c>
      <c r="AC763" s="832">
        <v>0</v>
      </c>
      <c r="AD763" s="832">
        <v>0</v>
      </c>
      <c r="AE763" s="832">
        <v>0</v>
      </c>
      <c r="AF763" s="832">
        <v>0</v>
      </c>
      <c r="AG763" s="832">
        <v>0</v>
      </c>
      <c r="AH763" s="832">
        <v>0</v>
      </c>
      <c r="AI763" s="832">
        <v>0</v>
      </c>
      <c r="AJ763" s="1030" t="str">
        <f t="shared" si="72"/>
        <v>H49800</v>
      </c>
      <c r="AK763" s="1030" t="str">
        <f t="shared" si="73"/>
        <v>CT AUTRE DEPARTEMENT</v>
      </c>
      <c r="AL763" s="1030">
        <f>IFERROR(INDEX(G763:R763,1,MATCH(Parametres!$B$3,G$1:R$1,0)-1)*IF(OR(F763="L",F763="S",F763="I"),-1,1),"")</f>
        <v>0</v>
      </c>
      <c r="AM763" s="1030">
        <f t="shared" si="68"/>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t="str">
        <f t="shared" si="69"/>
        <v>H49800</v>
      </c>
      <c r="AU763" s="599" t="str">
        <f t="shared" si="70"/>
        <v>CT AUTRE DEPARTEMENT</v>
      </c>
      <c r="AV763" s="1030">
        <f>IFERROR(INDEX(V763:AG763,1,MATCH(Parametres!$B$3,V$1:AG$1,0)-1)*IF(OR(C763="L",C763="S",C763="I"),-1,1),"")</f>
        <v>0</v>
      </c>
      <c r="AW763" s="1030">
        <f t="shared" si="71"/>
        <v>0</v>
      </c>
      <c r="AX763" s="1030">
        <f>INDEX(V763:AG763,1,MATCH(Parametres!$B$3,V$1:AG$1,0))*IF(OR(C763="L",C763="S",C763="I"),-1,1)</f>
        <v>0</v>
      </c>
      <c r="AY763" s="598" t="s">
        <v>337</v>
      </c>
      <c r="AZ763" s="598" t="e">
        <f>+VLOOKUP($AJ763,Data_Validation!$A:$E,5,0)</f>
        <v>#N/A</v>
      </c>
    </row>
    <row r="764" spans="1:52" ht="15" customHeight="1">
      <c r="A764" s="832" t="s">
        <v>1150</v>
      </c>
      <c r="B764" s="832">
        <v>2025</v>
      </c>
      <c r="C764" s="832" t="s">
        <v>2644</v>
      </c>
      <c r="D764" s="832" t="s">
        <v>2638</v>
      </c>
      <c r="E764" s="832" t="s">
        <v>333</v>
      </c>
      <c r="F764" s="832" t="s">
        <v>2438</v>
      </c>
      <c r="G764" s="832">
        <v>0</v>
      </c>
      <c r="H764" s="832">
        <v>0</v>
      </c>
      <c r="I764" s="832">
        <v>0</v>
      </c>
      <c r="J764" s="832">
        <v>0</v>
      </c>
      <c r="K764" s="832">
        <v>0</v>
      </c>
      <c r="L764" s="832">
        <v>0</v>
      </c>
      <c r="M764" s="832">
        <v>0</v>
      </c>
      <c r="N764" s="832">
        <v>0</v>
      </c>
      <c r="O764" s="832">
        <v>0</v>
      </c>
      <c r="P764" s="832">
        <v>0</v>
      </c>
      <c r="Q764" s="832">
        <v>0</v>
      </c>
      <c r="R764" s="832">
        <v>0</v>
      </c>
      <c r="S764" s="832">
        <v>0</v>
      </c>
      <c r="T764" s="832">
        <v>0</v>
      </c>
      <c r="U764" s="832">
        <v>0</v>
      </c>
      <c r="V764" s="832">
        <v>0</v>
      </c>
      <c r="W764" s="832">
        <v>0</v>
      </c>
      <c r="X764" s="832">
        <v>0</v>
      </c>
      <c r="Y764" s="832">
        <v>0</v>
      </c>
      <c r="Z764" s="832">
        <v>0</v>
      </c>
      <c r="AA764" s="832">
        <v>0</v>
      </c>
      <c r="AB764" s="832">
        <v>0</v>
      </c>
      <c r="AC764" s="832">
        <v>0</v>
      </c>
      <c r="AD764" s="832">
        <v>0</v>
      </c>
      <c r="AE764" s="832">
        <v>0</v>
      </c>
      <c r="AF764" s="832">
        <v>0</v>
      </c>
      <c r="AG764" s="832">
        <v>0</v>
      </c>
      <c r="AH764" s="832">
        <v>0</v>
      </c>
      <c r="AI764" s="832">
        <v>0</v>
      </c>
      <c r="AJ764" s="1030" t="str">
        <f t="shared" si="72"/>
        <v>H49900</v>
      </c>
      <c r="AK764" s="1030" t="str">
        <f t="shared" si="73"/>
        <v>CT AUTRE DEPARTEMENT</v>
      </c>
      <c r="AL764" s="1030">
        <f>IFERROR(INDEX(G764:R764,1,MATCH(Parametres!$B$3,G$1:R$1,0)-1)*IF(OR(F764="L",F764="S",F764="I"),-1,1),"")</f>
        <v>0</v>
      </c>
      <c r="AM764" s="1030">
        <f t="shared" si="68"/>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t="str">
        <f t="shared" si="69"/>
        <v>H49900</v>
      </c>
      <c r="AU764" s="599" t="str">
        <f t="shared" si="70"/>
        <v>CT AUTRE DEPARTEMENT</v>
      </c>
      <c r="AV764" s="1030">
        <f>IFERROR(INDEX(V764:AG764,1,MATCH(Parametres!$B$3,V$1:AG$1,0)-1)*IF(OR(C764="L",C764="S",C764="I"),-1,1),"")</f>
        <v>0</v>
      </c>
      <c r="AW764" s="1030">
        <f t="shared" si="71"/>
        <v>0</v>
      </c>
      <c r="AX764" s="1030">
        <f>INDEX(V764:AG764,1,MATCH(Parametres!$B$3,V$1:AG$1,0))*IF(OR(C764="L",C764="S",C764="I"),-1,1)</f>
        <v>0</v>
      </c>
      <c r="AY764" s="598" t="s">
        <v>337</v>
      </c>
      <c r="AZ764" s="598" t="e">
        <f>+VLOOKUP($AJ764,Data_Validation!$A:$E,5,0)</f>
        <v>#N/A</v>
      </c>
    </row>
    <row r="765" spans="1:52" ht="15" customHeight="1">
      <c r="A765" s="832" t="s">
        <v>1150</v>
      </c>
      <c r="B765" s="832">
        <v>2025</v>
      </c>
      <c r="C765" s="832" t="s">
        <v>2645</v>
      </c>
      <c r="D765" s="832" t="s">
        <v>2646</v>
      </c>
      <c r="E765" s="832" t="s">
        <v>333</v>
      </c>
      <c r="F765" s="832" t="s">
        <v>1119</v>
      </c>
      <c r="G765" s="832">
        <v>0</v>
      </c>
      <c r="H765" s="832">
        <v>0</v>
      </c>
      <c r="I765" s="832">
        <v>0</v>
      </c>
      <c r="J765" s="832">
        <v>0</v>
      </c>
      <c r="K765" s="832">
        <v>0</v>
      </c>
      <c r="L765" s="832">
        <v>0</v>
      </c>
      <c r="M765" s="832">
        <v>0</v>
      </c>
      <c r="N765" s="832">
        <v>0</v>
      </c>
      <c r="O765" s="832">
        <v>0</v>
      </c>
      <c r="P765" s="832">
        <v>0</v>
      </c>
      <c r="Q765" s="832">
        <v>0</v>
      </c>
      <c r="R765" s="832">
        <v>0</v>
      </c>
      <c r="S765" s="832">
        <v>0</v>
      </c>
      <c r="T765" s="832">
        <v>0</v>
      </c>
      <c r="U765" s="832">
        <v>0</v>
      </c>
      <c r="V765" s="832">
        <v>0</v>
      </c>
      <c r="W765" s="832">
        <v>0</v>
      </c>
      <c r="X765" s="832">
        <v>0</v>
      </c>
      <c r="Y765" s="832">
        <v>0</v>
      </c>
      <c r="Z765" s="832">
        <v>0</v>
      </c>
      <c r="AA765" s="832">
        <v>0</v>
      </c>
      <c r="AB765" s="832">
        <v>0</v>
      </c>
      <c r="AC765" s="832">
        <v>0</v>
      </c>
      <c r="AD765" s="832">
        <v>0</v>
      </c>
      <c r="AE765" s="832">
        <v>0</v>
      </c>
      <c r="AF765" s="832">
        <v>0</v>
      </c>
      <c r="AG765" s="832">
        <v>0</v>
      </c>
      <c r="AH765" s="832">
        <v>0</v>
      </c>
      <c r="AI765" s="832">
        <v>0</v>
      </c>
      <c r="AJ765" s="1030" t="str">
        <f t="shared" si="72"/>
        <v>H50100</v>
      </c>
      <c r="AK765" s="1030" t="str">
        <f t="shared" si="73"/>
        <v>SALAIRE - PROPRIETAIRE</v>
      </c>
      <c r="AL765" s="1030">
        <f>IFERROR(INDEX(G765:R765,1,MATCH(Parametres!$B$3,G$1:R$1,0)-1)*IF(OR(F765="L",F765="S",F765="I"),-1,1),"")</f>
        <v>0</v>
      </c>
      <c r="AM765" s="1030">
        <f t="shared" si="68"/>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t="str">
        <f t="shared" si="69"/>
        <v>H50100</v>
      </c>
      <c r="AU765" s="599" t="str">
        <f t="shared" si="70"/>
        <v>SALAIRE - PROPRIETAIRE</v>
      </c>
      <c r="AV765" s="1030">
        <f>IFERROR(INDEX(V765:AG765,1,MATCH(Parametres!$B$3,V$1:AG$1,0)-1)*IF(OR(C765="L",C765="S",C765="I"),-1,1),"")</f>
        <v>0</v>
      </c>
      <c r="AW765" s="1030">
        <f t="shared" si="71"/>
        <v>0</v>
      </c>
      <c r="AX765" s="1030">
        <f>INDEX(V765:AG765,1,MATCH(Parametres!$B$3,V$1:AG$1,0))*IF(OR(C765="L",C765="S",C765="I"),-1,1)</f>
        <v>0</v>
      </c>
      <c r="AY765" s="598" t="s">
        <v>337</v>
      </c>
      <c r="AZ765" s="598" t="e">
        <f>+VLOOKUP($AJ765,Data_Validation!$A:$E,5,0)</f>
        <v>#N/A</v>
      </c>
    </row>
    <row r="766" spans="1:52" ht="15" customHeight="1">
      <c r="A766" s="832" t="s">
        <v>1150</v>
      </c>
      <c r="B766" s="832">
        <v>2025</v>
      </c>
      <c r="C766" s="832" t="s">
        <v>2647</v>
      </c>
      <c r="D766" s="832" t="s">
        <v>2648</v>
      </c>
      <c r="E766" s="832" t="s">
        <v>333</v>
      </c>
      <c r="F766" s="832" t="s">
        <v>2317</v>
      </c>
      <c r="G766" s="832">
        <v>0</v>
      </c>
      <c r="H766" s="832">
        <v>0</v>
      </c>
      <c r="I766" s="832">
        <v>0</v>
      </c>
      <c r="J766" s="832">
        <v>0</v>
      </c>
      <c r="K766" s="832">
        <v>0</v>
      </c>
      <c r="L766" s="832">
        <v>0</v>
      </c>
      <c r="M766" s="832">
        <v>0</v>
      </c>
      <c r="N766" s="832">
        <v>0</v>
      </c>
      <c r="O766" s="832">
        <v>0</v>
      </c>
      <c r="P766" s="832">
        <v>0</v>
      </c>
      <c r="Q766" s="832">
        <v>0</v>
      </c>
      <c r="R766" s="832">
        <v>0</v>
      </c>
      <c r="S766" s="832">
        <v>0</v>
      </c>
      <c r="T766" s="832">
        <v>0</v>
      </c>
      <c r="U766" s="832">
        <v>0</v>
      </c>
      <c r="V766" s="832">
        <v>0</v>
      </c>
      <c r="W766" s="832">
        <v>0</v>
      </c>
      <c r="X766" s="832">
        <v>0</v>
      </c>
      <c r="Y766" s="832">
        <v>0</v>
      </c>
      <c r="Z766" s="832">
        <v>0</v>
      </c>
      <c r="AA766" s="832">
        <v>0</v>
      </c>
      <c r="AB766" s="832">
        <v>0</v>
      </c>
      <c r="AC766" s="832">
        <v>0</v>
      </c>
      <c r="AD766" s="832">
        <v>0</v>
      </c>
      <c r="AE766" s="832">
        <v>0</v>
      </c>
      <c r="AF766" s="832">
        <v>0</v>
      </c>
      <c r="AG766" s="832">
        <v>0</v>
      </c>
      <c r="AH766" s="832">
        <v>0</v>
      </c>
      <c r="AI766" s="832">
        <v>0</v>
      </c>
      <c r="AJ766" s="1030" t="str">
        <f t="shared" si="72"/>
        <v>H60100</v>
      </c>
      <c r="AK766" s="1030" t="str">
        <f t="shared" si="73"/>
        <v>ESC COMPTANTS REALISES</v>
      </c>
      <c r="AL766" s="1030">
        <f>IFERROR(INDEX(G766:R766,1,MATCH(Parametres!$B$3,G$1:R$1,0)-1)*IF(OR(F766="L",F766="S",F766="I"),-1,1),"")</f>
        <v>0</v>
      </c>
      <c r="AM766" s="1030">
        <f t="shared" si="68"/>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t="str">
        <f t="shared" si="69"/>
        <v>H60100</v>
      </c>
      <c r="AU766" s="599" t="str">
        <f t="shared" si="70"/>
        <v>ESC COMPTANTS REALISES</v>
      </c>
      <c r="AV766" s="1030">
        <f>IFERROR(INDEX(V766:AG766,1,MATCH(Parametres!$B$3,V$1:AG$1,0)-1)*IF(OR(C766="L",C766="S",C766="I"),-1,1),"")</f>
        <v>0</v>
      </c>
      <c r="AW766" s="1030">
        <f t="shared" si="71"/>
        <v>0</v>
      </c>
      <c r="AX766" s="1030">
        <f>INDEX(V766:AG766,1,MATCH(Parametres!$B$3,V$1:AG$1,0))*IF(OR(C766="L",C766="S",C766="I"),-1,1)</f>
        <v>0</v>
      </c>
      <c r="AY766" s="598" t="s">
        <v>337</v>
      </c>
      <c r="AZ766" s="598" t="e">
        <f>+VLOOKUP($AJ766,Data_Validation!$A:$E,5,0)</f>
        <v>#N/A</v>
      </c>
    </row>
    <row r="767" spans="1:52" ht="15" customHeight="1">
      <c r="A767" s="832" t="s">
        <v>1150</v>
      </c>
      <c r="B767" s="832">
        <v>2025</v>
      </c>
      <c r="C767" s="832" t="s">
        <v>2649</v>
      </c>
      <c r="D767" s="832" t="s">
        <v>2650</v>
      </c>
      <c r="E767" s="832" t="s">
        <v>333</v>
      </c>
      <c r="F767" s="832" t="s">
        <v>2317</v>
      </c>
      <c r="G767" s="832">
        <v>0</v>
      </c>
      <c r="H767" s="832">
        <v>0</v>
      </c>
      <c r="I767" s="832">
        <v>0</v>
      </c>
      <c r="J767" s="832">
        <v>0</v>
      </c>
      <c r="K767" s="832">
        <v>86.29</v>
      </c>
      <c r="L767" s="832">
        <v>86.29</v>
      </c>
      <c r="M767" s="832">
        <v>86.29</v>
      </c>
      <c r="N767" s="832">
        <v>86.29</v>
      </c>
      <c r="O767" s="832">
        <v>4178.3500000000004</v>
      </c>
      <c r="P767" s="832">
        <v>9994.7900000000009</v>
      </c>
      <c r="Q767" s="832">
        <v>19624.919999999998</v>
      </c>
      <c r="R767" s="832">
        <v>34120.82</v>
      </c>
      <c r="S767" s="832">
        <v>1784.08</v>
      </c>
      <c r="T767" s="832">
        <v>1784.08</v>
      </c>
      <c r="U767" s="832">
        <v>0</v>
      </c>
      <c r="V767" s="832">
        <v>0</v>
      </c>
      <c r="W767" s="832">
        <v>0</v>
      </c>
      <c r="X767" s="832">
        <v>0</v>
      </c>
      <c r="Y767" s="832">
        <v>0</v>
      </c>
      <c r="Z767" s="832">
        <v>1</v>
      </c>
      <c r="AA767" s="832">
        <v>1</v>
      </c>
      <c r="AB767" s="832">
        <v>1</v>
      </c>
      <c r="AC767" s="832">
        <v>1</v>
      </c>
      <c r="AD767" s="832">
        <v>2</v>
      </c>
      <c r="AE767" s="832">
        <v>3</v>
      </c>
      <c r="AF767" s="832">
        <v>4</v>
      </c>
      <c r="AG767" s="832">
        <v>5</v>
      </c>
      <c r="AH767" s="832">
        <v>0</v>
      </c>
      <c r="AI767" s="832">
        <v>0</v>
      </c>
      <c r="AJ767" s="1030" t="str">
        <f t="shared" si="72"/>
        <v>H60200</v>
      </c>
      <c r="AK767" s="1030" t="str">
        <f t="shared" si="73"/>
        <v>INTERETS CREDITEURS</v>
      </c>
      <c r="AL767" s="1030">
        <f>IFERROR(INDEX(G767:R767,1,MATCH(Parametres!$B$3,G$1:R$1,0)-1)*IF(OR(F767="L",F767="S",F767="I"),-1,1),"")</f>
        <v>0</v>
      </c>
      <c r="AM767" s="1030">
        <f t="shared" si="68"/>
        <v>-86.29</v>
      </c>
      <c r="AN767" s="1030">
        <f>INDEX(G767:R767,1,MATCH(Parametres!$B$3,G$1:R$1,0))*IF(OR(F767="L",F767="S",F767="I"),-1,1)</f>
        <v>-86.29</v>
      </c>
      <c r="AO767" s="598" t="str">
        <f>+VLOOKUP($AJ767,Data_Validation!$A:$D,1,0)</f>
        <v>H60200</v>
      </c>
      <c r="AP767" s="598" t="str">
        <f>+VLOOKUP($AJ767,Data_Validation!$A:$D,3,0)</f>
        <v>Autres</v>
      </c>
      <c r="AQ767" s="598" t="str">
        <f>+VLOOKUP($AJ767,Data_Validation!$A:$D,4,0)</f>
        <v>Revenus d'intérêts Floor plan</v>
      </c>
      <c r="AR767" s="598" t="s">
        <v>299</v>
      </c>
      <c r="AS767" s="598">
        <f>+VLOOKUP($AJ767,Data_Validation!$A:$E,5,0)</f>
        <v>0</v>
      </c>
      <c r="AT767" s="1036" t="str">
        <f t="shared" si="69"/>
        <v>H60200</v>
      </c>
      <c r="AU767" s="599" t="str">
        <f t="shared" si="70"/>
        <v>INTERETS CREDITEURS</v>
      </c>
      <c r="AV767" s="1030">
        <f>IFERROR(INDEX(V767:AG767,1,MATCH(Parametres!$B$3,V$1:AG$1,0)-1)*IF(OR(C767="L",C767="S",C767="I"),-1,1),"")</f>
        <v>0</v>
      </c>
      <c r="AW767" s="1030">
        <f t="shared" si="71"/>
        <v>1</v>
      </c>
      <c r="AX767" s="1030">
        <f>INDEX(V767:AG767,1,MATCH(Parametres!$B$3,V$1:AG$1,0))*IF(OR(C767="L",C767="S",C767="I"),-1,1)</f>
        <v>1</v>
      </c>
      <c r="AY767" s="598" t="s">
        <v>337</v>
      </c>
      <c r="AZ767" s="598">
        <f>+VLOOKUP($AJ767,Data_Validation!$A:$E,5,0)</f>
        <v>0</v>
      </c>
    </row>
    <row r="768" spans="1:52" ht="15" customHeight="1">
      <c r="A768" s="832" t="s">
        <v>1150</v>
      </c>
      <c r="B768" s="832">
        <v>2025</v>
      </c>
      <c r="C768" s="832" t="s">
        <v>2651</v>
      </c>
      <c r="D768" s="832" t="s">
        <v>2652</v>
      </c>
      <c r="E768" s="832" t="s">
        <v>333</v>
      </c>
      <c r="F768" s="832" t="s">
        <v>2317</v>
      </c>
      <c r="G768" s="832">
        <v>0</v>
      </c>
      <c r="H768" s="832">
        <v>0</v>
      </c>
      <c r="I768" s="832">
        <v>0</v>
      </c>
      <c r="J768" s="832">
        <v>0</v>
      </c>
      <c r="K768" s="832">
        <v>0</v>
      </c>
      <c r="L768" s="832">
        <v>0</v>
      </c>
      <c r="M768" s="832">
        <v>0</v>
      </c>
      <c r="N768" s="832">
        <v>0</v>
      </c>
      <c r="O768" s="832">
        <v>0</v>
      </c>
      <c r="P768" s="832">
        <v>0</v>
      </c>
      <c r="Q768" s="832">
        <v>0</v>
      </c>
      <c r="R768" s="832">
        <v>0</v>
      </c>
      <c r="S768" s="832">
        <v>0</v>
      </c>
      <c r="T768" s="832">
        <v>0</v>
      </c>
      <c r="U768" s="832">
        <v>0</v>
      </c>
      <c r="V768" s="832">
        <v>0</v>
      </c>
      <c r="W768" s="832">
        <v>0</v>
      </c>
      <c r="X768" s="832">
        <v>0</v>
      </c>
      <c r="Y768" s="832">
        <v>0</v>
      </c>
      <c r="Z768" s="832">
        <v>0</v>
      </c>
      <c r="AA768" s="832">
        <v>0</v>
      </c>
      <c r="AB768" s="832">
        <v>0</v>
      </c>
      <c r="AC768" s="832">
        <v>0</v>
      </c>
      <c r="AD768" s="832">
        <v>0</v>
      </c>
      <c r="AE768" s="832">
        <v>0</v>
      </c>
      <c r="AF768" s="832">
        <v>0</v>
      </c>
      <c r="AG768" s="832">
        <v>0</v>
      </c>
      <c r="AH768" s="832">
        <v>0</v>
      </c>
      <c r="AI768" s="832">
        <v>0</v>
      </c>
      <c r="AJ768" s="1030" t="str">
        <f t="shared" si="72"/>
        <v>H60400</v>
      </c>
      <c r="AK768" s="1030" t="str">
        <f t="shared" si="73"/>
        <v>MAUVAISES CREANCES RECOUV</v>
      </c>
      <c r="AL768" s="1030">
        <f>IFERROR(INDEX(G768:R768,1,MATCH(Parametres!$B$3,G$1:R$1,0)-1)*IF(OR(F768="L",F768="S",F768="I"),-1,1),"")</f>
        <v>0</v>
      </c>
      <c r="AM768" s="1030">
        <f t="shared" si="68"/>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t="str">
        <f t="shared" si="69"/>
        <v>H60400</v>
      </c>
      <c r="AU768" s="599" t="str">
        <f t="shared" si="70"/>
        <v>MAUVAISES CREANCES RECOUV</v>
      </c>
      <c r="AV768" s="1030">
        <f>IFERROR(INDEX(V768:AG768,1,MATCH(Parametres!$B$3,V$1:AG$1,0)-1)*IF(OR(C768="L",C768="S",C768="I"),-1,1),"")</f>
        <v>0</v>
      </c>
      <c r="AW768" s="1030">
        <f t="shared" si="71"/>
        <v>0</v>
      </c>
      <c r="AX768" s="1030">
        <f>INDEX(V768:AG768,1,MATCH(Parametres!$B$3,V$1:AG$1,0))*IF(OR(C768="L",C768="S",C768="I"),-1,1)</f>
        <v>0</v>
      </c>
      <c r="AY768" s="598" t="s">
        <v>337</v>
      </c>
      <c r="AZ768" s="598" t="e">
        <f>+VLOOKUP($AJ768,Data_Validation!$A:$E,5,0)</f>
        <v>#N/A</v>
      </c>
    </row>
    <row r="769" spans="1:52" ht="15" customHeight="1">
      <c r="A769" s="832" t="s">
        <v>1150</v>
      </c>
      <c r="B769" s="832">
        <v>2025</v>
      </c>
      <c r="C769" s="832" t="s">
        <v>2653</v>
      </c>
      <c r="D769" s="832" t="s">
        <v>2654</v>
      </c>
      <c r="E769" s="832" t="s">
        <v>333</v>
      </c>
      <c r="F769" s="832" t="s">
        <v>2317</v>
      </c>
      <c r="G769" s="832">
        <v>116817</v>
      </c>
      <c r="H769" s="832">
        <v>194455</v>
      </c>
      <c r="I769" s="832">
        <v>234109</v>
      </c>
      <c r="J769" s="832">
        <v>392285</v>
      </c>
      <c r="K769" s="832">
        <v>506029</v>
      </c>
      <c r="L769" s="832">
        <v>589246</v>
      </c>
      <c r="M769" s="832">
        <v>696519</v>
      </c>
      <c r="N769" s="832">
        <v>808153</v>
      </c>
      <c r="O769" s="832">
        <v>900127</v>
      </c>
      <c r="P769" s="832">
        <v>1007462</v>
      </c>
      <c r="Q769" s="832">
        <v>1085460</v>
      </c>
      <c r="R769" s="832">
        <v>1170412</v>
      </c>
      <c r="S769" s="832">
        <v>98678.18</v>
      </c>
      <c r="T769" s="832">
        <v>98678.18</v>
      </c>
      <c r="U769" s="832">
        <v>0</v>
      </c>
      <c r="V769" s="832">
        <v>1</v>
      </c>
      <c r="W769" s="832">
        <v>2</v>
      </c>
      <c r="X769" s="832">
        <v>43</v>
      </c>
      <c r="Y769" s="832">
        <v>163</v>
      </c>
      <c r="Z769" s="832">
        <v>266</v>
      </c>
      <c r="AA769" s="832">
        <v>350</v>
      </c>
      <c r="AB769" s="832">
        <v>449</v>
      </c>
      <c r="AC769" s="832">
        <v>550</v>
      </c>
      <c r="AD769" s="832">
        <v>638</v>
      </c>
      <c r="AE769" s="832">
        <v>731</v>
      </c>
      <c r="AF769" s="832">
        <v>796</v>
      </c>
      <c r="AG769" s="832">
        <v>862</v>
      </c>
      <c r="AH769" s="832">
        <v>72</v>
      </c>
      <c r="AI769" s="832">
        <v>72</v>
      </c>
      <c r="AJ769" s="1030" t="str">
        <f t="shared" si="72"/>
        <v>H60500</v>
      </c>
      <c r="AK769" s="1030" t="str">
        <f t="shared" si="73"/>
        <v>HOLD BACK</v>
      </c>
      <c r="AL769" s="1030">
        <f>IFERROR(INDEX(G769:R769,1,MATCH(Parametres!$B$3,G$1:R$1,0)-1)*IF(OR(F769="L",F769="S",F769="I"),-1,1),"")</f>
        <v>-392285</v>
      </c>
      <c r="AM769" s="1030">
        <f t="shared" si="68"/>
        <v>-113744</v>
      </c>
      <c r="AN769" s="1030">
        <f>INDEX(G769:R769,1,MATCH(Parametres!$B$3,G$1:R$1,0))*IF(OR(F769="L",F769="S",F769="I"),-1,1)</f>
        <v>-506029</v>
      </c>
      <c r="AO769" s="598" t="str">
        <f>+VLOOKUP($AJ769,Data_Validation!$A:$D,1,0)</f>
        <v>H60500</v>
      </c>
      <c r="AP769" s="598" t="str">
        <f>+VLOOKUP($AJ769,Data_Validation!$A:$D,3,0)</f>
        <v>Véhicules neufs</v>
      </c>
      <c r="AQ769" s="598" t="str">
        <f>+VLOOKUP($AJ769,Data_Validation!$A:$D,4,0)</f>
        <v>Holdbacks</v>
      </c>
      <c r="AR769" s="598" t="s">
        <v>299</v>
      </c>
      <c r="AS769" s="598">
        <f>+VLOOKUP($AJ769,Data_Validation!$A:$E,5,0)</f>
        <v>0</v>
      </c>
      <c r="AT769" s="1036" t="str">
        <f t="shared" si="69"/>
        <v>H60500</v>
      </c>
      <c r="AU769" s="599" t="str">
        <f t="shared" si="70"/>
        <v>HOLD BACK</v>
      </c>
      <c r="AV769" s="1030">
        <f>IFERROR(INDEX(V769:AG769,1,MATCH(Parametres!$B$3,V$1:AG$1,0)-1)*IF(OR(C769="L",C769="S",C769="I"),-1,1),"")</f>
        <v>163</v>
      </c>
      <c r="AW769" s="1030">
        <f t="shared" si="71"/>
        <v>103</v>
      </c>
      <c r="AX769" s="1030">
        <f>INDEX(V769:AG769,1,MATCH(Parametres!$B$3,V$1:AG$1,0))*IF(OR(C769="L",C769="S",C769="I"),-1,1)</f>
        <v>266</v>
      </c>
      <c r="AY769" s="598" t="s">
        <v>337</v>
      </c>
      <c r="AZ769" s="598">
        <f>+VLOOKUP($AJ769,Data_Validation!$A:$E,5,0)</f>
        <v>0</v>
      </c>
    </row>
    <row r="770" spans="1:52" ht="15" customHeight="1">
      <c r="A770" s="832" t="s">
        <v>1150</v>
      </c>
      <c r="B770" s="832">
        <v>2025</v>
      </c>
      <c r="C770" s="832" t="s">
        <v>2655</v>
      </c>
      <c r="D770" s="832" t="s">
        <v>2656</v>
      </c>
      <c r="E770" s="832" t="s">
        <v>333</v>
      </c>
      <c r="F770" s="832" t="s">
        <v>2317</v>
      </c>
      <c r="G770" s="832">
        <v>0</v>
      </c>
      <c r="H770" s="832">
        <v>0</v>
      </c>
      <c r="I770" s="832">
        <v>0</v>
      </c>
      <c r="J770" s="832">
        <v>0</v>
      </c>
      <c r="K770" s="832">
        <v>0</v>
      </c>
      <c r="L770" s="832">
        <v>0</v>
      </c>
      <c r="M770" s="832">
        <v>0</v>
      </c>
      <c r="N770" s="832">
        <v>0</v>
      </c>
      <c r="O770" s="832">
        <v>0</v>
      </c>
      <c r="P770" s="832">
        <v>0</v>
      </c>
      <c r="Q770" s="832">
        <v>0</v>
      </c>
      <c r="R770" s="832">
        <v>0</v>
      </c>
      <c r="S770" s="832">
        <v>0</v>
      </c>
      <c r="T770" s="832">
        <v>0</v>
      </c>
      <c r="U770" s="832">
        <v>0</v>
      </c>
      <c r="V770" s="832">
        <v>0</v>
      </c>
      <c r="W770" s="832">
        <v>0</v>
      </c>
      <c r="X770" s="832">
        <v>0</v>
      </c>
      <c r="Y770" s="832">
        <v>0</v>
      </c>
      <c r="Z770" s="832">
        <v>0</v>
      </c>
      <c r="AA770" s="832">
        <v>0</v>
      </c>
      <c r="AB770" s="832">
        <v>0</v>
      </c>
      <c r="AC770" s="832">
        <v>0</v>
      </c>
      <c r="AD770" s="832">
        <v>0</v>
      </c>
      <c r="AE770" s="832">
        <v>0</v>
      </c>
      <c r="AF770" s="832">
        <v>0</v>
      </c>
      <c r="AG770" s="832">
        <v>0</v>
      </c>
      <c r="AH770" s="832">
        <v>0</v>
      </c>
      <c r="AI770" s="832">
        <v>0</v>
      </c>
      <c r="AJ770" s="1030" t="str">
        <f t="shared" si="72"/>
        <v>H60600</v>
      </c>
      <c r="AK770" s="1030" t="str">
        <f t="shared" si="73"/>
        <v>COMMISSION - TAXE VENTES</v>
      </c>
      <c r="AL770" s="1030">
        <f>IFERROR(INDEX(G770:R770,1,MATCH(Parametres!$B$3,G$1:R$1,0)-1)*IF(OR(F770="L",F770="S",F770="I"),-1,1),"")</f>
        <v>0</v>
      </c>
      <c r="AM770" s="1030">
        <f t="shared" si="68"/>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t="str">
        <f t="shared" si="69"/>
        <v>H60600</v>
      </c>
      <c r="AU770" s="599" t="str">
        <f t="shared" si="70"/>
        <v>COMMISSION - TAXE VENTES</v>
      </c>
      <c r="AV770" s="1030">
        <f>IFERROR(INDEX(V770:AG770,1,MATCH(Parametres!$B$3,V$1:AG$1,0)-1)*IF(OR(C770="L",C770="S",C770="I"),-1,1),"")</f>
        <v>0</v>
      </c>
      <c r="AW770" s="1030">
        <f t="shared" si="71"/>
        <v>0</v>
      </c>
      <c r="AX770" s="1030">
        <f>INDEX(V770:AG770,1,MATCH(Parametres!$B$3,V$1:AG$1,0))*IF(OR(C770="L",C770="S",C770="I"),-1,1)</f>
        <v>0</v>
      </c>
      <c r="AY770" s="598" t="s">
        <v>337</v>
      </c>
      <c r="AZ770" s="598" t="e">
        <f>+VLOOKUP($AJ770,Data_Validation!$A:$E,5,0)</f>
        <v>#N/A</v>
      </c>
    </row>
    <row r="771" spans="1:52" ht="15" customHeight="1">
      <c r="A771" s="832" t="s">
        <v>1150</v>
      </c>
      <c r="B771" s="832">
        <v>2025</v>
      </c>
      <c r="C771" s="832" t="s">
        <v>2657</v>
      </c>
      <c r="D771" s="832" t="s">
        <v>2658</v>
      </c>
      <c r="E771" s="832" t="s">
        <v>333</v>
      </c>
      <c r="F771" s="832" t="s">
        <v>2317</v>
      </c>
      <c r="G771" s="832">
        <v>0</v>
      </c>
      <c r="H771" s="832">
        <v>0</v>
      </c>
      <c r="I771" s="832">
        <v>0</v>
      </c>
      <c r="J771" s="832">
        <v>0</v>
      </c>
      <c r="K771" s="832">
        <v>0</v>
      </c>
      <c r="L771" s="832">
        <v>0</v>
      </c>
      <c r="M771" s="832">
        <v>0</v>
      </c>
      <c r="N771" s="832">
        <v>0</v>
      </c>
      <c r="O771" s="832">
        <v>0</v>
      </c>
      <c r="P771" s="832">
        <v>0</v>
      </c>
      <c r="Q771" s="832">
        <v>0</v>
      </c>
      <c r="R771" s="832">
        <v>0</v>
      </c>
      <c r="S771" s="832">
        <v>0</v>
      </c>
      <c r="T771" s="832">
        <v>0</v>
      </c>
      <c r="U771" s="832">
        <v>0</v>
      </c>
      <c r="V771" s="832">
        <v>0</v>
      </c>
      <c r="W771" s="832">
        <v>0</v>
      </c>
      <c r="X771" s="832">
        <v>0</v>
      </c>
      <c r="Y771" s="832">
        <v>0</v>
      </c>
      <c r="Z771" s="832">
        <v>0</v>
      </c>
      <c r="AA771" s="832">
        <v>0</v>
      </c>
      <c r="AB771" s="832">
        <v>0</v>
      </c>
      <c r="AC771" s="832">
        <v>0</v>
      </c>
      <c r="AD771" s="832">
        <v>0</v>
      </c>
      <c r="AE771" s="832">
        <v>0</v>
      </c>
      <c r="AF771" s="832">
        <v>0</v>
      </c>
      <c r="AG771" s="832">
        <v>0</v>
      </c>
      <c r="AH771" s="832">
        <v>0</v>
      </c>
      <c r="AI771" s="832">
        <v>0</v>
      </c>
      <c r="AJ771" s="1030" t="str">
        <f t="shared" si="72"/>
        <v>H60700</v>
      </c>
      <c r="AK771" s="1030" t="str">
        <f t="shared" si="73"/>
        <v>REVENU DE LOCATION CL LT</v>
      </c>
      <c r="AL771" s="1030">
        <f>IFERROR(INDEX(G771:R771,1,MATCH(Parametres!$B$3,G$1:R$1,0)-1)*IF(OR(F771="L",F771="S",F771="I"),-1,1),"")</f>
        <v>0</v>
      </c>
      <c r="AM771" s="1030">
        <f t="shared" si="68"/>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t="str">
        <f t="shared" si="69"/>
        <v>H60700</v>
      </c>
      <c r="AU771" s="599" t="str">
        <f t="shared" si="70"/>
        <v>REVENU DE LOCATION CL LT</v>
      </c>
      <c r="AV771" s="1030">
        <f>IFERROR(INDEX(V771:AG771,1,MATCH(Parametres!$B$3,V$1:AG$1,0)-1)*IF(OR(C771="L",C771="S",C771="I"),-1,1),"")</f>
        <v>0</v>
      </c>
      <c r="AW771" s="1030">
        <f t="shared" si="71"/>
        <v>0</v>
      </c>
      <c r="AX771" s="1030">
        <f>INDEX(V771:AG771,1,MATCH(Parametres!$B$3,V$1:AG$1,0))*IF(OR(C771="L",C771="S",C771="I"),-1,1)</f>
        <v>0</v>
      </c>
      <c r="AY771" s="598" t="s">
        <v>337</v>
      </c>
      <c r="AZ771" s="598" t="e">
        <f>+VLOOKUP($AJ771,Data_Validation!$A:$E,5,0)</f>
        <v>#N/A</v>
      </c>
    </row>
    <row r="772" spans="1:52" ht="15" customHeight="1">
      <c r="A772" s="832" t="s">
        <v>1150</v>
      </c>
      <c r="B772" s="832">
        <v>2025</v>
      </c>
      <c r="C772" s="832" t="s">
        <v>2659</v>
      </c>
      <c r="D772" s="832" t="s">
        <v>2660</v>
      </c>
      <c r="E772" s="832" t="s">
        <v>333</v>
      </c>
      <c r="F772" s="832" t="s">
        <v>2317</v>
      </c>
      <c r="G772" s="832">
        <v>28000</v>
      </c>
      <c r="H772" s="832">
        <v>32350</v>
      </c>
      <c r="I772" s="832">
        <v>38750</v>
      </c>
      <c r="J772" s="832">
        <v>78300</v>
      </c>
      <c r="K772" s="832">
        <v>118550</v>
      </c>
      <c r="L772" s="832">
        <v>129500</v>
      </c>
      <c r="M772" s="832">
        <v>158925</v>
      </c>
      <c r="N772" s="832">
        <v>187800</v>
      </c>
      <c r="O772" s="832">
        <v>196050</v>
      </c>
      <c r="P772" s="832">
        <v>228250</v>
      </c>
      <c r="Q772" s="832">
        <v>258000</v>
      </c>
      <c r="R772" s="832">
        <v>265350</v>
      </c>
      <c r="S772" s="832">
        <v>23454.55</v>
      </c>
      <c r="T772" s="832">
        <v>23454.55</v>
      </c>
      <c r="U772" s="832">
        <v>0</v>
      </c>
      <c r="V772" s="832">
        <v>1</v>
      </c>
      <c r="W772" s="832">
        <v>2</v>
      </c>
      <c r="X772" s="832">
        <v>3</v>
      </c>
      <c r="Y772" s="832">
        <v>4</v>
      </c>
      <c r="Z772" s="832">
        <v>5</v>
      </c>
      <c r="AA772" s="832">
        <v>6</v>
      </c>
      <c r="AB772" s="832">
        <v>7</v>
      </c>
      <c r="AC772" s="832">
        <v>8</v>
      </c>
      <c r="AD772" s="832">
        <v>9</v>
      </c>
      <c r="AE772" s="832">
        <v>10</v>
      </c>
      <c r="AF772" s="832">
        <v>11</v>
      </c>
      <c r="AG772" s="832">
        <v>12</v>
      </c>
      <c r="AH772" s="832">
        <v>1</v>
      </c>
      <c r="AI772" s="832">
        <v>1</v>
      </c>
      <c r="AJ772" s="1030" t="str">
        <f t="shared" si="72"/>
        <v>H60900</v>
      </c>
      <c r="AK772" s="1030" t="str">
        <f t="shared" si="73"/>
        <v>RECOMPENSE ISC</v>
      </c>
      <c r="AL772" s="1030">
        <f>IFERROR(INDEX(G772:R772,1,MATCH(Parametres!$B$3,G$1:R$1,0)-1)*IF(OR(F772="L",F772="S",F772="I"),-1,1),"")</f>
        <v>-78300</v>
      </c>
      <c r="AM772" s="1030">
        <f t="shared" ref="AM772:AM792" si="74">AN772-N(AL772)</f>
        <v>-40250</v>
      </c>
      <c r="AN772" s="1030">
        <f>INDEX(G772:R772,1,MATCH(Parametres!$B$3,G$1:R$1,0))*IF(OR(F772="L",F772="S",F772="I"),-1,1)</f>
        <v>-118550</v>
      </c>
      <c r="AO772" s="598" t="str">
        <f>+VLOOKUP($AJ772,Data_Validation!$A:$D,1,0)</f>
        <v>H60900</v>
      </c>
      <c r="AP772" s="598" t="str">
        <f>+VLOOKUP($AJ772,Data_Validation!$A:$D,3,0)</f>
        <v>Autres</v>
      </c>
      <c r="AQ772" s="598" t="str">
        <f>+VLOOKUP($AJ772,Data_Validation!$A:$D,4,0)</f>
        <v>Revenus autres</v>
      </c>
      <c r="AR772" s="598" t="s">
        <v>299</v>
      </c>
      <c r="AS772" s="598">
        <f>+VLOOKUP($AJ772,Data_Validation!$A:$E,5,0)</f>
        <v>0</v>
      </c>
      <c r="AT772" s="1036" t="str">
        <f t="shared" ref="AT772:AT792" si="75">C772</f>
        <v>H60900</v>
      </c>
      <c r="AU772" s="599" t="str">
        <f t="shared" ref="AU772:AU792" si="76">D772</f>
        <v>RECOMPENSE ISC</v>
      </c>
      <c r="AV772" s="1030">
        <f>IFERROR(INDEX(V772:AG772,1,MATCH(Parametres!$B$3,V$1:AG$1,0)-1)*IF(OR(C772="L",C772="S",C772="I"),-1,1),"")</f>
        <v>4</v>
      </c>
      <c r="AW772" s="1030">
        <f t="shared" ref="AW772:AW792" si="77">AX772-N(AV772)</f>
        <v>1</v>
      </c>
      <c r="AX772" s="1030">
        <f>INDEX(V772:AG772,1,MATCH(Parametres!$B$3,V$1:AG$1,0))*IF(OR(C772="L",C772="S",C772="I"),-1,1)</f>
        <v>5</v>
      </c>
      <c r="AY772" s="598" t="s">
        <v>337</v>
      </c>
      <c r="AZ772" s="598">
        <f>+VLOOKUP($AJ772,Data_Validation!$A:$E,5,0)</f>
        <v>0</v>
      </c>
    </row>
    <row r="773" spans="1:52" ht="15" customHeight="1">
      <c r="A773" s="832" t="s">
        <v>1150</v>
      </c>
      <c r="B773" s="832">
        <v>2025</v>
      </c>
      <c r="C773" s="832" t="s">
        <v>2661</v>
      </c>
      <c r="D773" s="832" t="s">
        <v>2662</v>
      </c>
      <c r="E773" s="832" t="s">
        <v>333</v>
      </c>
      <c r="F773" s="832" t="s">
        <v>2317</v>
      </c>
      <c r="G773" s="832">
        <v>9852.89</v>
      </c>
      <c r="H773" s="832">
        <v>102035.55</v>
      </c>
      <c r="I773" s="832">
        <v>119575.55</v>
      </c>
      <c r="J773" s="832">
        <v>166105.74</v>
      </c>
      <c r="K773" s="832">
        <v>192199.82</v>
      </c>
      <c r="L773" s="832">
        <v>196324.06</v>
      </c>
      <c r="M773" s="832">
        <v>211528.47</v>
      </c>
      <c r="N773" s="832">
        <v>212686.7</v>
      </c>
      <c r="O773" s="832">
        <v>227019.41</v>
      </c>
      <c r="P773" s="832">
        <v>252190.44</v>
      </c>
      <c r="Q773" s="832">
        <v>262503.96999999997</v>
      </c>
      <c r="R773" s="832">
        <v>275454.71999999997</v>
      </c>
      <c r="S773" s="832">
        <v>23864</v>
      </c>
      <c r="T773" s="832">
        <v>23864</v>
      </c>
      <c r="U773" s="832">
        <v>0</v>
      </c>
      <c r="V773" s="832">
        <v>5</v>
      </c>
      <c r="W773" s="832">
        <v>7</v>
      </c>
      <c r="X773" s="832">
        <v>12</v>
      </c>
      <c r="Y773" s="832">
        <v>18</v>
      </c>
      <c r="Z773" s="832">
        <v>23</v>
      </c>
      <c r="AA773" s="832">
        <v>26</v>
      </c>
      <c r="AB773" s="832">
        <v>28</v>
      </c>
      <c r="AC773" s="832">
        <v>28</v>
      </c>
      <c r="AD773" s="832">
        <v>37</v>
      </c>
      <c r="AE773" s="832">
        <v>44</v>
      </c>
      <c r="AF773" s="832">
        <v>44</v>
      </c>
      <c r="AG773" s="832">
        <v>48</v>
      </c>
      <c r="AH773" s="832">
        <v>4</v>
      </c>
      <c r="AI773" s="832">
        <v>4</v>
      </c>
      <c r="AJ773" s="1030" t="str">
        <f t="shared" si="72"/>
        <v>H61000</v>
      </c>
      <c r="AK773" s="1030" t="str">
        <f t="shared" si="73"/>
        <v>RECETTES DIVERSES</v>
      </c>
      <c r="AL773" s="1030">
        <f>IFERROR(INDEX(G773:R773,1,MATCH(Parametres!$B$3,G$1:R$1,0)-1)*IF(OR(F773="L",F773="S",F773="I"),-1,1),"")</f>
        <v>-166105.74</v>
      </c>
      <c r="AM773" s="1030">
        <f t="shared" si="74"/>
        <v>-26094.080000000016</v>
      </c>
      <c r="AN773" s="1030">
        <f>INDEX(G773:R773,1,MATCH(Parametres!$B$3,G$1:R$1,0))*IF(OR(F773="L",F773="S",F773="I"),-1,1)</f>
        <v>-192199.82</v>
      </c>
      <c r="AO773" s="598" t="str">
        <f>+VLOOKUP($AJ773,Data_Validation!$A:$D,1,0)</f>
        <v>H61000</v>
      </c>
      <c r="AP773" s="598" t="str">
        <f>+VLOOKUP($AJ773,Data_Validation!$A:$D,3,0)</f>
        <v>Autres</v>
      </c>
      <c r="AQ773" s="598" t="str">
        <f>+VLOOKUP($AJ773,Data_Validation!$A:$D,4,0)</f>
        <v>Revenus autres</v>
      </c>
      <c r="AR773" s="598" t="s">
        <v>299</v>
      </c>
      <c r="AS773" s="598">
        <f>+VLOOKUP($AJ773,Data_Validation!$A:$E,5,0)</f>
        <v>0</v>
      </c>
      <c r="AT773" s="1036" t="str">
        <f t="shared" si="75"/>
        <v>H61000</v>
      </c>
      <c r="AU773" s="599" t="str">
        <f t="shared" si="76"/>
        <v>RECETTES DIVERSES</v>
      </c>
      <c r="AV773" s="1030">
        <f>IFERROR(INDEX(V773:AG773,1,MATCH(Parametres!$B$3,V$1:AG$1,0)-1)*IF(OR(C773="L",C773="S",C773="I"),-1,1),"")</f>
        <v>18</v>
      </c>
      <c r="AW773" s="1030">
        <f t="shared" si="77"/>
        <v>5</v>
      </c>
      <c r="AX773" s="1030">
        <f>INDEX(V773:AG773,1,MATCH(Parametres!$B$3,V$1:AG$1,0))*IF(OR(C773="L",C773="S",C773="I"),-1,1)</f>
        <v>23</v>
      </c>
      <c r="AY773" s="598" t="s">
        <v>337</v>
      </c>
      <c r="AZ773" s="598">
        <f>+VLOOKUP($AJ773,Data_Validation!$A:$E,5,0)</f>
        <v>0</v>
      </c>
    </row>
    <row r="774" spans="1:52" ht="15" customHeight="1">
      <c r="A774" s="832" t="s">
        <v>1150</v>
      </c>
      <c r="B774" s="832">
        <v>2025</v>
      </c>
      <c r="C774" s="832" t="s">
        <v>2663</v>
      </c>
      <c r="D774" s="832" t="s">
        <v>2664</v>
      </c>
      <c r="E774" s="832" t="s">
        <v>333</v>
      </c>
      <c r="F774" s="832" t="s">
        <v>2317</v>
      </c>
      <c r="G774" s="832">
        <v>0</v>
      </c>
      <c r="H774" s="832">
        <v>0</v>
      </c>
      <c r="I774" s="832">
        <v>0</v>
      </c>
      <c r="J774" s="832">
        <v>0</v>
      </c>
      <c r="K774" s="832">
        <v>0</v>
      </c>
      <c r="L774" s="832">
        <v>0</v>
      </c>
      <c r="M774" s="832">
        <v>0</v>
      </c>
      <c r="N774" s="832">
        <v>0</v>
      </c>
      <c r="O774" s="832">
        <v>0</v>
      </c>
      <c r="P774" s="832">
        <v>0</v>
      </c>
      <c r="Q774" s="832">
        <v>0</v>
      </c>
      <c r="R774" s="832">
        <v>0</v>
      </c>
      <c r="S774" s="832">
        <v>0</v>
      </c>
      <c r="T774" s="832">
        <v>0</v>
      </c>
      <c r="U774" s="832">
        <v>0</v>
      </c>
      <c r="V774" s="832">
        <v>0</v>
      </c>
      <c r="W774" s="832">
        <v>0</v>
      </c>
      <c r="X774" s="832">
        <v>0</v>
      </c>
      <c r="Y774" s="832">
        <v>0</v>
      </c>
      <c r="Z774" s="832">
        <v>0</v>
      </c>
      <c r="AA774" s="832">
        <v>0</v>
      </c>
      <c r="AB774" s="832">
        <v>0</v>
      </c>
      <c r="AC774" s="832">
        <v>0</v>
      </c>
      <c r="AD774" s="832">
        <v>0</v>
      </c>
      <c r="AE774" s="832">
        <v>0</v>
      </c>
      <c r="AF774" s="832">
        <v>0</v>
      </c>
      <c r="AG774" s="832">
        <v>0</v>
      </c>
      <c r="AH774" s="832">
        <v>0</v>
      </c>
      <c r="AI774" s="832">
        <v>0</v>
      </c>
      <c r="AJ774" s="1030" t="str">
        <f t="shared" si="72"/>
        <v>H61100</v>
      </c>
      <c r="AK774" s="1030" t="str">
        <f t="shared" si="73"/>
        <v>AMORT DES ACTIFS INCORPOR</v>
      </c>
      <c r="AL774" s="1030">
        <f>IFERROR(INDEX(G774:R774,1,MATCH(Parametres!$B$3,G$1:R$1,0)-1)*IF(OR(F774="L",F774="S",F774="I"),-1,1),"")</f>
        <v>0</v>
      </c>
      <c r="AM774" s="1030">
        <f t="shared" si="74"/>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t="str">
        <f t="shared" si="75"/>
        <v>H61100</v>
      </c>
      <c r="AU774" s="599" t="str">
        <f t="shared" si="76"/>
        <v>AMORT DES ACTIFS INCORPOR</v>
      </c>
      <c r="AV774" s="1030">
        <f>IFERROR(INDEX(V774:AG774,1,MATCH(Parametres!$B$3,V$1:AG$1,0)-1)*IF(OR(C774="L",C774="S",C774="I"),-1,1),"")</f>
        <v>0</v>
      </c>
      <c r="AW774" s="1030">
        <f t="shared" si="77"/>
        <v>0</v>
      </c>
      <c r="AX774" s="1030">
        <f>INDEX(V774:AG774,1,MATCH(Parametres!$B$3,V$1:AG$1,0))*IF(OR(C774="L",C774="S",C774="I"),-1,1)</f>
        <v>0</v>
      </c>
      <c r="AY774" s="598" t="s">
        <v>337</v>
      </c>
      <c r="AZ774" s="598" t="e">
        <f>+VLOOKUP($AJ774,Data_Validation!$A:$E,5,0)</f>
        <v>#N/A</v>
      </c>
    </row>
    <row r="775" spans="1:52" ht="15" customHeight="1">
      <c r="A775" s="832" t="s">
        <v>1150</v>
      </c>
      <c r="B775" s="832">
        <v>2025</v>
      </c>
      <c r="C775" s="832" t="s">
        <v>2665</v>
      </c>
      <c r="D775" s="832" t="s">
        <v>2666</v>
      </c>
      <c r="E775" s="832" t="s">
        <v>333</v>
      </c>
      <c r="F775" s="832" t="s">
        <v>2317</v>
      </c>
      <c r="G775" s="832">
        <v>0</v>
      </c>
      <c r="H775" s="832">
        <v>0</v>
      </c>
      <c r="I775" s="832">
        <v>0</v>
      </c>
      <c r="J775" s="832">
        <v>0</v>
      </c>
      <c r="K775" s="832">
        <v>0</v>
      </c>
      <c r="L775" s="832">
        <v>0</v>
      </c>
      <c r="M775" s="832">
        <v>0</v>
      </c>
      <c r="N775" s="832">
        <v>0</v>
      </c>
      <c r="O775" s="832">
        <v>0</v>
      </c>
      <c r="P775" s="832">
        <v>0</v>
      </c>
      <c r="Q775" s="832">
        <v>0</v>
      </c>
      <c r="R775" s="832">
        <v>0</v>
      </c>
      <c r="S775" s="832">
        <v>0</v>
      </c>
      <c r="T775" s="832">
        <v>0</v>
      </c>
      <c r="U775" s="832">
        <v>0</v>
      </c>
      <c r="V775" s="832">
        <v>0</v>
      </c>
      <c r="W775" s="832">
        <v>0</v>
      </c>
      <c r="X775" s="832">
        <v>0</v>
      </c>
      <c r="Y775" s="832">
        <v>0</v>
      </c>
      <c r="Z775" s="832">
        <v>0</v>
      </c>
      <c r="AA775" s="832">
        <v>0</v>
      </c>
      <c r="AB775" s="832">
        <v>0</v>
      </c>
      <c r="AC775" s="832">
        <v>0</v>
      </c>
      <c r="AD775" s="832">
        <v>0</v>
      </c>
      <c r="AE775" s="832">
        <v>0</v>
      </c>
      <c r="AF775" s="832">
        <v>0</v>
      </c>
      <c r="AG775" s="832">
        <v>0</v>
      </c>
      <c r="AH775" s="832">
        <v>0</v>
      </c>
      <c r="AI775" s="832">
        <v>0</v>
      </c>
      <c r="AJ775" s="1030" t="str">
        <f t="shared" si="72"/>
        <v>H61800</v>
      </c>
      <c r="AK775" s="1030" t="str">
        <f t="shared" si="73"/>
        <v>GENESIS RX SUPPORT</v>
      </c>
      <c r="AL775" s="1030">
        <f>IFERROR(INDEX(G775:R775,1,MATCH(Parametres!$B$3,G$1:R$1,0)-1)*IF(OR(F775="L",F775="S",F775="I"),-1,1),"")</f>
        <v>0</v>
      </c>
      <c r="AM775" s="1030">
        <f t="shared" si="74"/>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t="str">
        <f t="shared" si="75"/>
        <v>H61800</v>
      </c>
      <c r="AU775" s="599" t="str">
        <f t="shared" si="76"/>
        <v>GENESIS RX SUPPORT</v>
      </c>
      <c r="AV775" s="1030">
        <f>IFERROR(INDEX(V775:AG775,1,MATCH(Parametres!$B$3,V$1:AG$1,0)-1)*IF(OR(C775="L",C775="S",C775="I"),-1,1),"")</f>
        <v>0</v>
      </c>
      <c r="AW775" s="1030">
        <f t="shared" si="77"/>
        <v>0</v>
      </c>
      <c r="AX775" s="1030">
        <f>INDEX(V775:AG775,1,MATCH(Parametres!$B$3,V$1:AG$1,0))*IF(OR(C775="L",C775="S",C775="I"),-1,1)</f>
        <v>0</v>
      </c>
      <c r="AY775" s="598" t="s">
        <v>337</v>
      </c>
      <c r="AZ775" s="598" t="e">
        <f>+VLOOKUP($AJ775,Data_Validation!$A:$E,5,0)</f>
        <v>#N/A</v>
      </c>
    </row>
    <row r="776" spans="1:52" ht="15" customHeight="1">
      <c r="A776" s="832" t="s">
        <v>1150</v>
      </c>
      <c r="B776" s="832">
        <v>2025</v>
      </c>
      <c r="C776" s="832" t="s">
        <v>2667</v>
      </c>
      <c r="D776" s="832" t="s">
        <v>2668</v>
      </c>
      <c r="E776" s="832" t="s">
        <v>333</v>
      </c>
      <c r="F776" s="832" t="s">
        <v>1119</v>
      </c>
      <c r="G776" s="832">
        <v>5410.24</v>
      </c>
      <c r="H776" s="832">
        <v>9100.93</v>
      </c>
      <c r="I776" s="832">
        <v>14340.57</v>
      </c>
      <c r="J776" s="832">
        <v>23353.27</v>
      </c>
      <c r="K776" s="832">
        <v>31089.87</v>
      </c>
      <c r="L776" s="832">
        <v>37240.400000000001</v>
      </c>
      <c r="M776" s="832">
        <v>42568.43</v>
      </c>
      <c r="N776" s="832">
        <v>46807.040000000001</v>
      </c>
      <c r="O776" s="832">
        <v>51946.720000000001</v>
      </c>
      <c r="P776" s="832">
        <v>59764.78</v>
      </c>
      <c r="Q776" s="832">
        <v>67807.539999999994</v>
      </c>
      <c r="R776" s="832">
        <v>72455</v>
      </c>
      <c r="S776" s="832">
        <v>6164.32</v>
      </c>
      <c r="T776" s="832">
        <v>6164.32</v>
      </c>
      <c r="U776" s="832">
        <v>0</v>
      </c>
      <c r="V776" s="832">
        <v>0</v>
      </c>
      <c r="W776" s="832">
        <v>0</v>
      </c>
      <c r="X776" s="832">
        <v>0</v>
      </c>
      <c r="Y776" s="832">
        <v>0</v>
      </c>
      <c r="Z776" s="832">
        <v>0</v>
      </c>
      <c r="AA776" s="832">
        <v>0</v>
      </c>
      <c r="AB776" s="832">
        <v>0</v>
      </c>
      <c r="AC776" s="832">
        <v>0</v>
      </c>
      <c r="AD776" s="832">
        <v>0</v>
      </c>
      <c r="AE776" s="832">
        <v>0</v>
      </c>
      <c r="AF776" s="832">
        <v>0</v>
      </c>
      <c r="AG776" s="832">
        <v>0</v>
      </c>
      <c r="AH776" s="832">
        <v>0</v>
      </c>
      <c r="AI776" s="832">
        <v>0</v>
      </c>
      <c r="AJ776" s="1030" t="str">
        <f t="shared" si="72"/>
        <v>H70100</v>
      </c>
      <c r="AK776" s="1030" t="str">
        <f t="shared" si="73"/>
        <v>FRAIS BANCAIRES &amp; AUTRES</v>
      </c>
      <c r="AL776" s="1030">
        <f>IFERROR(INDEX(G776:R776,1,MATCH(Parametres!$B$3,G$1:R$1,0)-1)*IF(OR(F776="L",F776="S",F776="I"),-1,1),"")</f>
        <v>23353.27</v>
      </c>
      <c r="AM776" s="1030">
        <f t="shared" si="74"/>
        <v>7736.5999999999985</v>
      </c>
      <c r="AN776" s="1030">
        <f>INDEX(G776:R776,1,MATCH(Parametres!$B$3,G$1:R$1,0))*IF(OR(F776="L",F776="S",F776="I"),-1,1)</f>
        <v>31089.87</v>
      </c>
      <c r="AO776" s="598" t="str">
        <f>+VLOOKUP($AJ776,Data_Validation!$A:$D,1,0)</f>
        <v>H70100</v>
      </c>
      <c r="AP776" s="598" t="str">
        <f>+VLOOKUP($AJ776,Data_Validation!$A:$D,3,0)</f>
        <v>Autres</v>
      </c>
      <c r="AQ776" s="598" t="str">
        <f>+VLOOKUP($AJ776,Data_Validation!$A:$D,4,0)</f>
        <v>Frais bancaires</v>
      </c>
      <c r="AR776" s="598" t="s">
        <v>299</v>
      </c>
      <c r="AS776" s="598">
        <f>+VLOOKUP($AJ776,Data_Validation!$A:$E,5,0)</f>
        <v>0</v>
      </c>
      <c r="AT776" s="1036" t="str">
        <f t="shared" si="75"/>
        <v>H70100</v>
      </c>
      <c r="AU776" s="599" t="str">
        <f t="shared" si="76"/>
        <v>FRAIS BANCAIRES &amp; AUTRES</v>
      </c>
      <c r="AV776" s="1030">
        <f>IFERROR(INDEX(V776:AG776,1,MATCH(Parametres!$B$3,V$1:AG$1,0)-1)*IF(OR(C776="L",C776="S",C776="I"),-1,1),"")</f>
        <v>0</v>
      </c>
      <c r="AW776" s="1030">
        <f t="shared" si="77"/>
        <v>0</v>
      </c>
      <c r="AX776" s="1030">
        <f>INDEX(V776:AG776,1,MATCH(Parametres!$B$3,V$1:AG$1,0))*IF(OR(C776="L",C776="S",C776="I"),-1,1)</f>
        <v>0</v>
      </c>
      <c r="AY776" s="598" t="s">
        <v>337</v>
      </c>
      <c r="AZ776" s="598">
        <f>+VLOOKUP($AJ776,Data_Validation!$A:$E,5,0)</f>
        <v>0</v>
      </c>
    </row>
    <row r="777" spans="1:52" ht="15" customHeight="1">
      <c r="A777" s="832" t="s">
        <v>1150</v>
      </c>
      <c r="B777" s="832">
        <v>2025</v>
      </c>
      <c r="C777" s="832" t="s">
        <v>2669</v>
      </c>
      <c r="D777" s="832" t="s">
        <v>2670</v>
      </c>
      <c r="E777" s="832" t="s">
        <v>333</v>
      </c>
      <c r="F777" s="832" t="s">
        <v>1119</v>
      </c>
      <c r="G777" s="832">
        <v>0</v>
      </c>
      <c r="H777" s="832">
        <v>0</v>
      </c>
      <c r="I777" s="832">
        <v>0</v>
      </c>
      <c r="J777" s="832">
        <v>0</v>
      </c>
      <c r="K777" s="832">
        <v>0</v>
      </c>
      <c r="L777" s="832">
        <v>0</v>
      </c>
      <c r="M777" s="832">
        <v>0</v>
      </c>
      <c r="N777" s="832">
        <v>0</v>
      </c>
      <c r="O777" s="832">
        <v>0</v>
      </c>
      <c r="P777" s="832">
        <v>0</v>
      </c>
      <c r="Q777" s="832">
        <v>0</v>
      </c>
      <c r="R777" s="832">
        <v>0</v>
      </c>
      <c r="S777" s="832">
        <v>0</v>
      </c>
      <c r="T777" s="832">
        <v>0</v>
      </c>
      <c r="U777" s="832">
        <v>0</v>
      </c>
      <c r="V777" s="832">
        <v>0</v>
      </c>
      <c r="W777" s="832">
        <v>0</v>
      </c>
      <c r="X777" s="832">
        <v>0</v>
      </c>
      <c r="Y777" s="832">
        <v>0</v>
      </c>
      <c r="Z777" s="832">
        <v>0</v>
      </c>
      <c r="AA777" s="832">
        <v>0</v>
      </c>
      <c r="AB777" s="832">
        <v>0</v>
      </c>
      <c r="AC777" s="832">
        <v>0</v>
      </c>
      <c r="AD777" s="832">
        <v>0</v>
      </c>
      <c r="AE777" s="832">
        <v>0</v>
      </c>
      <c r="AF777" s="832">
        <v>0</v>
      </c>
      <c r="AG777" s="832">
        <v>0</v>
      </c>
      <c r="AH777" s="832">
        <v>0</v>
      </c>
      <c r="AI777" s="832">
        <v>0</v>
      </c>
      <c r="AJ777" s="1030" t="str">
        <f t="shared" si="72"/>
        <v>H70200</v>
      </c>
      <c r="AK777" s="1030" t="str">
        <f t="shared" si="73"/>
        <v>INTERET - PRET A TERME TD</v>
      </c>
      <c r="AL777" s="1030">
        <f>IFERROR(INDEX(G777:R777,1,MATCH(Parametres!$B$3,G$1:R$1,0)-1)*IF(OR(F777="L",F777="S",F777="I"),-1,1),"")</f>
        <v>0</v>
      </c>
      <c r="AM777" s="1030">
        <f t="shared" si="74"/>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t="str">
        <f t="shared" si="75"/>
        <v>H70200</v>
      </c>
      <c r="AU777" s="599" t="str">
        <f t="shared" si="76"/>
        <v>INTERET - PRET A TERME TD</v>
      </c>
      <c r="AV777" s="1030">
        <f>IFERROR(INDEX(V777:AG777,1,MATCH(Parametres!$B$3,V$1:AG$1,0)-1)*IF(OR(C777="L",C777="S",C777="I"),-1,1),"")</f>
        <v>0</v>
      </c>
      <c r="AW777" s="1030">
        <f t="shared" si="77"/>
        <v>0</v>
      </c>
      <c r="AX777" s="1030">
        <f>INDEX(V777:AG777,1,MATCH(Parametres!$B$3,V$1:AG$1,0))*IF(OR(C777="L",C777="S",C777="I"),-1,1)</f>
        <v>0</v>
      </c>
      <c r="AY777" s="598" t="s">
        <v>337</v>
      </c>
      <c r="AZ777" s="598" t="e">
        <f>+VLOOKUP($AJ777,Data_Validation!$A:$E,5,0)</f>
        <v>#N/A</v>
      </c>
    </row>
    <row r="778" spans="1:52" ht="15" customHeight="1">
      <c r="A778" s="832" t="s">
        <v>1150</v>
      </c>
      <c r="B778" s="832">
        <v>2025</v>
      </c>
      <c r="C778" s="832" t="s">
        <v>2671</v>
      </c>
      <c r="D778" s="832" t="s">
        <v>2672</v>
      </c>
      <c r="E778" s="832" t="s">
        <v>333</v>
      </c>
      <c r="F778" s="832" t="s">
        <v>1119</v>
      </c>
      <c r="G778" s="832">
        <v>0</v>
      </c>
      <c r="H778" s="832">
        <v>0</v>
      </c>
      <c r="I778" s="832">
        <v>0</v>
      </c>
      <c r="J778" s="832">
        <v>0</v>
      </c>
      <c r="K778" s="832">
        <v>0</v>
      </c>
      <c r="L778" s="832">
        <v>0</v>
      </c>
      <c r="M778" s="832">
        <v>0</v>
      </c>
      <c r="N778" s="832">
        <v>0</v>
      </c>
      <c r="O778" s="832">
        <v>21217</v>
      </c>
      <c r="P778" s="832">
        <v>21217</v>
      </c>
      <c r="Q778" s="832">
        <v>35384</v>
      </c>
      <c r="R778" s="832">
        <v>35384</v>
      </c>
      <c r="S778" s="832">
        <v>3216.73</v>
      </c>
      <c r="T778" s="832">
        <v>3216.73</v>
      </c>
      <c r="U778" s="832">
        <v>0</v>
      </c>
      <c r="V778" s="832">
        <v>0</v>
      </c>
      <c r="W778" s="832">
        <v>0</v>
      </c>
      <c r="X778" s="832">
        <v>0</v>
      </c>
      <c r="Y778" s="832">
        <v>0</v>
      </c>
      <c r="Z778" s="832">
        <v>0</v>
      </c>
      <c r="AA778" s="832">
        <v>0</v>
      </c>
      <c r="AB778" s="832">
        <v>0</v>
      </c>
      <c r="AC778" s="832">
        <v>0</v>
      </c>
      <c r="AD778" s="832">
        <v>0</v>
      </c>
      <c r="AE778" s="832">
        <v>0</v>
      </c>
      <c r="AF778" s="832">
        <v>0</v>
      </c>
      <c r="AG778" s="832">
        <v>0</v>
      </c>
      <c r="AH778" s="832">
        <v>0</v>
      </c>
      <c r="AI778" s="832">
        <v>0</v>
      </c>
      <c r="AJ778" s="1030" t="str">
        <f t="shared" si="72"/>
        <v>H70300</v>
      </c>
      <c r="AK778" s="1030" t="str">
        <f t="shared" si="73"/>
        <v>INT SOLDE DE PRIX VENTE</v>
      </c>
      <c r="AL778" s="1030">
        <f>IFERROR(INDEX(G778:R778,1,MATCH(Parametres!$B$3,G$1:R$1,0)-1)*IF(OR(F778="L",F778="S",F778="I"),-1,1),"")</f>
        <v>0</v>
      </c>
      <c r="AM778" s="1030">
        <f t="shared" si="74"/>
        <v>0</v>
      </c>
      <c r="AN778" s="1030">
        <f>INDEX(G778:R778,1,MATCH(Parametres!$B$3,G$1:R$1,0))*IF(OR(F778="L",F778="S",F778="I"),-1,1)</f>
        <v>0</v>
      </c>
      <c r="AO778" s="598" t="str">
        <f>+VLOOKUP($AJ778,Data_Validation!$A:$D,1,0)</f>
        <v>H70300</v>
      </c>
      <c r="AP778" s="598" t="str">
        <f>+VLOOKUP($AJ778,Data_Validation!$A:$D,3,0)</f>
        <v>Autres</v>
      </c>
      <c r="AQ778" s="598" t="str">
        <f>+VLOOKUP($AJ778,Data_Validation!$A:$D,4,0)</f>
        <v>Intérêts sur prêt</v>
      </c>
      <c r="AR778" s="598" t="s">
        <v>299</v>
      </c>
      <c r="AS778" s="598">
        <f>+VLOOKUP($AJ778,Data_Validation!$A:$E,5,0)</f>
        <v>0</v>
      </c>
      <c r="AT778" s="1036" t="str">
        <f t="shared" si="75"/>
        <v>H70300</v>
      </c>
      <c r="AU778" s="599" t="str">
        <f t="shared" si="76"/>
        <v>INT SOLDE DE PRIX VENTE</v>
      </c>
      <c r="AV778" s="1030">
        <f>IFERROR(INDEX(V778:AG778,1,MATCH(Parametres!$B$3,V$1:AG$1,0)-1)*IF(OR(C778="L",C778="S",C778="I"),-1,1),"")</f>
        <v>0</v>
      </c>
      <c r="AW778" s="1030">
        <f t="shared" si="77"/>
        <v>0</v>
      </c>
      <c r="AX778" s="1030">
        <f>INDEX(V778:AG778,1,MATCH(Parametres!$B$3,V$1:AG$1,0))*IF(OR(C778="L",C778="S",C778="I"),-1,1)</f>
        <v>0</v>
      </c>
      <c r="AY778" s="598" t="s">
        <v>337</v>
      </c>
      <c r="AZ778" s="598">
        <f>+VLOOKUP($AJ778,Data_Validation!$A:$E,5,0)</f>
        <v>0</v>
      </c>
    </row>
    <row r="779" spans="1:52" ht="15" customHeight="1">
      <c r="A779" s="832" t="s">
        <v>1150</v>
      </c>
      <c r="B779" s="832">
        <v>2025</v>
      </c>
      <c r="C779" s="832" t="s">
        <v>2673</v>
      </c>
      <c r="D779" s="832" t="s">
        <v>2674</v>
      </c>
      <c r="E779" s="832" t="s">
        <v>333</v>
      </c>
      <c r="F779" s="832" t="s">
        <v>1119</v>
      </c>
      <c r="G779" s="832">
        <v>0</v>
      </c>
      <c r="H779" s="832">
        <v>0</v>
      </c>
      <c r="I779" s="832">
        <v>0</v>
      </c>
      <c r="J779" s="832">
        <v>0</v>
      </c>
      <c r="K779" s="832">
        <v>0</v>
      </c>
      <c r="L779" s="832">
        <v>0</v>
      </c>
      <c r="M779" s="832">
        <v>0</v>
      </c>
      <c r="N779" s="832">
        <v>0</v>
      </c>
      <c r="O779" s="832">
        <v>0</v>
      </c>
      <c r="P779" s="832">
        <v>0</v>
      </c>
      <c r="Q779" s="832">
        <v>0</v>
      </c>
      <c r="R779" s="832">
        <v>0</v>
      </c>
      <c r="S779" s="832">
        <v>0</v>
      </c>
      <c r="T779" s="832">
        <v>0</v>
      </c>
      <c r="U779" s="832">
        <v>0</v>
      </c>
      <c r="V779" s="832">
        <v>0</v>
      </c>
      <c r="W779" s="832">
        <v>0</v>
      </c>
      <c r="X779" s="832">
        <v>0</v>
      </c>
      <c r="Y779" s="832">
        <v>0</v>
      </c>
      <c r="Z779" s="832">
        <v>0</v>
      </c>
      <c r="AA779" s="832">
        <v>0</v>
      </c>
      <c r="AB779" s="832">
        <v>0</v>
      </c>
      <c r="AC779" s="832">
        <v>0</v>
      </c>
      <c r="AD779" s="832">
        <v>0</v>
      </c>
      <c r="AE779" s="832">
        <v>0</v>
      </c>
      <c r="AF779" s="832">
        <v>0</v>
      </c>
      <c r="AG779" s="832">
        <v>0</v>
      </c>
      <c r="AH779" s="832">
        <v>0</v>
      </c>
      <c r="AI779" s="832">
        <v>0</v>
      </c>
      <c r="AJ779" s="1030" t="str">
        <f t="shared" si="72"/>
        <v>H70400</v>
      </c>
      <c r="AK779" s="1030" t="str">
        <f t="shared" si="73"/>
        <v>FRAIS RECOUV. CREANCES</v>
      </c>
      <c r="AL779" s="1030">
        <f>IFERROR(INDEX(G779:R779,1,MATCH(Parametres!$B$3,G$1:R$1,0)-1)*IF(OR(F779="L",F779="S",F779="I"),-1,1),"")</f>
        <v>0</v>
      </c>
      <c r="AM779" s="1030">
        <f t="shared" si="74"/>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t="str">
        <f t="shared" si="75"/>
        <v>H70400</v>
      </c>
      <c r="AU779" s="599" t="str">
        <f t="shared" si="76"/>
        <v>FRAIS RECOUV. CREANCES</v>
      </c>
      <c r="AV779" s="1030">
        <f>IFERROR(INDEX(V779:AG779,1,MATCH(Parametres!$B$3,V$1:AG$1,0)-1)*IF(OR(C779="L",C779="S",C779="I"),-1,1),"")</f>
        <v>0</v>
      </c>
      <c r="AW779" s="1030">
        <f t="shared" si="77"/>
        <v>0</v>
      </c>
      <c r="AX779" s="1030">
        <f>INDEX(V779:AG779,1,MATCH(Parametres!$B$3,V$1:AG$1,0))*IF(OR(C779="L",C779="S",C779="I"),-1,1)</f>
        <v>0</v>
      </c>
      <c r="AY779" s="598" t="s">
        <v>337</v>
      </c>
      <c r="AZ779" s="598" t="e">
        <f>+VLOOKUP($AJ779,Data_Validation!$A:$E,5,0)</f>
        <v>#N/A</v>
      </c>
    </row>
    <row r="780" spans="1:52" ht="15" customHeight="1">
      <c r="A780" s="832" t="s">
        <v>1150</v>
      </c>
      <c r="B780" s="832">
        <v>2025</v>
      </c>
      <c r="C780" s="832" t="s">
        <v>2675</v>
      </c>
      <c r="D780" s="832" t="s">
        <v>2676</v>
      </c>
      <c r="E780" s="832" t="s">
        <v>333</v>
      </c>
      <c r="F780" s="832" t="s">
        <v>1119</v>
      </c>
      <c r="G780" s="832">
        <v>0</v>
      </c>
      <c r="H780" s="832">
        <v>0</v>
      </c>
      <c r="I780" s="832">
        <v>0</v>
      </c>
      <c r="J780" s="832">
        <v>0</v>
      </c>
      <c r="K780" s="832">
        <v>0</v>
      </c>
      <c r="L780" s="832">
        <v>0</v>
      </c>
      <c r="M780" s="832">
        <v>0</v>
      </c>
      <c r="N780" s="832">
        <v>0</v>
      </c>
      <c r="O780" s="832">
        <v>0</v>
      </c>
      <c r="P780" s="832">
        <v>0</v>
      </c>
      <c r="Q780" s="832">
        <v>0</v>
      </c>
      <c r="R780" s="832">
        <v>0</v>
      </c>
      <c r="S780" s="832">
        <v>0</v>
      </c>
      <c r="T780" s="832">
        <v>0</v>
      </c>
      <c r="U780" s="832">
        <v>0</v>
      </c>
      <c r="V780" s="832">
        <v>0</v>
      </c>
      <c r="W780" s="832">
        <v>0</v>
      </c>
      <c r="X780" s="832">
        <v>0</v>
      </c>
      <c r="Y780" s="832">
        <v>0</v>
      </c>
      <c r="Z780" s="832">
        <v>0</v>
      </c>
      <c r="AA780" s="832">
        <v>0</v>
      </c>
      <c r="AB780" s="832">
        <v>0</v>
      </c>
      <c r="AC780" s="832">
        <v>0</v>
      </c>
      <c r="AD780" s="832">
        <v>0</v>
      </c>
      <c r="AE780" s="832">
        <v>0</v>
      </c>
      <c r="AF780" s="832">
        <v>0</v>
      </c>
      <c r="AG780" s="832">
        <v>0</v>
      </c>
      <c r="AH780" s="832">
        <v>0</v>
      </c>
      <c r="AI780" s="832">
        <v>0</v>
      </c>
      <c r="AJ780" s="1030" t="str">
        <f t="shared" si="72"/>
        <v>H70600</v>
      </c>
      <c r="AK780" s="1030" t="str">
        <f t="shared" si="73"/>
        <v>JETONS DE PRESENCES</v>
      </c>
      <c r="AL780" s="1030">
        <f>IFERROR(INDEX(G780:R780,1,MATCH(Parametres!$B$3,G$1:R$1,0)-1)*IF(OR(F780="L",F780="S",F780="I"),-1,1),"")</f>
        <v>0</v>
      </c>
      <c r="AM780" s="1030">
        <f t="shared" si="74"/>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t="str">
        <f t="shared" si="75"/>
        <v>H70600</v>
      </c>
      <c r="AU780" s="599" t="str">
        <f t="shared" si="76"/>
        <v>JETONS DE PRESENCES</v>
      </c>
      <c r="AV780" s="1030">
        <f>IFERROR(INDEX(V780:AG780,1,MATCH(Parametres!$B$3,V$1:AG$1,0)-1)*IF(OR(C780="L",C780="S",C780="I"),-1,1),"")</f>
        <v>0</v>
      </c>
      <c r="AW780" s="1030">
        <f t="shared" si="77"/>
        <v>0</v>
      </c>
      <c r="AX780" s="1030">
        <f>INDEX(V780:AG780,1,MATCH(Parametres!$B$3,V$1:AG$1,0))*IF(OR(C780="L",C780="S",C780="I"),-1,1)</f>
        <v>0</v>
      </c>
      <c r="AY780" s="598" t="s">
        <v>337</v>
      </c>
      <c r="AZ780" s="598" t="e">
        <f>+VLOOKUP($AJ780,Data_Validation!$A:$E,5,0)</f>
        <v>#N/A</v>
      </c>
    </row>
    <row r="781" spans="1:52" ht="15" customHeight="1">
      <c r="A781" s="832" t="s">
        <v>1150</v>
      </c>
      <c r="B781" s="832">
        <v>2025</v>
      </c>
      <c r="C781" s="832" t="s">
        <v>2677</v>
      </c>
      <c r="D781" s="832" t="s">
        <v>2678</v>
      </c>
      <c r="E781" s="832" t="s">
        <v>333</v>
      </c>
      <c r="F781" s="832" t="s">
        <v>1119</v>
      </c>
      <c r="G781" s="832">
        <v>0</v>
      </c>
      <c r="H781" s="832">
        <v>0</v>
      </c>
      <c r="I781" s="832">
        <v>0</v>
      </c>
      <c r="J781" s="832">
        <v>0</v>
      </c>
      <c r="K781" s="832">
        <v>0</v>
      </c>
      <c r="L781" s="832">
        <v>0</v>
      </c>
      <c r="M781" s="832">
        <v>0</v>
      </c>
      <c r="N781" s="832">
        <v>0</v>
      </c>
      <c r="O781" s="832">
        <v>0</v>
      </c>
      <c r="P781" s="832">
        <v>0</v>
      </c>
      <c r="Q781" s="832">
        <v>0</v>
      </c>
      <c r="R781" s="832">
        <v>0</v>
      </c>
      <c r="S781" s="832">
        <v>0</v>
      </c>
      <c r="T781" s="832">
        <v>0</v>
      </c>
      <c r="U781" s="832">
        <v>0</v>
      </c>
      <c r="V781" s="832">
        <v>0</v>
      </c>
      <c r="W781" s="832">
        <v>0</v>
      </c>
      <c r="X781" s="832">
        <v>0</v>
      </c>
      <c r="Y781" s="832">
        <v>0</v>
      </c>
      <c r="Z781" s="832">
        <v>0</v>
      </c>
      <c r="AA781" s="832">
        <v>0</v>
      </c>
      <c r="AB781" s="832">
        <v>0</v>
      </c>
      <c r="AC781" s="832">
        <v>0</v>
      </c>
      <c r="AD781" s="832">
        <v>0</v>
      </c>
      <c r="AE781" s="832">
        <v>0</v>
      </c>
      <c r="AF781" s="832">
        <v>0</v>
      </c>
      <c r="AG781" s="832">
        <v>0</v>
      </c>
      <c r="AH781" s="832">
        <v>0</v>
      </c>
      <c r="AI781" s="832">
        <v>0</v>
      </c>
      <c r="AJ781" s="1030" t="str">
        <f t="shared" si="72"/>
        <v>H70700</v>
      </c>
      <c r="AK781" s="1030" t="str">
        <f t="shared" si="73"/>
        <v>FRAIS LOCATION CL LT</v>
      </c>
      <c r="AL781" s="1030">
        <f>IFERROR(INDEX(G781:R781,1,MATCH(Parametres!$B$3,G$1:R$1,0)-1)*IF(OR(F781="L",F781="S",F781="I"),-1,1),"")</f>
        <v>0</v>
      </c>
      <c r="AM781" s="1030">
        <f t="shared" si="74"/>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t="str">
        <f t="shared" si="75"/>
        <v>H70700</v>
      </c>
      <c r="AU781" s="599" t="str">
        <f t="shared" si="76"/>
        <v>FRAIS LOCATION CL LT</v>
      </c>
      <c r="AV781" s="1030">
        <f>IFERROR(INDEX(V781:AG781,1,MATCH(Parametres!$B$3,V$1:AG$1,0)-1)*IF(OR(C781="L",C781="S",C781="I"),-1,1),"")</f>
        <v>0</v>
      </c>
      <c r="AW781" s="1030">
        <f t="shared" si="77"/>
        <v>0</v>
      </c>
      <c r="AX781" s="1030">
        <f>INDEX(V781:AG781,1,MATCH(Parametres!$B$3,V$1:AG$1,0))*IF(OR(C781="L",C781="S",C781="I"),-1,1)</f>
        <v>0</v>
      </c>
      <c r="AY781" s="598" t="s">
        <v>337</v>
      </c>
      <c r="AZ781" s="598" t="e">
        <f>+VLOOKUP($AJ781,Data_Validation!$A:$E,5,0)</f>
        <v>#N/A</v>
      </c>
    </row>
    <row r="782" spans="1:52" ht="15" customHeight="1">
      <c r="A782" s="832" t="s">
        <v>1150</v>
      </c>
      <c r="B782" s="832">
        <v>2025</v>
      </c>
      <c r="C782" s="832" t="s">
        <v>2679</v>
      </c>
      <c r="D782" s="832" t="s">
        <v>2680</v>
      </c>
      <c r="E782" s="832" t="s">
        <v>333</v>
      </c>
      <c r="F782" s="832" t="s">
        <v>1119</v>
      </c>
      <c r="G782" s="832">
        <v>0</v>
      </c>
      <c r="H782" s="832">
        <v>0</v>
      </c>
      <c r="I782" s="832">
        <v>0</v>
      </c>
      <c r="J782" s="832">
        <v>0</v>
      </c>
      <c r="K782" s="832">
        <v>0</v>
      </c>
      <c r="L782" s="832">
        <v>0</v>
      </c>
      <c r="M782" s="832">
        <v>0</v>
      </c>
      <c r="N782" s="832">
        <v>9740.69</v>
      </c>
      <c r="O782" s="832">
        <v>9740.69</v>
      </c>
      <c r="P782" s="832">
        <v>9740.69</v>
      </c>
      <c r="Q782" s="832">
        <v>9740.69</v>
      </c>
      <c r="R782" s="832">
        <v>9740.69</v>
      </c>
      <c r="S782" s="832">
        <v>885.52</v>
      </c>
      <c r="T782" s="832">
        <v>885.52</v>
      </c>
      <c r="U782" s="832">
        <v>0</v>
      </c>
      <c r="V782" s="832">
        <v>0</v>
      </c>
      <c r="W782" s="832">
        <v>0</v>
      </c>
      <c r="X782" s="832">
        <v>0</v>
      </c>
      <c r="Y782" s="832">
        <v>0</v>
      </c>
      <c r="Z782" s="832">
        <v>0</v>
      </c>
      <c r="AA782" s="832">
        <v>0</v>
      </c>
      <c r="AB782" s="832">
        <v>0</v>
      </c>
      <c r="AC782" s="832">
        <v>0</v>
      </c>
      <c r="AD782" s="832">
        <v>0</v>
      </c>
      <c r="AE782" s="832">
        <v>0</v>
      </c>
      <c r="AF782" s="832">
        <v>0</v>
      </c>
      <c r="AG782" s="832">
        <v>0</v>
      </c>
      <c r="AH782" s="832">
        <v>0</v>
      </c>
      <c r="AI782" s="832">
        <v>0</v>
      </c>
      <c r="AJ782" s="1030" t="str">
        <f t="shared" si="72"/>
        <v>H70800</v>
      </c>
      <c r="AK782" s="1030" t="str">
        <f t="shared" si="73"/>
        <v>INTERET IMPOTS DEPENSES</v>
      </c>
      <c r="AL782" s="1030">
        <f>IFERROR(INDEX(G782:R782,1,MATCH(Parametres!$B$3,G$1:R$1,0)-1)*IF(OR(F782="L",F782="S",F782="I"),-1,1),"")</f>
        <v>0</v>
      </c>
      <c r="AM782" s="1030">
        <f t="shared" si="74"/>
        <v>0</v>
      </c>
      <c r="AN782" s="1030">
        <f>INDEX(G782:R782,1,MATCH(Parametres!$B$3,G$1:R$1,0))*IF(OR(F782="L",F782="S",F782="I"),-1,1)</f>
        <v>0</v>
      </c>
      <c r="AO782" s="598" t="str">
        <f>+VLOOKUP($AJ782,Data_Validation!$A:$D,1,0)</f>
        <v>H70800</v>
      </c>
      <c r="AP782" s="598" t="str">
        <f>+VLOOKUP($AJ782,Data_Validation!$A:$D,3,0)</f>
        <v>Autres</v>
      </c>
      <c r="AQ782" s="598" t="str">
        <f>+VLOOKUP($AJ782,Data_Validation!$A:$D,4,0)</f>
        <v>Intérêts sur prêt</v>
      </c>
      <c r="AR782" s="598" t="s">
        <v>299</v>
      </c>
      <c r="AS782" s="598">
        <f>+VLOOKUP($AJ782,Data_Validation!$A:$E,5,0)</f>
        <v>0</v>
      </c>
      <c r="AT782" s="1036" t="str">
        <f t="shared" si="75"/>
        <v>H70800</v>
      </c>
      <c r="AU782" s="599" t="str">
        <f t="shared" si="76"/>
        <v>INTERET IMPOTS DEPENSES</v>
      </c>
      <c r="AV782" s="1030">
        <f>IFERROR(INDEX(V782:AG782,1,MATCH(Parametres!$B$3,V$1:AG$1,0)-1)*IF(OR(C782="L",C782="S",C782="I"),-1,1),"")</f>
        <v>0</v>
      </c>
      <c r="AW782" s="1030">
        <f t="shared" si="77"/>
        <v>0</v>
      </c>
      <c r="AX782" s="1030">
        <f>INDEX(V782:AG782,1,MATCH(Parametres!$B$3,V$1:AG$1,0))*IF(OR(C782="L",C782="S",C782="I"),-1,1)</f>
        <v>0</v>
      </c>
      <c r="AY782" s="598" t="s">
        <v>337</v>
      </c>
      <c r="AZ782" s="598">
        <f>+VLOOKUP($AJ782,Data_Validation!$A:$E,5,0)</f>
        <v>0</v>
      </c>
    </row>
    <row r="783" spans="1:52" ht="15" customHeight="1">
      <c r="A783" s="832" t="s">
        <v>1150</v>
      </c>
      <c r="B783" s="832">
        <v>2025</v>
      </c>
      <c r="C783" s="832" t="s">
        <v>2681</v>
      </c>
      <c r="D783" s="832" t="s">
        <v>2682</v>
      </c>
      <c r="E783" s="832" t="s">
        <v>333</v>
      </c>
      <c r="F783" s="832" t="s">
        <v>1119</v>
      </c>
      <c r="G783" s="832">
        <v>0</v>
      </c>
      <c r="H783" s="832">
        <v>0</v>
      </c>
      <c r="I783" s="832">
        <v>0</v>
      </c>
      <c r="J783" s="832">
        <v>0</v>
      </c>
      <c r="K783" s="832">
        <v>0</v>
      </c>
      <c r="L783" s="832">
        <v>0</v>
      </c>
      <c r="M783" s="832">
        <v>0</v>
      </c>
      <c r="N783" s="832">
        <v>0</v>
      </c>
      <c r="O783" s="832">
        <v>0</v>
      </c>
      <c r="P783" s="832">
        <v>0</v>
      </c>
      <c r="Q783" s="832">
        <v>0</v>
      </c>
      <c r="R783" s="832">
        <v>0</v>
      </c>
      <c r="S783" s="832">
        <v>0</v>
      </c>
      <c r="T783" s="832">
        <v>0</v>
      </c>
      <c r="U783" s="832">
        <v>0</v>
      </c>
      <c r="V783" s="832">
        <v>0</v>
      </c>
      <c r="W783" s="832">
        <v>0</v>
      </c>
      <c r="X783" s="832">
        <v>0</v>
      </c>
      <c r="Y783" s="832">
        <v>0</v>
      </c>
      <c r="Z783" s="832">
        <v>0</v>
      </c>
      <c r="AA783" s="832">
        <v>0</v>
      </c>
      <c r="AB783" s="832">
        <v>0</v>
      </c>
      <c r="AC783" s="832">
        <v>0</v>
      </c>
      <c r="AD783" s="832">
        <v>0</v>
      </c>
      <c r="AE783" s="832">
        <v>0</v>
      </c>
      <c r="AF783" s="832">
        <v>0</v>
      </c>
      <c r="AG783" s="832">
        <v>0</v>
      </c>
      <c r="AH783" s="832">
        <v>0</v>
      </c>
      <c r="AI783" s="832">
        <v>0</v>
      </c>
      <c r="AJ783" s="1030" t="str">
        <f t="shared" si="72"/>
        <v>H70900</v>
      </c>
      <c r="AK783" s="1030" t="str">
        <f t="shared" si="73"/>
        <v>IMPÔTS EXIGIBLES</v>
      </c>
      <c r="AL783" s="1030">
        <f>IFERROR(INDEX(G783:R783,1,MATCH(Parametres!$B$3,G$1:R$1,0)-1)*IF(OR(F783="L",F783="S",F783="I"),-1,1),"")</f>
        <v>0</v>
      </c>
      <c r="AM783" s="1030">
        <f t="shared" si="74"/>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t="str">
        <f t="shared" si="75"/>
        <v>H70900</v>
      </c>
      <c r="AU783" s="599" t="str">
        <f t="shared" si="76"/>
        <v>IMPÔTS EXIGIBLES</v>
      </c>
      <c r="AV783" s="1030">
        <f>IFERROR(INDEX(V783:AG783,1,MATCH(Parametres!$B$3,V$1:AG$1,0)-1)*IF(OR(C783="L",C783="S",C783="I"),-1,1),"")</f>
        <v>0</v>
      </c>
      <c r="AW783" s="1030">
        <f t="shared" si="77"/>
        <v>0</v>
      </c>
      <c r="AX783" s="1030">
        <f>INDEX(V783:AG783,1,MATCH(Parametres!$B$3,V$1:AG$1,0))*IF(OR(C783="L",C783="S",C783="I"),-1,1)</f>
        <v>0</v>
      </c>
      <c r="AY783" s="598" t="s">
        <v>337</v>
      </c>
      <c r="AZ783" s="598" t="e">
        <f>+VLOOKUP($AJ783,Data_Validation!$A:$E,5,0)</f>
        <v>#N/A</v>
      </c>
    </row>
    <row r="784" spans="1:52" ht="15" customHeight="1">
      <c r="A784" s="832" t="s">
        <v>1150</v>
      </c>
      <c r="B784" s="832">
        <v>2025</v>
      </c>
      <c r="C784" s="832" t="s">
        <v>2683</v>
      </c>
      <c r="D784" s="832" t="s">
        <v>2684</v>
      </c>
      <c r="E784" s="832" t="s">
        <v>333</v>
      </c>
      <c r="F784" s="832" t="s">
        <v>1119</v>
      </c>
      <c r="G784" s="832">
        <v>0</v>
      </c>
      <c r="H784" s="832">
        <v>0</v>
      </c>
      <c r="I784" s="832">
        <v>0</v>
      </c>
      <c r="J784" s="832">
        <v>0</v>
      </c>
      <c r="K784" s="832">
        <v>0</v>
      </c>
      <c r="L784" s="832">
        <v>0</v>
      </c>
      <c r="M784" s="832">
        <v>0</v>
      </c>
      <c r="N784" s="832">
        <v>0</v>
      </c>
      <c r="O784" s="832">
        <v>0</v>
      </c>
      <c r="P784" s="832">
        <v>0</v>
      </c>
      <c r="Q784" s="832">
        <v>0</v>
      </c>
      <c r="R784" s="832">
        <v>0</v>
      </c>
      <c r="S784" s="832">
        <v>0</v>
      </c>
      <c r="T784" s="832">
        <v>0</v>
      </c>
      <c r="U784" s="832">
        <v>0</v>
      </c>
      <c r="V784" s="832">
        <v>0</v>
      </c>
      <c r="W784" s="832">
        <v>0</v>
      </c>
      <c r="X784" s="832">
        <v>0</v>
      </c>
      <c r="Y784" s="832">
        <v>0</v>
      </c>
      <c r="Z784" s="832">
        <v>0</v>
      </c>
      <c r="AA784" s="832">
        <v>0</v>
      </c>
      <c r="AB784" s="832">
        <v>0</v>
      </c>
      <c r="AC784" s="832">
        <v>0</v>
      </c>
      <c r="AD784" s="832">
        <v>0</v>
      </c>
      <c r="AE784" s="832">
        <v>0</v>
      </c>
      <c r="AF784" s="832">
        <v>0</v>
      </c>
      <c r="AG784" s="832">
        <v>0</v>
      </c>
      <c r="AH784" s="832">
        <v>0</v>
      </c>
      <c r="AI784" s="832">
        <v>0</v>
      </c>
      <c r="AJ784" s="1030" t="str">
        <f t="shared" si="72"/>
        <v>H70910</v>
      </c>
      <c r="AK784" s="1030" t="str">
        <f t="shared" si="73"/>
        <v>IMPÔTS FUTURES</v>
      </c>
      <c r="AL784" s="1030">
        <f>IFERROR(INDEX(G784:R784,1,MATCH(Parametres!$B$3,G$1:R$1,0)-1)*IF(OR(F784="L",F784="S",F784="I"),-1,1),"")</f>
        <v>0</v>
      </c>
      <c r="AM784" s="1030">
        <f t="shared" si="74"/>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t="str">
        <f t="shared" si="75"/>
        <v>H70910</v>
      </c>
      <c r="AU784" s="599" t="str">
        <f t="shared" si="76"/>
        <v>IMPÔTS FUTURES</v>
      </c>
      <c r="AV784" s="1030">
        <f>IFERROR(INDEX(V784:AG784,1,MATCH(Parametres!$B$3,V$1:AG$1,0)-1)*IF(OR(C784="L",C784="S",C784="I"),-1,1),"")</f>
        <v>0</v>
      </c>
      <c r="AW784" s="1030">
        <f t="shared" si="77"/>
        <v>0</v>
      </c>
      <c r="AX784" s="1030">
        <f>INDEX(V784:AG784,1,MATCH(Parametres!$B$3,V$1:AG$1,0))*IF(OR(C784="L",C784="S",C784="I"),-1,1)</f>
        <v>0</v>
      </c>
      <c r="AY784" s="598" t="s">
        <v>337</v>
      </c>
      <c r="AZ784" s="598" t="e">
        <f>+VLOOKUP($AJ784,Data_Validation!$A:$E,5,0)</f>
        <v>#N/A</v>
      </c>
    </row>
    <row r="785" spans="1:52" ht="15" customHeight="1">
      <c r="A785" s="832" t="s">
        <v>1150</v>
      </c>
      <c r="B785" s="832">
        <v>2025</v>
      </c>
      <c r="C785" s="832" t="s">
        <v>2685</v>
      </c>
      <c r="D785" s="832" t="s">
        <v>2686</v>
      </c>
      <c r="E785" s="832" t="s">
        <v>333</v>
      </c>
      <c r="F785" s="832" t="s">
        <v>1119</v>
      </c>
      <c r="G785" s="832">
        <v>0</v>
      </c>
      <c r="H785" s="832">
        <v>0</v>
      </c>
      <c r="I785" s="832">
        <v>0</v>
      </c>
      <c r="J785" s="832">
        <v>0</v>
      </c>
      <c r="K785" s="832">
        <v>0</v>
      </c>
      <c r="L785" s="832">
        <v>0</v>
      </c>
      <c r="M785" s="832">
        <v>0</v>
      </c>
      <c r="N785" s="832">
        <v>0</v>
      </c>
      <c r="O785" s="832">
        <v>0</v>
      </c>
      <c r="P785" s="832">
        <v>0</v>
      </c>
      <c r="Q785" s="832">
        <v>0</v>
      </c>
      <c r="R785" s="832">
        <v>0</v>
      </c>
      <c r="S785" s="832">
        <v>0</v>
      </c>
      <c r="T785" s="832">
        <v>0</v>
      </c>
      <c r="U785" s="832">
        <v>0</v>
      </c>
      <c r="V785" s="832">
        <v>0</v>
      </c>
      <c r="W785" s="832">
        <v>0</v>
      </c>
      <c r="X785" s="832">
        <v>0</v>
      </c>
      <c r="Y785" s="832">
        <v>0</v>
      </c>
      <c r="Z785" s="832">
        <v>0</v>
      </c>
      <c r="AA785" s="832">
        <v>0</v>
      </c>
      <c r="AB785" s="832">
        <v>0</v>
      </c>
      <c r="AC785" s="832">
        <v>0</v>
      </c>
      <c r="AD785" s="832">
        <v>0</v>
      </c>
      <c r="AE785" s="832">
        <v>0</v>
      </c>
      <c r="AF785" s="832">
        <v>0</v>
      </c>
      <c r="AG785" s="832">
        <v>0</v>
      </c>
      <c r="AH785" s="832">
        <v>0</v>
      </c>
      <c r="AI785" s="832">
        <v>0</v>
      </c>
      <c r="AJ785" s="1030" t="str">
        <f t="shared" si="72"/>
        <v>H70999</v>
      </c>
      <c r="AK785" s="1030" t="str">
        <f t="shared" si="73"/>
        <v>DUMMY ACCT FOR AGIB</v>
      </c>
      <c r="AL785" s="1030">
        <f>IFERROR(INDEX(G785:R785,1,MATCH(Parametres!$B$3,G$1:R$1,0)-1)*IF(OR(F785="L",F785="S",F785="I"),-1,1),"")</f>
        <v>0</v>
      </c>
      <c r="AM785" s="1030">
        <f t="shared" si="74"/>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t="str">
        <f t="shared" si="75"/>
        <v>H70999</v>
      </c>
      <c r="AU785" s="599" t="str">
        <f t="shared" si="76"/>
        <v>DUMMY ACCT FOR AGIB</v>
      </c>
      <c r="AV785" s="1030">
        <f>IFERROR(INDEX(V785:AG785,1,MATCH(Parametres!$B$3,V$1:AG$1,0)-1)*IF(OR(C785="L",C785="S",C785="I"),-1,1),"")</f>
        <v>0</v>
      </c>
      <c r="AW785" s="1030">
        <f t="shared" si="77"/>
        <v>0</v>
      </c>
      <c r="AX785" s="1030">
        <f>INDEX(V785:AG785,1,MATCH(Parametres!$B$3,V$1:AG$1,0))*IF(OR(C785="L",C785="S",C785="I"),-1,1)</f>
        <v>0</v>
      </c>
      <c r="AY785" s="598" t="s">
        <v>337</v>
      </c>
      <c r="AZ785" s="598" t="e">
        <f>+VLOOKUP($AJ785,Data_Validation!$A:$E,5,0)</f>
        <v>#N/A</v>
      </c>
    </row>
    <row r="786" spans="1:52" ht="15" customHeight="1">
      <c r="A786" s="832" t="s">
        <v>1150</v>
      </c>
      <c r="B786" s="832">
        <v>2025</v>
      </c>
      <c r="C786" s="832" t="s">
        <v>2687</v>
      </c>
      <c r="D786" s="832" t="s">
        <v>2688</v>
      </c>
      <c r="E786" s="832" t="s">
        <v>333</v>
      </c>
      <c r="F786" s="832" t="s">
        <v>1119</v>
      </c>
      <c r="G786" s="832">
        <v>0</v>
      </c>
      <c r="H786" s="832">
        <v>0</v>
      </c>
      <c r="I786" s="832">
        <v>0.03</v>
      </c>
      <c r="J786" s="832">
        <v>0.03</v>
      </c>
      <c r="K786" s="832">
        <v>0.03</v>
      </c>
      <c r="L786" s="832">
        <v>0.03</v>
      </c>
      <c r="M786" s="832">
        <v>0.03</v>
      </c>
      <c r="N786" s="832">
        <v>0.03</v>
      </c>
      <c r="O786" s="832">
        <v>0.03</v>
      </c>
      <c r="P786" s="832">
        <v>0.03</v>
      </c>
      <c r="Q786" s="832">
        <v>0.03</v>
      </c>
      <c r="R786" s="832">
        <v>0.03</v>
      </c>
      <c r="S786" s="832">
        <v>0</v>
      </c>
      <c r="T786" s="832">
        <v>0</v>
      </c>
      <c r="U786" s="832">
        <v>0</v>
      </c>
      <c r="V786" s="832">
        <v>0</v>
      </c>
      <c r="W786" s="832">
        <v>0</v>
      </c>
      <c r="X786" s="832">
        <v>0</v>
      </c>
      <c r="Y786" s="832">
        <v>0</v>
      </c>
      <c r="Z786" s="832">
        <v>0</v>
      </c>
      <c r="AA786" s="832">
        <v>0</v>
      </c>
      <c r="AB786" s="832">
        <v>0</v>
      </c>
      <c r="AC786" s="832">
        <v>0</v>
      </c>
      <c r="AD786" s="832">
        <v>0</v>
      </c>
      <c r="AE786" s="832">
        <v>0</v>
      </c>
      <c r="AF786" s="832">
        <v>0</v>
      </c>
      <c r="AG786" s="832">
        <v>0</v>
      </c>
      <c r="AH786" s="832">
        <v>0</v>
      </c>
      <c r="AI786" s="832">
        <v>0</v>
      </c>
      <c r="AJ786" s="1030" t="str">
        <f t="shared" si="72"/>
        <v>H71000</v>
      </c>
      <c r="AK786" s="1030" t="str">
        <f t="shared" si="73"/>
        <v>FRAIS DIVERS</v>
      </c>
      <c r="AL786" s="1030">
        <f>IFERROR(INDEX(G786:R786,1,MATCH(Parametres!$B$3,G$1:R$1,0)-1)*IF(OR(F786="L",F786="S",F786="I"),-1,1),"")</f>
        <v>0.03</v>
      </c>
      <c r="AM786" s="1030">
        <f t="shared" si="74"/>
        <v>0</v>
      </c>
      <c r="AN786" s="1030">
        <f>INDEX(G786:R786,1,MATCH(Parametres!$B$3,G$1:R$1,0))*IF(OR(F786="L",F786="S",F786="I"),-1,1)</f>
        <v>0.03</v>
      </c>
      <c r="AO786" s="598" t="str">
        <f>+VLOOKUP($AJ786,Data_Validation!$A:$D,1,0)</f>
        <v>H71000</v>
      </c>
      <c r="AP786" s="598" t="str">
        <f>+VLOOKUP($AJ786,Data_Validation!$A:$D,3,0)</f>
        <v>Autres</v>
      </c>
      <c r="AQ786" s="598" t="str">
        <f>+VLOOKUP($AJ786,Data_Validation!$A:$D,4,0)</f>
        <v>Divers</v>
      </c>
      <c r="AR786" s="598" t="s">
        <v>299</v>
      </c>
      <c r="AS786" s="598">
        <f>+VLOOKUP($AJ786,Data_Validation!$A:$E,5,0)</f>
        <v>0</v>
      </c>
      <c r="AT786" s="1036" t="str">
        <f t="shared" si="75"/>
        <v>H71000</v>
      </c>
      <c r="AU786" s="599" t="str">
        <f t="shared" si="76"/>
        <v>FRAIS DIVERS</v>
      </c>
      <c r="AV786" s="1030">
        <f>IFERROR(INDEX(V786:AG786,1,MATCH(Parametres!$B$3,V$1:AG$1,0)-1)*IF(OR(C786="L",C786="S",C786="I"),-1,1),"")</f>
        <v>0</v>
      </c>
      <c r="AW786" s="1030">
        <f t="shared" si="77"/>
        <v>0</v>
      </c>
      <c r="AX786" s="1030">
        <f>INDEX(V786:AG786,1,MATCH(Parametres!$B$3,V$1:AG$1,0))*IF(OR(C786="L",C786="S",C786="I"),-1,1)</f>
        <v>0</v>
      </c>
      <c r="AY786" s="598" t="s">
        <v>337</v>
      </c>
      <c r="AZ786" s="598">
        <f>+VLOOKUP($AJ786,Data_Validation!$A:$E,5,0)</f>
        <v>0</v>
      </c>
    </row>
    <row r="787" spans="1:52" ht="15" customHeight="1">
      <c r="A787" s="832" t="s">
        <v>1150</v>
      </c>
      <c r="B787" s="832">
        <v>2025</v>
      </c>
      <c r="C787" s="832" t="s">
        <v>2689</v>
      </c>
      <c r="D787" s="832" t="s">
        <v>2690</v>
      </c>
      <c r="E787" s="832" t="s">
        <v>333</v>
      </c>
      <c r="F787" s="832" t="s">
        <v>1119</v>
      </c>
      <c r="G787" s="832">
        <v>0</v>
      </c>
      <c r="H787" s="832">
        <v>0</v>
      </c>
      <c r="I787" s="832">
        <v>0</v>
      </c>
      <c r="J787" s="832">
        <v>0</v>
      </c>
      <c r="K787" s="832">
        <v>0</v>
      </c>
      <c r="L787" s="832">
        <v>0</v>
      </c>
      <c r="M787" s="832">
        <v>0</v>
      </c>
      <c r="N787" s="832">
        <v>0</v>
      </c>
      <c r="O787" s="832">
        <v>0</v>
      </c>
      <c r="P787" s="832">
        <v>0</v>
      </c>
      <c r="Q787" s="832">
        <v>0</v>
      </c>
      <c r="R787" s="832">
        <v>0</v>
      </c>
      <c r="S787" s="832">
        <v>0</v>
      </c>
      <c r="T787" s="832">
        <v>0</v>
      </c>
      <c r="U787" s="832">
        <v>0</v>
      </c>
      <c r="V787" s="832">
        <v>0</v>
      </c>
      <c r="W787" s="832">
        <v>0</v>
      </c>
      <c r="X787" s="832">
        <v>0</v>
      </c>
      <c r="Y787" s="832">
        <v>0</v>
      </c>
      <c r="Z787" s="832">
        <v>0</v>
      </c>
      <c r="AA787" s="832">
        <v>0</v>
      </c>
      <c r="AB787" s="832">
        <v>0</v>
      </c>
      <c r="AC787" s="832">
        <v>0</v>
      </c>
      <c r="AD787" s="832">
        <v>0</v>
      </c>
      <c r="AE787" s="832">
        <v>0</v>
      </c>
      <c r="AF787" s="832">
        <v>0</v>
      </c>
      <c r="AG787" s="832">
        <v>0</v>
      </c>
      <c r="AH787" s="832">
        <v>0</v>
      </c>
      <c r="AI787" s="832">
        <v>0</v>
      </c>
      <c r="AJ787" s="1030" t="str">
        <f t="shared" ref="AJ787:AJ792" si="78">C787</f>
        <v>H72000</v>
      </c>
      <c r="AK787" s="1030" t="str">
        <f t="shared" ref="AK787:AK792" si="79">D787</f>
        <v>IMPOT FUTUR</v>
      </c>
      <c r="AL787" s="1030">
        <f>IFERROR(INDEX(G787:R787,1,MATCH(Parametres!$B$3,G$1:R$1,0)-1)*IF(OR(F787="L",F787="S",F787="I"),-1,1),"")</f>
        <v>0</v>
      </c>
      <c r="AM787" s="1030">
        <f t="shared" si="74"/>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t="str">
        <f t="shared" si="75"/>
        <v>H72000</v>
      </c>
      <c r="AU787" s="599" t="str">
        <f t="shared" si="76"/>
        <v>IMPOT FUTUR</v>
      </c>
      <c r="AV787" s="1030">
        <f>IFERROR(INDEX(V787:AG787,1,MATCH(Parametres!$B$3,V$1:AG$1,0)-1)*IF(OR(C787="L",C787="S",C787="I"),-1,1),"")</f>
        <v>0</v>
      </c>
      <c r="AW787" s="1030">
        <f t="shared" si="77"/>
        <v>0</v>
      </c>
      <c r="AX787" s="1030">
        <f>INDEX(V787:AG787,1,MATCH(Parametres!$B$3,V$1:AG$1,0))*IF(OR(C787="L",C787="S",C787="I"),-1,1)</f>
        <v>0</v>
      </c>
      <c r="AY787" s="598" t="s">
        <v>337</v>
      </c>
      <c r="AZ787" s="598" t="e">
        <f>+VLOOKUP($AJ787,Data_Validation!$A:$E,5,0)</f>
        <v>#N/A</v>
      </c>
    </row>
    <row r="788" spans="1:52" ht="15" customHeight="1">
      <c r="A788" s="832" t="s">
        <v>1150</v>
      </c>
      <c r="B788" s="832">
        <v>2025</v>
      </c>
      <c r="C788" s="832" t="s">
        <v>2691</v>
      </c>
      <c r="D788" s="832" t="s">
        <v>2692</v>
      </c>
      <c r="E788" s="832" t="s">
        <v>333</v>
      </c>
      <c r="F788" s="832" t="s">
        <v>1119</v>
      </c>
      <c r="G788" s="832">
        <v>0</v>
      </c>
      <c r="H788" s="832">
        <v>0</v>
      </c>
      <c r="I788" s="832">
        <v>0</v>
      </c>
      <c r="J788" s="832">
        <v>0</v>
      </c>
      <c r="K788" s="832">
        <v>0</v>
      </c>
      <c r="L788" s="832">
        <v>0</v>
      </c>
      <c r="M788" s="832">
        <v>0</v>
      </c>
      <c r="N788" s="832">
        <v>0</v>
      </c>
      <c r="O788" s="832">
        <v>0</v>
      </c>
      <c r="P788" s="832">
        <v>0</v>
      </c>
      <c r="Q788" s="832">
        <v>0</v>
      </c>
      <c r="R788" s="832">
        <v>0</v>
      </c>
      <c r="S788" s="832">
        <v>0</v>
      </c>
      <c r="T788" s="832">
        <v>0</v>
      </c>
      <c r="U788" s="832">
        <v>0</v>
      </c>
      <c r="V788" s="832">
        <v>0</v>
      </c>
      <c r="W788" s="832">
        <v>0</v>
      </c>
      <c r="X788" s="832">
        <v>0</v>
      </c>
      <c r="Y788" s="832">
        <v>0</v>
      </c>
      <c r="Z788" s="832">
        <v>0</v>
      </c>
      <c r="AA788" s="832">
        <v>0</v>
      </c>
      <c r="AB788" s="832">
        <v>0</v>
      </c>
      <c r="AC788" s="832">
        <v>0</v>
      </c>
      <c r="AD788" s="832">
        <v>0</v>
      </c>
      <c r="AE788" s="832">
        <v>0</v>
      </c>
      <c r="AF788" s="832">
        <v>0</v>
      </c>
      <c r="AG788" s="832">
        <v>0</v>
      </c>
      <c r="AH788" s="832">
        <v>0</v>
      </c>
      <c r="AI788" s="832">
        <v>0</v>
      </c>
      <c r="AJ788" s="1030" t="str">
        <f t="shared" si="78"/>
        <v>H90100</v>
      </c>
      <c r="AK788" s="1030" t="str">
        <f t="shared" si="79"/>
        <v>IMPOT SUR REVENU ESTIME</v>
      </c>
      <c r="AL788" s="1030">
        <f>IFERROR(INDEX(G788:R788,1,MATCH(Parametres!$B$3,G$1:R$1,0)-1)*IF(OR(F788="L",F788="S",F788="I"),-1,1),"")</f>
        <v>0</v>
      </c>
      <c r="AM788" s="1030">
        <f t="shared" si="74"/>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t="str">
        <f t="shared" si="75"/>
        <v>H90100</v>
      </c>
      <c r="AU788" s="599" t="str">
        <f t="shared" si="76"/>
        <v>IMPOT SUR REVENU ESTIME</v>
      </c>
      <c r="AV788" s="1030">
        <f>IFERROR(INDEX(V788:AG788,1,MATCH(Parametres!$B$3,V$1:AG$1,0)-1)*IF(OR(C788="L",C788="S",C788="I"),-1,1),"")</f>
        <v>0</v>
      </c>
      <c r="AW788" s="1030">
        <f t="shared" si="77"/>
        <v>0</v>
      </c>
      <c r="AX788" s="1030">
        <f>INDEX(V788:AG788,1,MATCH(Parametres!$B$3,V$1:AG$1,0))*IF(OR(C788="L",C788="S",C788="I"),-1,1)</f>
        <v>0</v>
      </c>
      <c r="AY788" s="598" t="s">
        <v>337</v>
      </c>
      <c r="AZ788" s="598" t="e">
        <f>+VLOOKUP($AJ788,Data_Validation!$A:$E,5,0)</f>
        <v>#N/A</v>
      </c>
    </row>
    <row r="789" spans="1:52" ht="15" customHeight="1">
      <c r="A789" s="832" t="s">
        <v>1150</v>
      </c>
      <c r="B789" s="832">
        <v>2025</v>
      </c>
      <c r="C789" s="832" t="s">
        <v>2693</v>
      </c>
      <c r="D789" s="832" t="s">
        <v>2694</v>
      </c>
      <c r="E789" s="832" t="s">
        <v>333</v>
      </c>
      <c r="F789" s="832" t="s">
        <v>1119</v>
      </c>
      <c r="G789" s="832">
        <v>0</v>
      </c>
      <c r="H789" s="832">
        <v>0</v>
      </c>
      <c r="I789" s="832">
        <v>0</v>
      </c>
      <c r="J789" s="832">
        <v>0</v>
      </c>
      <c r="K789" s="832">
        <v>0</v>
      </c>
      <c r="L789" s="832">
        <v>0</v>
      </c>
      <c r="M789" s="832">
        <v>0</v>
      </c>
      <c r="N789" s="832">
        <v>0</v>
      </c>
      <c r="O789" s="832">
        <v>0</v>
      </c>
      <c r="P789" s="832">
        <v>0</v>
      </c>
      <c r="Q789" s="832">
        <v>0</v>
      </c>
      <c r="R789" s="832">
        <v>0</v>
      </c>
      <c r="S789" s="832">
        <v>0</v>
      </c>
      <c r="T789" s="832">
        <v>0</v>
      </c>
      <c r="U789" s="832">
        <v>0</v>
      </c>
      <c r="V789" s="832">
        <v>0</v>
      </c>
      <c r="W789" s="832">
        <v>0</v>
      </c>
      <c r="X789" s="832">
        <v>0</v>
      </c>
      <c r="Y789" s="832">
        <v>0</v>
      </c>
      <c r="Z789" s="832">
        <v>0</v>
      </c>
      <c r="AA789" s="832">
        <v>0</v>
      </c>
      <c r="AB789" s="832">
        <v>0</v>
      </c>
      <c r="AC789" s="832">
        <v>0</v>
      </c>
      <c r="AD789" s="832">
        <v>0</v>
      </c>
      <c r="AE789" s="832">
        <v>0</v>
      </c>
      <c r="AF789" s="832">
        <v>0</v>
      </c>
      <c r="AG789" s="832">
        <v>0</v>
      </c>
      <c r="AH789" s="832">
        <v>0</v>
      </c>
      <c r="AI789" s="832">
        <v>0</v>
      </c>
      <c r="AJ789" s="1030" t="str">
        <f t="shared" si="78"/>
        <v>H95000</v>
      </c>
      <c r="AK789" s="1030" t="str">
        <f t="shared" si="79"/>
        <v>IMPOTS EXIGIBLES</v>
      </c>
      <c r="AL789" s="1030">
        <f>IFERROR(INDEX(G789:R789,1,MATCH(Parametres!$B$3,G$1:R$1,0)-1)*IF(OR(F789="L",F789="S",F789="I"),-1,1),"")</f>
        <v>0</v>
      </c>
      <c r="AM789" s="1030">
        <f t="shared" si="74"/>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t="str">
        <f t="shared" si="75"/>
        <v>H95000</v>
      </c>
      <c r="AU789" s="599" t="str">
        <f t="shared" si="76"/>
        <v>IMPOTS EXIGIBLES</v>
      </c>
      <c r="AV789" s="1030">
        <f>IFERROR(INDEX(V789:AG789,1,MATCH(Parametres!$B$3,V$1:AG$1,0)-1)*IF(OR(C789="L",C789="S",C789="I"),-1,1),"")</f>
        <v>0</v>
      </c>
      <c r="AW789" s="1030">
        <f t="shared" si="77"/>
        <v>0</v>
      </c>
      <c r="AX789" s="1030">
        <f>INDEX(V789:AG789,1,MATCH(Parametres!$B$3,V$1:AG$1,0))*IF(OR(C789="L",C789="S",C789="I"),-1,1)</f>
        <v>0</v>
      </c>
      <c r="AY789" s="598" t="s">
        <v>337</v>
      </c>
      <c r="AZ789" s="598" t="e">
        <f>+VLOOKUP($AJ789,Data_Validation!$A:$E,5,0)</f>
        <v>#N/A</v>
      </c>
    </row>
    <row r="790" spans="1:52" ht="15" customHeight="1">
      <c r="A790" s="832" t="s">
        <v>1150</v>
      </c>
      <c r="B790" s="832">
        <v>2025</v>
      </c>
      <c r="C790" s="832" t="s">
        <v>2695</v>
      </c>
      <c r="D790" s="832" t="s">
        <v>2696</v>
      </c>
      <c r="E790" s="832" t="s">
        <v>333</v>
      </c>
      <c r="F790" s="832" t="s">
        <v>1119</v>
      </c>
      <c r="G790" s="832">
        <v>0</v>
      </c>
      <c r="H790" s="832">
        <v>0</v>
      </c>
      <c r="I790" s="832">
        <v>0</v>
      </c>
      <c r="J790" s="832">
        <v>0</v>
      </c>
      <c r="K790" s="832">
        <v>0</v>
      </c>
      <c r="L790" s="832">
        <v>0</v>
      </c>
      <c r="M790" s="832">
        <v>0</v>
      </c>
      <c r="N790" s="832">
        <v>0</v>
      </c>
      <c r="O790" s="832">
        <v>0</v>
      </c>
      <c r="P790" s="832">
        <v>0</v>
      </c>
      <c r="Q790" s="832">
        <v>0</v>
      </c>
      <c r="R790" s="832">
        <v>0</v>
      </c>
      <c r="S790" s="832">
        <v>0</v>
      </c>
      <c r="T790" s="832">
        <v>0</v>
      </c>
      <c r="U790" s="832">
        <v>0</v>
      </c>
      <c r="V790" s="832">
        <v>0</v>
      </c>
      <c r="W790" s="832">
        <v>0</v>
      </c>
      <c r="X790" s="832">
        <v>0</v>
      </c>
      <c r="Y790" s="832">
        <v>0</v>
      </c>
      <c r="Z790" s="832">
        <v>0</v>
      </c>
      <c r="AA790" s="832">
        <v>0</v>
      </c>
      <c r="AB790" s="832">
        <v>0</v>
      </c>
      <c r="AC790" s="832">
        <v>0</v>
      </c>
      <c r="AD790" s="832">
        <v>0</v>
      </c>
      <c r="AE790" s="832">
        <v>0</v>
      </c>
      <c r="AF790" s="832">
        <v>0</v>
      </c>
      <c r="AG790" s="832">
        <v>0</v>
      </c>
      <c r="AH790" s="832">
        <v>0</v>
      </c>
      <c r="AI790" s="832">
        <v>0</v>
      </c>
      <c r="AJ790" s="1030" t="str">
        <f t="shared" si="78"/>
        <v>H99997</v>
      </c>
      <c r="AK790" s="1030" t="str">
        <f t="shared" si="79"/>
        <v>DEPENSES PAIE - IN/OUT</v>
      </c>
      <c r="AL790" s="1030">
        <f>IFERROR(INDEX(G790:R790,1,MATCH(Parametres!$B$3,G$1:R$1,0)-1)*IF(OR(F790="L",F790="S",F790="I"),-1,1),"")</f>
        <v>0</v>
      </c>
      <c r="AM790" s="1030">
        <f t="shared" si="74"/>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t="str">
        <f t="shared" si="75"/>
        <v>H99997</v>
      </c>
      <c r="AU790" s="599" t="str">
        <f t="shared" si="76"/>
        <v>DEPENSES PAIE - IN/OUT</v>
      </c>
      <c r="AV790" s="1030">
        <f>IFERROR(INDEX(V790:AG790,1,MATCH(Parametres!$B$3,V$1:AG$1,0)-1)*IF(OR(C790="L",C790="S",C790="I"),-1,1),"")</f>
        <v>0</v>
      </c>
      <c r="AW790" s="1030">
        <f t="shared" si="77"/>
        <v>0</v>
      </c>
      <c r="AX790" s="1030">
        <f>INDEX(V790:AG790,1,MATCH(Parametres!$B$3,V$1:AG$1,0))*IF(OR(C790="L",C790="S",C790="I"),-1,1)</f>
        <v>0</v>
      </c>
      <c r="AY790" s="598" t="s">
        <v>337</v>
      </c>
      <c r="AZ790" s="598" t="e">
        <f>+VLOOKUP($AJ790,Data_Validation!$A:$E,5,0)</f>
        <v>#N/A</v>
      </c>
    </row>
    <row r="791" spans="1:52" ht="15" customHeight="1">
      <c r="A791" s="832" t="s">
        <v>1150</v>
      </c>
      <c r="B791" s="832">
        <v>2025</v>
      </c>
      <c r="C791" s="832" t="s">
        <v>2697</v>
      </c>
      <c r="D791" s="832" t="s">
        <v>2698</v>
      </c>
      <c r="E791" s="832" t="s">
        <v>333</v>
      </c>
      <c r="F791" s="832" t="s">
        <v>1119</v>
      </c>
      <c r="G791" s="832">
        <v>0</v>
      </c>
      <c r="H791" s="832">
        <v>0</v>
      </c>
      <c r="I791" s="832">
        <v>0</v>
      </c>
      <c r="J791" s="832">
        <v>0</v>
      </c>
      <c r="K791" s="832">
        <v>0</v>
      </c>
      <c r="L791" s="832">
        <v>0</v>
      </c>
      <c r="M791" s="832">
        <v>0</v>
      </c>
      <c r="N791" s="832">
        <v>0</v>
      </c>
      <c r="O791" s="832">
        <v>0</v>
      </c>
      <c r="P791" s="832">
        <v>0</v>
      </c>
      <c r="Q791" s="832">
        <v>0</v>
      </c>
      <c r="R791" s="832">
        <v>0</v>
      </c>
      <c r="S791" s="832">
        <v>0</v>
      </c>
      <c r="T791" s="832">
        <v>0</v>
      </c>
      <c r="U791" s="832">
        <v>0</v>
      </c>
      <c r="V791" s="832">
        <v>0</v>
      </c>
      <c r="W791" s="832">
        <v>0</v>
      </c>
      <c r="X791" s="832">
        <v>0</v>
      </c>
      <c r="Y791" s="832">
        <v>0</v>
      </c>
      <c r="Z791" s="832">
        <v>0</v>
      </c>
      <c r="AA791" s="832">
        <v>0</v>
      </c>
      <c r="AB791" s="832">
        <v>0</v>
      </c>
      <c r="AC791" s="832">
        <v>0</v>
      </c>
      <c r="AD791" s="832">
        <v>0</v>
      </c>
      <c r="AE791" s="832">
        <v>0</v>
      </c>
      <c r="AF791" s="832">
        <v>0</v>
      </c>
      <c r="AG791" s="832">
        <v>0</v>
      </c>
      <c r="AH791" s="832">
        <v>0</v>
      </c>
      <c r="AI791" s="832">
        <v>0</v>
      </c>
      <c r="AJ791" s="1030" t="str">
        <f t="shared" si="78"/>
        <v>H99998</v>
      </c>
      <c r="AK791" s="1030" t="str">
        <f t="shared" si="79"/>
        <v>DOCUMENTS CANCELLES</v>
      </c>
      <c r="AL791" s="1030">
        <f>IFERROR(INDEX(G791:R791,1,MATCH(Parametres!$B$3,G$1:R$1,0)-1)*IF(OR(F791="L",F791="S",F791="I"),-1,1),"")</f>
        <v>0</v>
      </c>
      <c r="AM791" s="1030">
        <f t="shared" si="74"/>
        <v>0</v>
      </c>
      <c r="AN791" s="1030">
        <f>INDEX(G791:R791,1,MATCH(Parametres!$B$3,G$1:R$1,0))*IF(OR(F791="L",F791="S",F791="I"),-1,1)</f>
        <v>0</v>
      </c>
      <c r="AO791" s="598" t="str">
        <f>+VLOOKUP($AJ791,Data_Validation!$A:$D,1,0)</f>
        <v>H99998</v>
      </c>
      <c r="AP791" s="598" t="str">
        <f>+VLOOKUP($AJ791,Data_Validation!$A:$D,3,0)</f>
        <v>Autres</v>
      </c>
      <c r="AQ791" s="598" t="str">
        <f>+VLOOKUP($AJ791,Data_Validation!$A:$D,4,0)</f>
        <v>Frais bancaires</v>
      </c>
      <c r="AR791" s="598" t="s">
        <v>299</v>
      </c>
      <c r="AS791" s="598">
        <f>+VLOOKUP($AJ791,Data_Validation!$A:$E,5,0)</f>
        <v>0</v>
      </c>
      <c r="AT791" s="1036" t="str">
        <f t="shared" si="75"/>
        <v>H99998</v>
      </c>
      <c r="AU791" s="599" t="str">
        <f t="shared" si="76"/>
        <v>DOCUMENTS CANCELLES</v>
      </c>
      <c r="AV791" s="1030">
        <f>IFERROR(INDEX(V791:AG791,1,MATCH(Parametres!$B$3,V$1:AG$1,0)-1)*IF(OR(C791="L",C791="S",C791="I"),-1,1),"")</f>
        <v>0</v>
      </c>
      <c r="AW791" s="1030">
        <f t="shared" si="77"/>
        <v>0</v>
      </c>
      <c r="AX791" s="1030">
        <f>INDEX(V791:AG791,1,MATCH(Parametres!$B$3,V$1:AG$1,0))*IF(OR(C791="L",C791="S",C791="I"),-1,1)</f>
        <v>0</v>
      </c>
      <c r="AY791" s="598" t="s">
        <v>337</v>
      </c>
      <c r="AZ791" s="598">
        <f>+VLOOKUP($AJ791,Data_Validation!$A:$E,5,0)</f>
        <v>0</v>
      </c>
    </row>
    <row r="792" spans="1:52" ht="15" customHeight="1">
      <c r="A792" s="832" t="s">
        <v>1150</v>
      </c>
      <c r="B792" s="832">
        <v>2025</v>
      </c>
      <c r="C792" s="832" t="s">
        <v>2699</v>
      </c>
      <c r="D792" s="832" t="s">
        <v>2700</v>
      </c>
      <c r="E792" s="832" t="s">
        <v>333</v>
      </c>
      <c r="F792" s="832" t="s">
        <v>1119</v>
      </c>
      <c r="G792" s="832">
        <v>0</v>
      </c>
      <c r="H792" s="832">
        <v>0</v>
      </c>
      <c r="I792" s="832">
        <v>0</v>
      </c>
      <c r="J792" s="832">
        <v>0</v>
      </c>
      <c r="K792" s="832">
        <v>0</v>
      </c>
      <c r="L792" s="832">
        <v>0</v>
      </c>
      <c r="M792" s="832">
        <v>0</v>
      </c>
      <c r="N792" s="832">
        <v>0</v>
      </c>
      <c r="O792" s="832">
        <v>0</v>
      </c>
      <c r="P792" s="832">
        <v>0</v>
      </c>
      <c r="Q792" s="832">
        <v>0</v>
      </c>
      <c r="R792" s="832">
        <v>0</v>
      </c>
      <c r="S792" s="832">
        <v>0</v>
      </c>
      <c r="T792" s="832">
        <v>0</v>
      </c>
      <c r="U792" s="832">
        <v>0</v>
      </c>
      <c r="V792" s="832">
        <v>0</v>
      </c>
      <c r="W792" s="832">
        <v>0</v>
      </c>
      <c r="X792" s="832">
        <v>0</v>
      </c>
      <c r="Y792" s="832">
        <v>0</v>
      </c>
      <c r="Z792" s="832">
        <v>0</v>
      </c>
      <c r="AA792" s="832">
        <v>0</v>
      </c>
      <c r="AB792" s="832">
        <v>0</v>
      </c>
      <c r="AC792" s="832">
        <v>0</v>
      </c>
      <c r="AD792" s="832">
        <v>0</v>
      </c>
      <c r="AE792" s="832">
        <v>0</v>
      </c>
      <c r="AF792" s="832">
        <v>0</v>
      </c>
      <c r="AG792" s="832">
        <v>0</v>
      </c>
      <c r="AH792" s="832">
        <v>0</v>
      </c>
      <c r="AI792" s="832">
        <v>0</v>
      </c>
      <c r="AJ792" s="1030" t="str">
        <f t="shared" si="78"/>
        <v>H99999</v>
      </c>
      <c r="AK792" s="1030" t="str">
        <f t="shared" si="79"/>
        <v>POST PROFIT/LOSS HISTORY</v>
      </c>
      <c r="AL792" s="1030">
        <f>IFERROR(INDEX(G792:R792,1,MATCH(Parametres!$B$3,G$1:R$1,0)-1)*IF(OR(F792="L",F792="S",F792="I"),-1,1),"")</f>
        <v>0</v>
      </c>
      <c r="AM792" s="1030">
        <f t="shared" si="74"/>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t="str">
        <f t="shared" si="75"/>
        <v>H99999</v>
      </c>
      <c r="AU792" s="599" t="str">
        <f t="shared" si="76"/>
        <v>POST PROFIT/LOSS HISTORY</v>
      </c>
      <c r="AV792" s="1030">
        <f>IFERROR(INDEX(V792:AG792,1,MATCH(Parametres!$B$3,V$1:AG$1,0)-1)*IF(OR(C792="L",C792="S",C792="I"),-1,1),"")</f>
        <v>0</v>
      </c>
      <c r="AW792" s="1030">
        <f t="shared" si="77"/>
        <v>0</v>
      </c>
      <c r="AX792" s="1030">
        <f>INDEX(V792:AG792,1,MATCH(Parametres!$B$3,V$1:AG$1,0))*IF(OR(C792="L",C792="S",C792="I"),-1,1)</f>
        <v>0</v>
      </c>
      <c r="AY792" s="598" t="s">
        <v>337</v>
      </c>
      <c r="AZ792" s="598" t="e">
        <f>+VLOOKUP($AJ792,Data_Validation!$A:$E,5,0)</f>
        <v>#N/A</v>
      </c>
    </row>
  </sheetData>
  <autoFilter ref="A2:AZ792" xr:uid="{00000000-0001-0000-0E00-000000000000}"/>
  <dataValidations disablePrompts="1"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182"/>
  <sheetViews>
    <sheetView topLeftCell="A130" workbookViewId="0">
      <selection activeCell="C158" sqref="C158:D158"/>
    </sheetView>
  </sheetViews>
  <sheetFormatPr baseColWidth="10" defaultColWidth="12.625" defaultRowHeight="15" customHeight="1" outlineLevelCol="1"/>
  <cols>
    <col min="1" max="1" width="8" bestFit="1" customWidth="1"/>
    <col min="2" max="2" width="34.5" customWidth="1"/>
    <col min="3" max="3" width="16.625" customWidth="1"/>
    <col min="4" max="4" width="32.5" bestFit="1" customWidth="1"/>
    <col min="5" max="5" width="8.375" bestFit="1" customWidth="1"/>
    <col min="6" max="6" width="21.75" customWidth="1"/>
    <col min="7" max="7" width="28.625" hidden="1" customWidth="1" outlineLevel="1"/>
    <col min="8" max="8" width="3.25" hidden="1" customWidth="1" outlineLevel="1"/>
    <col min="9" max="9" width="35.375" hidden="1" customWidth="1" outlineLevel="1"/>
    <col min="10" max="10" width="9.375" hidden="1" customWidth="1" collapsed="1"/>
    <col min="11" max="12" width="9.375" hidden="1" customWidth="1"/>
    <col min="13" max="27" width="9.375" customWidth="1"/>
  </cols>
  <sheetData>
    <row r="1" spans="1:11">
      <c r="A1" t="s">
        <v>2701</v>
      </c>
      <c r="B1" t="s">
        <v>247</v>
      </c>
      <c r="C1" s="1031" t="s">
        <v>660</v>
      </c>
      <c r="D1" s="1031" t="s">
        <v>645</v>
      </c>
      <c r="E1" s="1031" t="s">
        <v>636</v>
      </c>
      <c r="F1" s="4"/>
      <c r="G1" s="600" t="s">
        <v>660</v>
      </c>
      <c r="I1" s="600" t="s">
        <v>645</v>
      </c>
    </row>
    <row r="2" spans="1:11" ht="15" customHeight="1">
      <c r="A2" t="s">
        <v>1162</v>
      </c>
      <c r="B2" t="s">
        <v>1163</v>
      </c>
      <c r="C2" s="836" t="s">
        <v>88</v>
      </c>
      <c r="D2" s="836" t="s">
        <v>116</v>
      </c>
      <c r="E2" s="836"/>
      <c r="F2" s="3"/>
      <c r="G2" s="601" t="s">
        <v>661</v>
      </c>
      <c r="I2" s="601">
        <f>Print_Mois!C4</f>
        <v>0</v>
      </c>
    </row>
    <row r="3" spans="1:11" ht="15" customHeight="1">
      <c r="A3" t="s">
        <v>1164</v>
      </c>
      <c r="B3" t="s">
        <v>1165</v>
      </c>
      <c r="C3" s="836" t="s">
        <v>88</v>
      </c>
      <c r="D3" s="836" t="s">
        <v>107</v>
      </c>
      <c r="E3" s="836"/>
      <c r="F3" s="33"/>
      <c r="G3" s="601" t="str">
        <f>Print_Mois!K1</f>
        <v>Véhicules neufs</v>
      </c>
      <c r="I3" s="601" t="s">
        <v>79</v>
      </c>
    </row>
    <row r="4" spans="1:11" ht="15" customHeight="1">
      <c r="A4" t="s">
        <v>1166</v>
      </c>
      <c r="B4" t="s">
        <v>1167</v>
      </c>
      <c r="C4" s="836" t="s">
        <v>88</v>
      </c>
      <c r="D4" s="836" t="s">
        <v>108</v>
      </c>
      <c r="E4" s="836"/>
      <c r="F4" s="33"/>
      <c r="G4" s="601" t="str">
        <f>Print_Mois!K89</f>
        <v>Véhicules usagés</v>
      </c>
      <c r="I4" s="601" t="str">
        <f>Print_Mois!C185</f>
        <v>Ajustement M/O</v>
      </c>
      <c r="K4" s="602" t="s">
        <v>662</v>
      </c>
    </row>
    <row r="5" spans="1:11" ht="15" customHeight="1">
      <c r="A5" t="s">
        <v>1168</v>
      </c>
      <c r="B5" t="s">
        <v>1169</v>
      </c>
      <c r="C5" s="836" t="s">
        <v>88</v>
      </c>
      <c r="D5" s="836" t="s">
        <v>109</v>
      </c>
      <c r="E5" s="836"/>
      <c r="F5" s="33"/>
      <c r="G5" s="601" t="str">
        <f>Print_Mois!AE403</f>
        <v>TOTAL DES REVENUS ET DÉPENSES</v>
      </c>
      <c r="I5" s="601" t="s">
        <v>66</v>
      </c>
      <c r="K5" s="138" t="s">
        <v>663</v>
      </c>
    </row>
    <row r="6" spans="1:11" ht="15" customHeight="1">
      <c r="A6" t="s">
        <v>1170</v>
      </c>
      <c r="B6" t="s">
        <v>1171</v>
      </c>
      <c r="C6" s="836" t="s">
        <v>88</v>
      </c>
      <c r="D6" s="836" t="s">
        <v>111</v>
      </c>
      <c r="E6" s="836"/>
      <c r="F6" s="33"/>
      <c r="G6" s="601" t="str">
        <f>Print_Mois!K169</f>
        <v>Service</v>
      </c>
      <c r="I6" s="601" t="s">
        <v>68</v>
      </c>
      <c r="K6" s="138" t="s">
        <v>664</v>
      </c>
    </row>
    <row r="7" spans="1:11" ht="15" customHeight="1">
      <c r="A7" t="s">
        <v>1172</v>
      </c>
      <c r="B7" t="s">
        <v>1173</v>
      </c>
      <c r="C7" s="836" t="s">
        <v>88</v>
      </c>
      <c r="D7" s="836" t="s">
        <v>112</v>
      </c>
      <c r="E7" s="836"/>
      <c r="F7" s="33"/>
      <c r="G7" s="601" t="str">
        <f>Print_Mois!K237</f>
        <v>Carrosserie</v>
      </c>
      <c r="I7" s="601" t="str">
        <f>Print_Mois!V492</f>
        <v>Amortissement</v>
      </c>
      <c r="K7" s="138" t="s">
        <v>300</v>
      </c>
    </row>
    <row r="8" spans="1:11" ht="15" customHeight="1">
      <c r="A8" t="s">
        <v>1174</v>
      </c>
      <c r="B8" t="s">
        <v>1175</v>
      </c>
      <c r="C8" s="836" t="s">
        <v>88</v>
      </c>
      <c r="D8" s="836" t="s">
        <v>112</v>
      </c>
      <c r="E8" s="836"/>
      <c r="F8" s="33"/>
      <c r="G8" s="601" t="str">
        <f>Print_Mois!K292</f>
        <v>Pièces</v>
      </c>
      <c r="I8" s="601" t="s">
        <v>81</v>
      </c>
      <c r="K8" s="138" t="s">
        <v>157</v>
      </c>
    </row>
    <row r="9" spans="1:11" ht="15" customHeight="1">
      <c r="A9" t="s">
        <v>1178</v>
      </c>
      <c r="B9" t="s">
        <v>1179</v>
      </c>
      <c r="C9" s="836" t="s">
        <v>88</v>
      </c>
      <c r="D9" s="836" t="s">
        <v>111</v>
      </c>
      <c r="E9" s="836"/>
      <c r="F9" s="33"/>
      <c r="G9" s="601"/>
      <c r="I9" s="601"/>
      <c r="K9" s="138"/>
    </row>
    <row r="10" spans="1:11" ht="15" customHeight="1">
      <c r="A10" t="s">
        <v>1180</v>
      </c>
      <c r="B10" t="s">
        <v>1181</v>
      </c>
      <c r="C10" s="836" t="s">
        <v>88</v>
      </c>
      <c r="D10" s="836" t="s">
        <v>113</v>
      </c>
      <c r="E10" s="836"/>
      <c r="F10" s="33"/>
      <c r="G10" s="601"/>
      <c r="I10" s="601"/>
      <c r="K10" s="138"/>
    </row>
    <row r="11" spans="1:11" ht="15" customHeight="1">
      <c r="A11" t="s">
        <v>1186</v>
      </c>
      <c r="B11" t="s">
        <v>1187</v>
      </c>
      <c r="C11" s="836" t="s">
        <v>88</v>
      </c>
      <c r="D11" s="836" t="s">
        <v>118</v>
      </c>
      <c r="E11" s="836"/>
      <c r="F11" s="33"/>
      <c r="G11" s="601" t="s">
        <v>665</v>
      </c>
      <c r="I11" s="601" t="str">
        <f>Print_Mois!V458</f>
        <v>Assurances</v>
      </c>
      <c r="K11" s="138" t="s">
        <v>176</v>
      </c>
    </row>
    <row r="12" spans="1:11" ht="15" customHeight="1">
      <c r="A12" t="s">
        <v>1188</v>
      </c>
      <c r="B12" t="s">
        <v>1189</v>
      </c>
      <c r="C12" s="836" t="s">
        <v>88</v>
      </c>
      <c r="D12" s="836" t="s">
        <v>120</v>
      </c>
      <c r="E12" s="836"/>
      <c r="F12" s="33"/>
      <c r="G12" s="601"/>
      <c r="I12" s="601"/>
      <c r="K12" s="138"/>
    </row>
    <row r="13" spans="1:11" ht="15" customHeight="1">
      <c r="A13" t="s">
        <v>1194</v>
      </c>
      <c r="B13" t="s">
        <v>1195</v>
      </c>
      <c r="C13" s="836" t="s">
        <v>88</v>
      </c>
      <c r="D13" s="836" t="s">
        <v>122</v>
      </c>
      <c r="E13" s="836"/>
      <c r="F13" s="33"/>
      <c r="G13" s="601"/>
      <c r="I13" s="601" t="s">
        <v>666</v>
      </c>
      <c r="K13" s="138" t="s">
        <v>172</v>
      </c>
    </row>
    <row r="14" spans="1:11" ht="15" customHeight="1">
      <c r="A14" t="s">
        <v>1196</v>
      </c>
      <c r="B14" t="s">
        <v>1197</v>
      </c>
      <c r="C14" s="836" t="s">
        <v>88</v>
      </c>
      <c r="D14" s="836" t="s">
        <v>121</v>
      </c>
      <c r="E14" s="836"/>
      <c r="F14" s="33"/>
      <c r="G14" s="601"/>
      <c r="I14" s="601" t="s">
        <v>667</v>
      </c>
      <c r="K14" s="602" t="s">
        <v>668</v>
      </c>
    </row>
    <row r="15" spans="1:11" ht="15" customHeight="1">
      <c r="A15" t="s">
        <v>1198</v>
      </c>
      <c r="B15" t="s">
        <v>1199</v>
      </c>
      <c r="C15" s="836" t="s">
        <v>88</v>
      </c>
      <c r="D15" s="836" t="s">
        <v>137</v>
      </c>
      <c r="E15" s="836"/>
      <c r="F15" s="33"/>
      <c r="I15" s="601" t="str">
        <f>Print_Mois!C6</f>
        <v>Autos détail</v>
      </c>
      <c r="K15" s="5" t="s">
        <v>664</v>
      </c>
    </row>
    <row r="16" spans="1:11" ht="15" customHeight="1">
      <c r="A16" t="s">
        <v>1200</v>
      </c>
      <c r="B16" t="s">
        <v>1201</v>
      </c>
      <c r="C16" s="836" t="s">
        <v>88</v>
      </c>
      <c r="D16" s="836" t="s">
        <v>133</v>
      </c>
      <c r="E16" s="836"/>
      <c r="F16" s="33"/>
      <c r="I16" s="601" t="s">
        <v>169</v>
      </c>
    </row>
    <row r="17" spans="1:11" ht="15" customHeight="1">
      <c r="A17" t="s">
        <v>1206</v>
      </c>
      <c r="B17" t="s">
        <v>1207</v>
      </c>
      <c r="C17" s="836" t="s">
        <v>88</v>
      </c>
      <c r="D17" s="836" t="s">
        <v>130</v>
      </c>
      <c r="E17" s="836"/>
      <c r="F17" s="33"/>
      <c r="I17" s="601" t="str">
        <f>Print_Mois!C313</f>
        <v>Autostock</v>
      </c>
      <c r="K17" s="5" t="s">
        <v>300</v>
      </c>
    </row>
    <row r="18" spans="1:11" ht="15" customHeight="1">
      <c r="A18" t="s">
        <v>1208</v>
      </c>
      <c r="B18" t="s">
        <v>1209</v>
      </c>
      <c r="C18" s="836" t="s">
        <v>88</v>
      </c>
      <c r="D18" s="836" t="s">
        <v>130</v>
      </c>
      <c r="E18" s="836"/>
      <c r="F18" s="33"/>
      <c r="I18" s="601" t="s">
        <v>39</v>
      </c>
    </row>
    <row r="19" spans="1:11" ht="15" customHeight="1">
      <c r="A19" t="s">
        <v>1210</v>
      </c>
      <c r="B19" t="s">
        <v>1211</v>
      </c>
      <c r="C19" s="836" t="s">
        <v>88</v>
      </c>
      <c r="D19" s="836" t="s">
        <v>127</v>
      </c>
      <c r="E19" s="836"/>
      <c r="F19" s="33"/>
      <c r="I19" s="601" t="s">
        <v>53</v>
      </c>
      <c r="K19" s="602" t="s">
        <v>669</v>
      </c>
    </row>
    <row r="20" spans="1:11" ht="15" customHeight="1">
      <c r="A20" t="s">
        <v>1214</v>
      </c>
      <c r="B20" t="s">
        <v>1215</v>
      </c>
      <c r="C20" s="836" t="s">
        <v>88</v>
      </c>
      <c r="D20" s="836" t="s">
        <v>128</v>
      </c>
      <c r="E20" s="836"/>
      <c r="F20" s="33"/>
      <c r="I20" s="601" t="s">
        <v>69</v>
      </c>
      <c r="K20" s="5" t="s">
        <v>664</v>
      </c>
    </row>
    <row r="21" spans="1:11" ht="15" customHeight="1">
      <c r="A21" t="s">
        <v>1216</v>
      </c>
      <c r="B21" t="s">
        <v>1217</v>
      </c>
      <c r="C21" s="836" t="s">
        <v>88</v>
      </c>
      <c r="D21" s="836" t="s">
        <v>129</v>
      </c>
      <c r="E21" s="836"/>
      <c r="F21" s="33"/>
      <c r="I21" s="601" t="s">
        <v>27</v>
      </c>
      <c r="K21" s="5" t="s">
        <v>300</v>
      </c>
    </row>
    <row r="22" spans="1:11" ht="15" customHeight="1">
      <c r="A22" t="s">
        <v>1218</v>
      </c>
      <c r="B22" t="s">
        <v>1219</v>
      </c>
      <c r="C22" s="836" t="s">
        <v>88</v>
      </c>
      <c r="D22" s="836" t="s">
        <v>129</v>
      </c>
      <c r="E22" s="836"/>
      <c r="F22" s="33"/>
      <c r="I22" s="601"/>
      <c r="K22" s="5"/>
    </row>
    <row r="23" spans="1:11" ht="15" customHeight="1">
      <c r="A23" t="s">
        <v>1220</v>
      </c>
      <c r="B23" t="s">
        <v>1221</v>
      </c>
      <c r="C23" s="836" t="s">
        <v>88</v>
      </c>
      <c r="D23" s="836" t="s">
        <v>134</v>
      </c>
      <c r="E23" s="836"/>
      <c r="F23" s="33"/>
      <c r="I23" s="601" t="s">
        <v>50</v>
      </c>
    </row>
    <row r="24" spans="1:11" ht="15" customHeight="1">
      <c r="A24" t="s">
        <v>1224</v>
      </c>
      <c r="B24" t="s">
        <v>1225</v>
      </c>
      <c r="C24" s="836" t="s">
        <v>88</v>
      </c>
      <c r="D24" s="836" t="s">
        <v>135</v>
      </c>
      <c r="E24" s="836"/>
      <c r="F24" s="33"/>
      <c r="I24" s="601" t="s">
        <v>78</v>
      </c>
    </row>
    <row r="25" spans="1:11" ht="15" customHeight="1">
      <c r="A25" t="s">
        <v>1226</v>
      </c>
      <c r="B25" t="s">
        <v>1227</v>
      </c>
      <c r="C25" s="836" t="s">
        <v>88</v>
      </c>
      <c r="D25" s="836" t="s">
        <v>136</v>
      </c>
      <c r="E25" s="836"/>
      <c r="F25" s="33"/>
      <c r="I25" s="601" t="s">
        <v>63</v>
      </c>
    </row>
    <row r="26" spans="1:11" ht="15" customHeight="1">
      <c r="A26" t="s">
        <v>1230</v>
      </c>
      <c r="B26" t="s">
        <v>1231</v>
      </c>
      <c r="C26" s="836" t="s">
        <v>88</v>
      </c>
      <c r="D26" s="836" t="s">
        <v>201</v>
      </c>
      <c r="E26" s="836"/>
      <c r="F26" s="33"/>
      <c r="I26" s="601" t="s">
        <v>64</v>
      </c>
    </row>
    <row r="27" spans="1:11" ht="15" customHeight="1">
      <c r="A27" t="s">
        <v>1232</v>
      </c>
      <c r="B27" t="s">
        <v>1233</v>
      </c>
      <c r="C27" s="836" t="s">
        <v>88</v>
      </c>
      <c r="D27" s="836" t="s">
        <v>217</v>
      </c>
      <c r="E27" s="836"/>
      <c r="F27" s="33"/>
      <c r="I27" s="601" t="str">
        <f>Print_Mois!V431</f>
        <v>Bénéfices marginaux</v>
      </c>
    </row>
    <row r="28" spans="1:11" ht="15" customHeight="1">
      <c r="A28" t="s">
        <v>1234</v>
      </c>
      <c r="B28" t="s">
        <v>1235</v>
      </c>
      <c r="C28" s="836" t="s">
        <v>665</v>
      </c>
      <c r="D28" s="836" t="s">
        <v>130</v>
      </c>
      <c r="E28" s="836"/>
      <c r="F28" s="33"/>
      <c r="I28" s="601" t="s">
        <v>82</v>
      </c>
    </row>
    <row r="29" spans="1:11" ht="15" customHeight="1">
      <c r="A29" t="s">
        <v>1236</v>
      </c>
      <c r="B29" t="s">
        <v>1237</v>
      </c>
      <c r="C29" s="836" t="s">
        <v>88</v>
      </c>
      <c r="D29" s="836" t="s">
        <v>202</v>
      </c>
      <c r="E29" s="836"/>
      <c r="F29" s="33"/>
      <c r="I29" s="601" t="s">
        <v>661</v>
      </c>
    </row>
    <row r="30" spans="1:11" ht="15" customHeight="1">
      <c r="A30" t="s">
        <v>1238</v>
      </c>
      <c r="B30" t="s">
        <v>1239</v>
      </c>
      <c r="C30" s="836" t="s">
        <v>88</v>
      </c>
      <c r="D30" s="836" t="s">
        <v>205</v>
      </c>
      <c r="E30" s="836"/>
      <c r="F30" s="33"/>
      <c r="I30" s="601" t="s">
        <v>192</v>
      </c>
    </row>
    <row r="31" spans="1:11" ht="15" customHeight="1">
      <c r="A31" t="s">
        <v>1244</v>
      </c>
      <c r="B31" t="s">
        <v>1245</v>
      </c>
      <c r="C31" s="836" t="s">
        <v>88</v>
      </c>
      <c r="D31" s="836" t="s">
        <v>217</v>
      </c>
      <c r="E31" s="836"/>
      <c r="F31" s="33"/>
      <c r="I31" s="601" t="s">
        <v>94</v>
      </c>
    </row>
    <row r="32" spans="1:11" ht="15" customHeight="1">
      <c r="A32" t="s">
        <v>1248</v>
      </c>
      <c r="B32" t="s">
        <v>1249</v>
      </c>
      <c r="C32" s="836" t="s">
        <v>88</v>
      </c>
      <c r="D32" s="836" t="s">
        <v>206</v>
      </c>
      <c r="E32" s="836"/>
      <c r="F32" s="33"/>
      <c r="I32" s="601" t="s">
        <v>80</v>
      </c>
    </row>
    <row r="33" spans="1:9" ht="15" customHeight="1">
      <c r="A33" t="s">
        <v>1250</v>
      </c>
      <c r="B33" t="s">
        <v>1251</v>
      </c>
      <c r="C33" s="836" t="s">
        <v>88</v>
      </c>
      <c r="D33" s="836" t="s">
        <v>207</v>
      </c>
      <c r="E33" s="836"/>
      <c r="F33" s="33"/>
      <c r="I33" s="601" t="str">
        <f>Print_Mois!C94</f>
        <v>Certifié</v>
      </c>
    </row>
    <row r="34" spans="1:9" ht="15" customHeight="1">
      <c r="A34" t="s">
        <v>1252</v>
      </c>
      <c r="B34" t="s">
        <v>1253</v>
      </c>
      <c r="C34" s="836" t="s">
        <v>665</v>
      </c>
      <c r="D34" s="836" t="s">
        <v>136</v>
      </c>
      <c r="E34" s="836"/>
      <c r="F34" s="33"/>
      <c r="I34" s="601" t="str">
        <f>Print_Mois!V459</f>
        <v>Chauffage, éclairage</v>
      </c>
    </row>
    <row r="35" spans="1:9" ht="15" customHeight="1">
      <c r="A35" t="s">
        <v>1256</v>
      </c>
      <c r="B35" t="s">
        <v>1257</v>
      </c>
      <c r="C35" s="836" t="s">
        <v>665</v>
      </c>
      <c r="D35" s="836" t="s">
        <v>210</v>
      </c>
      <c r="E35" s="836"/>
      <c r="F35" s="33"/>
      <c r="I35" s="601"/>
    </row>
    <row r="36" spans="1:9" ht="15" customHeight="1">
      <c r="A36" t="s">
        <v>1258</v>
      </c>
      <c r="B36" t="s">
        <v>1259</v>
      </c>
      <c r="C36" s="836" t="s">
        <v>88</v>
      </c>
      <c r="D36" s="836" t="s">
        <v>207</v>
      </c>
      <c r="E36" s="836"/>
      <c r="F36" s="33"/>
      <c r="I36" s="601" t="str">
        <f>Print_Mois!C32</f>
        <v>Comm. F&amp;I</v>
      </c>
    </row>
    <row r="37" spans="1:9" ht="15" customHeight="1">
      <c r="A37" t="s">
        <v>1260</v>
      </c>
      <c r="B37" t="s">
        <v>1261</v>
      </c>
      <c r="C37" s="836" t="s">
        <v>148</v>
      </c>
      <c r="D37" s="836" t="s">
        <v>116</v>
      </c>
      <c r="E37" s="836"/>
      <c r="F37" s="33"/>
      <c r="I37" s="601" t="str">
        <f>Print_Mois!C31</f>
        <v>Comm. vendeurs</v>
      </c>
    </row>
    <row r="38" spans="1:9" ht="15" customHeight="1">
      <c r="A38" t="s">
        <v>1262</v>
      </c>
      <c r="B38" t="s">
        <v>1263</v>
      </c>
      <c r="C38" s="836" t="s">
        <v>148</v>
      </c>
      <c r="D38" s="836" t="s">
        <v>107</v>
      </c>
      <c r="E38" s="836"/>
      <c r="F38" s="33"/>
      <c r="I38" s="601" t="s">
        <v>29</v>
      </c>
    </row>
    <row r="39" spans="1:9" ht="15" customHeight="1">
      <c r="A39" t="s">
        <v>1264</v>
      </c>
      <c r="B39" t="s">
        <v>1265</v>
      </c>
      <c r="C39" s="836" t="s">
        <v>148</v>
      </c>
      <c r="D39" s="836" t="s">
        <v>108</v>
      </c>
      <c r="E39" s="836"/>
      <c r="F39" s="33"/>
      <c r="I39" s="601" t="s">
        <v>670</v>
      </c>
    </row>
    <row r="40" spans="1:9" ht="15" customHeight="1">
      <c r="A40" t="s">
        <v>1266</v>
      </c>
      <c r="B40" t="s">
        <v>1267</v>
      </c>
      <c r="C40" s="836" t="s">
        <v>148</v>
      </c>
      <c r="D40" s="836" t="s">
        <v>109</v>
      </c>
      <c r="E40" s="836"/>
      <c r="F40" s="33"/>
      <c r="I40" s="601" t="s">
        <v>671</v>
      </c>
    </row>
    <row r="41" spans="1:9" ht="15" customHeight="1">
      <c r="A41" t="s">
        <v>1268</v>
      </c>
      <c r="B41" t="s">
        <v>1269</v>
      </c>
      <c r="C41" s="836" t="s">
        <v>148</v>
      </c>
      <c r="D41" s="836" t="s">
        <v>111</v>
      </c>
      <c r="E41" s="836"/>
      <c r="F41" s="33"/>
      <c r="I41" s="601" t="str">
        <f>Print_Mois!V432</f>
        <v>Csst</v>
      </c>
    </row>
    <row r="42" spans="1:9" ht="15" customHeight="1">
      <c r="A42" t="s">
        <v>1270</v>
      </c>
      <c r="B42" t="s">
        <v>1271</v>
      </c>
      <c r="C42" s="836" t="s">
        <v>148</v>
      </c>
      <c r="D42" s="836" t="s">
        <v>112</v>
      </c>
      <c r="E42" s="836"/>
      <c r="F42" s="33"/>
      <c r="I42" s="601" t="s">
        <v>51</v>
      </c>
    </row>
    <row r="43" spans="1:9" ht="15" customHeight="1">
      <c r="A43" t="s">
        <v>1276</v>
      </c>
      <c r="B43" t="s">
        <v>1277</v>
      </c>
      <c r="C43" s="836" t="s">
        <v>148</v>
      </c>
      <c r="D43" s="836" t="s">
        <v>111</v>
      </c>
      <c r="E43" s="836"/>
      <c r="F43" s="33"/>
      <c r="I43" s="601"/>
    </row>
    <row r="44" spans="1:9" ht="15" customHeight="1">
      <c r="A44" t="s">
        <v>1278</v>
      </c>
      <c r="B44" t="s">
        <v>1279</v>
      </c>
      <c r="C44" s="836" t="s">
        <v>148</v>
      </c>
      <c r="D44" s="836" t="s">
        <v>113</v>
      </c>
      <c r="E44" s="836"/>
      <c r="F44" s="33"/>
      <c r="I44" s="601" t="str">
        <f>Print_Mois!V430</f>
        <v>Déduction à la source</v>
      </c>
    </row>
    <row r="45" spans="1:9" ht="15" customHeight="1">
      <c r="A45" t="s">
        <v>1282</v>
      </c>
      <c r="B45" t="s">
        <v>1283</v>
      </c>
      <c r="C45" s="836" t="s">
        <v>148</v>
      </c>
      <c r="D45" s="836" t="s">
        <v>118</v>
      </c>
      <c r="E45" s="836"/>
      <c r="F45" s="33"/>
      <c r="I45" s="601" t="s">
        <v>35</v>
      </c>
    </row>
    <row r="46" spans="1:9" ht="15" customHeight="1">
      <c r="A46" t="s">
        <v>1284</v>
      </c>
      <c r="B46" t="s">
        <v>1285</v>
      </c>
      <c r="C46" s="836" t="s">
        <v>148</v>
      </c>
      <c r="D46" s="836" t="s">
        <v>120</v>
      </c>
      <c r="E46" s="836"/>
      <c r="F46" s="33"/>
      <c r="I46" s="601" t="s">
        <v>67</v>
      </c>
    </row>
    <row r="47" spans="1:9" ht="15" customHeight="1">
      <c r="A47" t="s">
        <v>1290</v>
      </c>
      <c r="B47" t="s">
        <v>1291</v>
      </c>
      <c r="C47" s="836" t="s">
        <v>148</v>
      </c>
      <c r="D47" s="836" t="s">
        <v>122</v>
      </c>
      <c r="E47" s="836"/>
      <c r="F47" s="33"/>
      <c r="I47" s="601" t="str">
        <f>Print_Mois!V447</f>
        <v>Divers</v>
      </c>
    </row>
    <row r="48" spans="1:9" ht="15" customHeight="1">
      <c r="A48" t="s">
        <v>1292</v>
      </c>
      <c r="B48" t="s">
        <v>1293</v>
      </c>
      <c r="C48" s="836" t="s">
        <v>148</v>
      </c>
      <c r="D48" s="836" t="s">
        <v>121</v>
      </c>
      <c r="E48" s="836"/>
      <c r="F48" s="33"/>
      <c r="I48" s="601" t="s">
        <v>83</v>
      </c>
    </row>
    <row r="49" spans="1:9" ht="15" customHeight="1">
      <c r="A49" t="s">
        <v>1294</v>
      </c>
      <c r="B49" t="s">
        <v>1295</v>
      </c>
      <c r="C49" s="836" t="s">
        <v>148</v>
      </c>
      <c r="D49" s="836" t="s">
        <v>137</v>
      </c>
      <c r="E49" s="836"/>
      <c r="F49" s="33"/>
      <c r="I49" s="601" t="s">
        <v>210</v>
      </c>
    </row>
    <row r="50" spans="1:9" ht="15" customHeight="1">
      <c r="A50" t="s">
        <v>1296</v>
      </c>
      <c r="B50" t="s">
        <v>1297</v>
      </c>
      <c r="C50" s="836" t="s">
        <v>148</v>
      </c>
      <c r="D50" s="836" t="s">
        <v>133</v>
      </c>
      <c r="E50" s="836"/>
      <c r="F50" s="33"/>
      <c r="I50" s="601" t="s">
        <v>43</v>
      </c>
    </row>
    <row r="51" spans="1:9" ht="15" customHeight="1">
      <c r="A51" t="s">
        <v>1302</v>
      </c>
      <c r="B51" t="s">
        <v>1303</v>
      </c>
      <c r="C51" s="836" t="s">
        <v>148</v>
      </c>
      <c r="D51" s="836" t="s">
        <v>130</v>
      </c>
      <c r="E51" s="836"/>
      <c r="F51" s="33"/>
      <c r="I51" s="601" t="s">
        <v>45</v>
      </c>
    </row>
    <row r="52" spans="1:9" ht="15" customHeight="1">
      <c r="A52" t="s">
        <v>1304</v>
      </c>
      <c r="B52" t="s">
        <v>1305</v>
      </c>
      <c r="C52" s="836" t="s">
        <v>148</v>
      </c>
      <c r="D52" s="836" t="s">
        <v>130</v>
      </c>
      <c r="E52" s="836"/>
      <c r="F52" s="33"/>
      <c r="I52" s="601" t="s">
        <v>21</v>
      </c>
    </row>
    <row r="53" spans="1:9" ht="15" customHeight="1">
      <c r="A53" t="s">
        <v>1310</v>
      </c>
      <c r="B53" t="s">
        <v>1311</v>
      </c>
      <c r="C53" s="836" t="s">
        <v>148</v>
      </c>
      <c r="D53" s="836" t="s">
        <v>128</v>
      </c>
      <c r="E53" s="836"/>
      <c r="F53" s="33"/>
      <c r="I53" s="601" t="s">
        <v>75</v>
      </c>
    </row>
    <row r="54" spans="1:9" ht="15" customHeight="1">
      <c r="A54" t="s">
        <v>1312</v>
      </c>
      <c r="B54" t="s">
        <v>1313</v>
      </c>
      <c r="C54" s="836" t="s">
        <v>148</v>
      </c>
      <c r="D54" s="836" t="s">
        <v>129</v>
      </c>
      <c r="E54" s="836"/>
      <c r="F54" s="33"/>
      <c r="I54" s="601" t="str">
        <f>Print_Mois!C35</f>
        <v>Entretien stock</v>
      </c>
    </row>
    <row r="55" spans="1:9" ht="15" customHeight="1">
      <c r="A55" t="s">
        <v>1316</v>
      </c>
      <c r="B55" t="s">
        <v>1317</v>
      </c>
      <c r="C55" s="836" t="s">
        <v>148</v>
      </c>
      <c r="D55" s="836" t="s">
        <v>134</v>
      </c>
      <c r="E55" s="836"/>
      <c r="F55" s="33"/>
      <c r="I55" s="601" t="s">
        <v>72</v>
      </c>
    </row>
    <row r="56" spans="1:9" ht="15" customHeight="1">
      <c r="A56" t="s">
        <v>1320</v>
      </c>
      <c r="B56" t="s">
        <v>1321</v>
      </c>
      <c r="C56" s="836" t="s">
        <v>148</v>
      </c>
      <c r="D56" s="836" t="s">
        <v>135</v>
      </c>
      <c r="E56" s="836"/>
      <c r="F56" s="33"/>
      <c r="I56" s="601"/>
    </row>
    <row r="57" spans="1:9" ht="15" customHeight="1">
      <c r="A57" t="s">
        <v>1322</v>
      </c>
      <c r="B57" t="s">
        <v>1323</v>
      </c>
      <c r="C57" s="836" t="s">
        <v>148</v>
      </c>
      <c r="D57" s="836" t="s">
        <v>136</v>
      </c>
      <c r="E57" s="836"/>
      <c r="F57" s="33"/>
      <c r="I57" s="601" t="s">
        <v>70</v>
      </c>
    </row>
    <row r="58" spans="1:9" ht="15" customHeight="1">
      <c r="A58" t="s">
        <v>1324</v>
      </c>
      <c r="B58" t="s">
        <v>1325</v>
      </c>
      <c r="C58" s="836" t="s">
        <v>148</v>
      </c>
      <c r="D58" s="836" t="s">
        <v>201</v>
      </c>
      <c r="E58" s="836"/>
      <c r="F58" s="33"/>
      <c r="I58" s="601" t="s">
        <v>73</v>
      </c>
    </row>
    <row r="59" spans="1:9" ht="15" customHeight="1">
      <c r="A59" t="s">
        <v>1326</v>
      </c>
      <c r="B59" t="s">
        <v>1327</v>
      </c>
      <c r="C59" s="836" t="s">
        <v>148</v>
      </c>
      <c r="D59" s="836" t="s">
        <v>217</v>
      </c>
      <c r="E59" s="836"/>
      <c r="F59" s="33"/>
      <c r="I59" s="601" t="str">
        <f>Print_Mois!C303</f>
        <v>Escomptes</v>
      </c>
    </row>
    <row r="60" spans="1:9" ht="15" customHeight="1">
      <c r="A60" t="s">
        <v>1328</v>
      </c>
      <c r="B60" t="s">
        <v>1329</v>
      </c>
      <c r="C60" s="836" t="s">
        <v>665</v>
      </c>
      <c r="D60" s="836" t="s">
        <v>130</v>
      </c>
      <c r="E60" s="836"/>
      <c r="F60" s="33"/>
      <c r="I60" s="601" t="str">
        <f>Print_Mois!C15</f>
        <v>Ex-Démos et courtoisies</v>
      </c>
    </row>
    <row r="61" spans="1:9" ht="15" customHeight="1">
      <c r="A61" t="s">
        <v>1330</v>
      </c>
      <c r="B61" t="s">
        <v>1331</v>
      </c>
      <c r="C61" s="836" t="s">
        <v>148</v>
      </c>
      <c r="D61" s="836" t="s">
        <v>202</v>
      </c>
      <c r="E61" s="836"/>
      <c r="F61" s="33"/>
      <c r="I61" s="601" t="str">
        <f>Print_Mois!C17</f>
        <v>Flottes</v>
      </c>
    </row>
    <row r="62" spans="1:9" ht="15" customHeight="1">
      <c r="A62" t="s">
        <v>1332</v>
      </c>
      <c r="B62" t="s">
        <v>1333</v>
      </c>
      <c r="C62" s="836" t="s">
        <v>148</v>
      </c>
      <c r="D62" s="836" t="s">
        <v>205</v>
      </c>
      <c r="E62" s="836"/>
      <c r="F62" s="33"/>
      <c r="I62" s="601" t="s">
        <v>672</v>
      </c>
    </row>
    <row r="63" spans="1:9" ht="15" customHeight="1">
      <c r="A63" t="s">
        <v>1338</v>
      </c>
      <c r="B63" t="s">
        <v>1339</v>
      </c>
      <c r="C63" s="836" t="s">
        <v>148</v>
      </c>
      <c r="D63" s="836" t="s">
        <v>217</v>
      </c>
      <c r="E63" s="836"/>
      <c r="F63" s="33"/>
      <c r="I63" s="601" t="str">
        <f>Print_Mois!V448</f>
        <v>Formation</v>
      </c>
    </row>
    <row r="64" spans="1:9" ht="15" customHeight="1">
      <c r="A64" t="s">
        <v>1342</v>
      </c>
      <c r="B64" t="s">
        <v>1343</v>
      </c>
      <c r="C64" s="836" t="s">
        <v>148</v>
      </c>
      <c r="D64" s="836" t="s">
        <v>206</v>
      </c>
      <c r="E64" s="836"/>
      <c r="F64" s="33"/>
      <c r="I64" s="601" t="str">
        <f>Print_Mois!V442</f>
        <v>Fournitures autres</v>
      </c>
    </row>
    <row r="65" spans="1:9" ht="15" customHeight="1">
      <c r="A65" t="s">
        <v>1344</v>
      </c>
      <c r="B65" t="s">
        <v>1345</v>
      </c>
      <c r="C65" s="836" t="s">
        <v>148</v>
      </c>
      <c r="D65" s="836" t="s">
        <v>207</v>
      </c>
      <c r="E65" s="836"/>
      <c r="F65" s="33"/>
      <c r="I65" s="601" t="s">
        <v>483</v>
      </c>
    </row>
    <row r="66" spans="1:9" ht="15" customHeight="1">
      <c r="A66" t="s">
        <v>1346</v>
      </c>
      <c r="B66" t="s">
        <v>1347</v>
      </c>
      <c r="C66" s="836" t="s">
        <v>665</v>
      </c>
      <c r="D66" s="836" t="s">
        <v>136</v>
      </c>
      <c r="E66" s="836"/>
      <c r="F66" s="33"/>
      <c r="I66" s="601" t="str">
        <f>Print_Mois!V481</f>
        <v>Frais administration</v>
      </c>
    </row>
    <row r="67" spans="1:9" ht="15" customHeight="1">
      <c r="A67" t="s">
        <v>1348</v>
      </c>
      <c r="B67" t="s">
        <v>1349</v>
      </c>
      <c r="C67" s="836" t="s">
        <v>665</v>
      </c>
      <c r="D67" s="836" t="s">
        <v>210</v>
      </c>
      <c r="E67" s="836"/>
      <c r="F67" s="33"/>
      <c r="I67" s="601"/>
    </row>
    <row r="68" spans="1:9" ht="15" customHeight="1">
      <c r="A68" t="s">
        <v>1350</v>
      </c>
      <c r="B68" t="s">
        <v>1351</v>
      </c>
      <c r="C68" s="836" t="s">
        <v>148</v>
      </c>
      <c r="D68" s="836" t="s">
        <v>207</v>
      </c>
      <c r="E68" s="836"/>
      <c r="F68" s="33"/>
      <c r="I68" s="601"/>
    </row>
    <row r="69" spans="1:9" ht="15" customHeight="1">
      <c r="A69" t="s">
        <v>1352</v>
      </c>
      <c r="B69" t="s">
        <v>1353</v>
      </c>
      <c r="C69" s="836" t="s">
        <v>176</v>
      </c>
      <c r="D69" s="836" t="s">
        <v>116</v>
      </c>
      <c r="E69" s="836"/>
      <c r="F69" s="33"/>
      <c r="I69" s="601" t="s">
        <v>138</v>
      </c>
    </row>
    <row r="70" spans="1:9" ht="15" customHeight="1">
      <c r="A70" t="s">
        <v>1354</v>
      </c>
      <c r="B70" t="s">
        <v>1355</v>
      </c>
      <c r="C70" s="836" t="s">
        <v>176</v>
      </c>
      <c r="D70" s="836" t="s">
        <v>118</v>
      </c>
      <c r="E70" s="836"/>
      <c r="F70" s="33"/>
      <c r="I70" s="601"/>
    </row>
    <row r="71" spans="1:9" ht="15" customHeight="1">
      <c r="A71" t="s">
        <v>1356</v>
      </c>
      <c r="B71" t="s">
        <v>1357</v>
      </c>
      <c r="C71" s="836" t="s">
        <v>176</v>
      </c>
      <c r="D71" s="836" t="s">
        <v>120</v>
      </c>
      <c r="E71" s="836"/>
      <c r="F71" s="33"/>
      <c r="I71" s="601" t="str">
        <f>Print_Mois!V452</f>
        <v>[...]</v>
      </c>
    </row>
    <row r="72" spans="1:9" ht="15" customHeight="1">
      <c r="A72" t="s">
        <v>1362</v>
      </c>
      <c r="B72" t="s">
        <v>1363</v>
      </c>
      <c r="C72" s="836" t="s">
        <v>176</v>
      </c>
      <c r="D72" s="836" t="s">
        <v>122</v>
      </c>
      <c r="E72" s="836"/>
      <c r="F72" s="33"/>
      <c r="I72" s="601" t="str">
        <f>Print_Mois!V439</f>
        <v>Frais de déplacement</v>
      </c>
    </row>
    <row r="73" spans="1:9" ht="15" customHeight="1">
      <c r="A73" t="s">
        <v>1364</v>
      </c>
      <c r="B73" t="s">
        <v>1365</v>
      </c>
      <c r="C73" s="836" t="s">
        <v>176</v>
      </c>
      <c r="D73" s="836" t="s">
        <v>121</v>
      </c>
      <c r="E73" s="836"/>
      <c r="F73" s="33"/>
      <c r="I73" s="601" t="str">
        <f>Print_Mois!C33</f>
        <v>Frais de livraison</v>
      </c>
    </row>
    <row r="74" spans="1:9" ht="15" customHeight="1">
      <c r="A74" t="s">
        <v>1368</v>
      </c>
      <c r="B74" t="s">
        <v>1369</v>
      </c>
      <c r="C74" s="836" t="s">
        <v>176</v>
      </c>
      <c r="D74" s="836" t="s">
        <v>133</v>
      </c>
      <c r="E74" s="836"/>
      <c r="F74" s="33"/>
      <c r="I74" s="601" t="s">
        <v>673</v>
      </c>
    </row>
    <row r="75" spans="1:9" ht="15" customHeight="1">
      <c r="A75" t="s">
        <v>1374</v>
      </c>
      <c r="B75" t="s">
        <v>1375</v>
      </c>
      <c r="C75" s="836" t="s">
        <v>176</v>
      </c>
      <c r="D75" s="836" t="s">
        <v>130</v>
      </c>
      <c r="E75" s="836"/>
      <c r="F75" s="33"/>
      <c r="I75" s="601" t="s">
        <v>56</v>
      </c>
    </row>
    <row r="76" spans="1:9" ht="15" customHeight="1">
      <c r="A76" t="s">
        <v>1376</v>
      </c>
      <c r="B76" t="s">
        <v>1377</v>
      </c>
      <c r="C76" s="836" t="s">
        <v>176</v>
      </c>
      <c r="D76" s="836" t="s">
        <v>127</v>
      </c>
      <c r="E76" s="836"/>
      <c r="F76" s="33"/>
      <c r="I76" s="601" t="str">
        <f>Print_Mois!V446</f>
        <v>Frais postaux</v>
      </c>
    </row>
    <row r="77" spans="1:9" ht="15" customHeight="1">
      <c r="A77" t="s">
        <v>1378</v>
      </c>
      <c r="B77" t="s">
        <v>1379</v>
      </c>
      <c r="C77" s="836" t="s">
        <v>176</v>
      </c>
      <c r="D77" s="836" t="s">
        <v>125</v>
      </c>
      <c r="E77" s="836"/>
      <c r="F77" s="33"/>
      <c r="I77" s="601" t="s">
        <v>674</v>
      </c>
    </row>
    <row r="78" spans="1:9" ht="15" customHeight="1">
      <c r="A78" t="s">
        <v>1380</v>
      </c>
      <c r="B78" t="s">
        <v>1381</v>
      </c>
      <c r="C78" s="836" t="s">
        <v>176</v>
      </c>
      <c r="D78" s="836" t="s">
        <v>130</v>
      </c>
      <c r="E78" s="836"/>
      <c r="F78" s="33"/>
      <c r="I78" s="601" t="str">
        <f>Print_Mois!V437</f>
        <v>Frais véhicules de cie</v>
      </c>
    </row>
    <row r="79" spans="1:9" ht="15" customHeight="1">
      <c r="A79" t="s">
        <v>1384</v>
      </c>
      <c r="B79" t="s">
        <v>1385</v>
      </c>
      <c r="C79" s="836" t="s">
        <v>176</v>
      </c>
      <c r="D79" s="836" t="s">
        <v>130</v>
      </c>
      <c r="E79" s="836"/>
      <c r="F79" s="33"/>
      <c r="I79" s="601"/>
    </row>
    <row r="80" spans="1:9" ht="15" customHeight="1">
      <c r="A80" t="s">
        <v>1386</v>
      </c>
      <c r="B80" t="s">
        <v>1387</v>
      </c>
      <c r="C80" s="836" t="s">
        <v>176</v>
      </c>
      <c r="D80" s="836" t="s">
        <v>130</v>
      </c>
      <c r="E80" s="836"/>
      <c r="F80" s="33"/>
      <c r="I80" s="601" t="s">
        <v>675</v>
      </c>
    </row>
    <row r="81" spans="1:9" ht="15" customHeight="1">
      <c r="A81" t="s">
        <v>1388</v>
      </c>
      <c r="B81" t="s">
        <v>1389</v>
      </c>
      <c r="C81" s="836" t="s">
        <v>176</v>
      </c>
      <c r="D81" s="836" t="s">
        <v>128</v>
      </c>
      <c r="E81" s="836"/>
      <c r="F81" s="33"/>
      <c r="I81" s="601" t="str">
        <f>Print_Mois!V471</f>
        <v>Holdbacks</v>
      </c>
    </row>
    <row r="82" spans="1:9" ht="15" customHeight="1">
      <c r="A82" t="s">
        <v>1390</v>
      </c>
      <c r="B82" t="s">
        <v>1391</v>
      </c>
      <c r="C82" s="836" t="s">
        <v>176</v>
      </c>
      <c r="D82" s="836" t="s">
        <v>129</v>
      </c>
      <c r="E82" s="836"/>
      <c r="F82" s="33"/>
      <c r="I82" s="601" t="str">
        <f>Print_Mois!V460</f>
        <v>Honoraires</v>
      </c>
    </row>
    <row r="83" spans="1:9" ht="15" customHeight="1">
      <c r="A83" t="s">
        <v>1392</v>
      </c>
      <c r="B83" t="s">
        <v>1393</v>
      </c>
      <c r="C83" s="836" t="s">
        <v>176</v>
      </c>
      <c r="D83" s="836" t="s">
        <v>129</v>
      </c>
      <c r="E83" s="836"/>
      <c r="F83" s="33"/>
      <c r="I83" s="601" t="str">
        <f>Print_Mois!C309</f>
        <v>Huiles et Graisse</v>
      </c>
    </row>
    <row r="84" spans="1:9" ht="15" customHeight="1">
      <c r="A84" t="s">
        <v>1394</v>
      </c>
      <c r="B84" t="s">
        <v>1395</v>
      </c>
      <c r="C84" s="836" t="s">
        <v>176</v>
      </c>
      <c r="D84" s="836" t="s">
        <v>134</v>
      </c>
      <c r="E84" s="836"/>
      <c r="F84" s="33"/>
      <c r="I84" s="601" t="s">
        <v>65</v>
      </c>
    </row>
    <row r="85" spans="1:9" ht="15" customHeight="1">
      <c r="A85" t="s">
        <v>1398</v>
      </c>
      <c r="B85" t="s">
        <v>1399</v>
      </c>
      <c r="C85" s="836" t="s">
        <v>176</v>
      </c>
      <c r="D85" s="836" t="s">
        <v>130</v>
      </c>
      <c r="E85" s="836"/>
      <c r="F85" s="33"/>
      <c r="I85" s="601" t="s">
        <v>33</v>
      </c>
    </row>
    <row r="86" spans="1:9" ht="15" customHeight="1">
      <c r="A86" t="s">
        <v>1400</v>
      </c>
      <c r="B86" t="s">
        <v>1401</v>
      </c>
      <c r="C86" s="836" t="s">
        <v>176</v>
      </c>
      <c r="D86" s="836" t="s">
        <v>136</v>
      </c>
      <c r="E86" s="836"/>
      <c r="F86" s="33"/>
      <c r="I86" s="601" t="s">
        <v>61</v>
      </c>
    </row>
    <row r="87" spans="1:9" ht="15" customHeight="1">
      <c r="A87" t="s">
        <v>1402</v>
      </c>
      <c r="B87" t="s">
        <v>1403</v>
      </c>
      <c r="C87" s="836" t="s">
        <v>176</v>
      </c>
      <c r="D87" s="836" t="s">
        <v>201</v>
      </c>
      <c r="E87" s="836"/>
      <c r="F87" s="33"/>
      <c r="I87" s="601" t="str">
        <f>Print_Mois!V438</f>
        <v>Informatique</v>
      </c>
    </row>
    <row r="88" spans="1:9" ht="15" customHeight="1">
      <c r="A88" t="s">
        <v>1404</v>
      </c>
      <c r="B88" t="s">
        <v>1405</v>
      </c>
      <c r="C88" s="836" t="s">
        <v>176</v>
      </c>
      <c r="D88" s="836" t="s">
        <v>217</v>
      </c>
      <c r="E88" s="836"/>
      <c r="F88" s="33"/>
      <c r="I88" s="601" t="s">
        <v>173</v>
      </c>
    </row>
    <row r="89" spans="1:9" ht="15" customHeight="1">
      <c r="A89" t="s">
        <v>1406</v>
      </c>
      <c r="B89" t="s">
        <v>1407</v>
      </c>
      <c r="C89" s="836" t="s">
        <v>665</v>
      </c>
      <c r="D89" s="836" t="s">
        <v>130</v>
      </c>
      <c r="E89" s="836"/>
      <c r="F89" s="33"/>
      <c r="I89" s="601" t="s">
        <v>113</v>
      </c>
    </row>
    <row r="90" spans="1:9" ht="15" customHeight="1">
      <c r="A90" t="s">
        <v>1408</v>
      </c>
      <c r="B90" t="s">
        <v>1409</v>
      </c>
      <c r="C90" s="836" t="s">
        <v>176</v>
      </c>
      <c r="D90" s="836" t="s">
        <v>202</v>
      </c>
      <c r="E90" s="836"/>
      <c r="F90" s="33"/>
      <c r="I90" s="601"/>
    </row>
    <row r="91" spans="1:9" ht="15" customHeight="1">
      <c r="A91" t="s">
        <v>1410</v>
      </c>
      <c r="B91" t="s">
        <v>1411</v>
      </c>
      <c r="C91" s="836" t="s">
        <v>176</v>
      </c>
      <c r="D91" s="836" t="s">
        <v>205</v>
      </c>
      <c r="E91" s="836"/>
      <c r="F91" s="33"/>
      <c r="I91" s="601" t="str">
        <f>Print_Mois!V493</f>
        <v>Intérêts sur marge</v>
      </c>
    </row>
    <row r="92" spans="1:9" ht="15" customHeight="1">
      <c r="A92" t="s">
        <v>1416</v>
      </c>
      <c r="B92" t="s">
        <v>1417</v>
      </c>
      <c r="C92" s="836" t="s">
        <v>176</v>
      </c>
      <c r="D92" s="836" t="s">
        <v>217</v>
      </c>
      <c r="E92" s="836"/>
      <c r="F92" s="33"/>
      <c r="I92" s="601"/>
    </row>
    <row r="93" spans="1:9" ht="15" customHeight="1">
      <c r="A93" t="s">
        <v>1420</v>
      </c>
      <c r="B93" t="s">
        <v>1421</v>
      </c>
      <c r="C93" s="836" t="s">
        <v>176</v>
      </c>
      <c r="D93" s="836" t="s">
        <v>206</v>
      </c>
      <c r="E93" s="836"/>
      <c r="F93" s="33"/>
      <c r="I93" s="601" t="str">
        <f>Print_Mois!V494</f>
        <v>Intérêts sur prêt</v>
      </c>
    </row>
    <row r="94" spans="1:9" ht="15" customHeight="1">
      <c r="A94" t="s">
        <v>1422</v>
      </c>
      <c r="B94" t="s">
        <v>1423</v>
      </c>
      <c r="C94" s="836" t="s">
        <v>176</v>
      </c>
      <c r="D94" s="836" t="s">
        <v>207</v>
      </c>
      <c r="E94" s="836"/>
      <c r="F94" s="33"/>
      <c r="I94" s="601" t="s">
        <v>46</v>
      </c>
    </row>
    <row r="95" spans="1:9" ht="15" customHeight="1">
      <c r="A95" t="s">
        <v>1424</v>
      </c>
      <c r="B95" t="s">
        <v>1425</v>
      </c>
      <c r="C95" s="836" t="s">
        <v>665</v>
      </c>
      <c r="D95" s="836" t="s">
        <v>136</v>
      </c>
      <c r="E95" s="836"/>
      <c r="F95" s="33"/>
      <c r="I95" s="601" t="s">
        <v>42</v>
      </c>
    </row>
    <row r="96" spans="1:9" ht="15" customHeight="1">
      <c r="A96" t="s">
        <v>1426</v>
      </c>
      <c r="B96" t="s">
        <v>1427</v>
      </c>
      <c r="C96" s="836" t="s">
        <v>665</v>
      </c>
      <c r="D96" s="836" t="s">
        <v>210</v>
      </c>
      <c r="E96" s="836"/>
      <c r="F96" s="33"/>
      <c r="I96" s="601"/>
    </row>
    <row r="97" spans="1:9" ht="15" customHeight="1">
      <c r="A97" t="s">
        <v>1428</v>
      </c>
      <c r="B97" t="s">
        <v>1429</v>
      </c>
      <c r="C97" s="836" t="s">
        <v>176</v>
      </c>
      <c r="D97" s="836" t="s">
        <v>207</v>
      </c>
      <c r="E97" s="836"/>
      <c r="F97" s="33"/>
      <c r="I97" s="601" t="s">
        <v>44</v>
      </c>
    </row>
    <row r="98" spans="1:9" ht="15" customHeight="1">
      <c r="A98" t="s">
        <v>1430</v>
      </c>
      <c r="B98" t="s">
        <v>1431</v>
      </c>
      <c r="C98" s="836" t="s">
        <v>157</v>
      </c>
      <c r="D98" s="836" t="s">
        <v>116</v>
      </c>
      <c r="E98" s="836"/>
      <c r="F98" s="33"/>
      <c r="I98" s="601" t="str">
        <f>Print_Mois!V462</f>
        <v>Location équipement</v>
      </c>
    </row>
    <row r="99" spans="1:9" ht="15" customHeight="1">
      <c r="A99" t="s">
        <v>1432</v>
      </c>
      <c r="B99" t="s">
        <v>1433</v>
      </c>
      <c r="C99" s="836" t="s">
        <v>157</v>
      </c>
      <c r="D99" s="836" t="s">
        <v>118</v>
      </c>
      <c r="E99" s="836"/>
      <c r="F99" s="33"/>
      <c r="I99" s="601" t="str">
        <f>Print_Mois!V454</f>
        <v>Loyer</v>
      </c>
    </row>
    <row r="100" spans="1:9" ht="15" customHeight="1">
      <c r="A100" t="s">
        <v>1434</v>
      </c>
      <c r="B100" t="s">
        <v>1435</v>
      </c>
      <c r="C100" s="836" t="s">
        <v>157</v>
      </c>
      <c r="D100" s="836" t="s">
        <v>120</v>
      </c>
      <c r="E100" s="836"/>
      <c r="F100" s="33"/>
      <c r="I100" s="601" t="str">
        <f>Print_Mois!C245</f>
        <v>M/O Carrosserie</v>
      </c>
    </row>
    <row r="101" spans="1:9" ht="15" customHeight="1">
      <c r="A101" t="s">
        <v>1440</v>
      </c>
      <c r="B101" t="s">
        <v>1441</v>
      </c>
      <c r="C101" s="836" t="s">
        <v>157</v>
      </c>
      <c r="D101" s="836" t="s">
        <v>122</v>
      </c>
      <c r="E101" s="836"/>
      <c r="F101" s="33"/>
      <c r="I101" s="601" t="str">
        <f>Print_Mois!C173</f>
        <v>M/O Client</v>
      </c>
    </row>
    <row r="102" spans="1:9" ht="15" customHeight="1">
      <c r="A102" t="s">
        <v>1442</v>
      </c>
      <c r="B102" t="s">
        <v>1443</v>
      </c>
      <c r="C102" s="836" t="s">
        <v>157</v>
      </c>
      <c r="D102" s="836" t="s">
        <v>121</v>
      </c>
      <c r="E102" s="836"/>
      <c r="F102" s="33"/>
      <c r="I102" s="601" t="str">
        <f>Print_Mois!C182</f>
        <v>M/O Esthétique</v>
      </c>
    </row>
    <row r="103" spans="1:9" ht="15" customHeight="1">
      <c r="A103" t="s">
        <v>1444</v>
      </c>
      <c r="B103" t="s">
        <v>1445</v>
      </c>
      <c r="C103" s="836" t="s">
        <v>157</v>
      </c>
      <c r="D103" s="836" t="s">
        <v>137</v>
      </c>
      <c r="E103" s="836"/>
      <c r="F103" s="33"/>
      <c r="I103" s="601" t="str">
        <f>+Print_Mois!C248</f>
        <v>M/O Esthétique Carr.</v>
      </c>
    </row>
    <row r="104" spans="1:9" ht="15" customHeight="1">
      <c r="A104" t="s">
        <v>1446</v>
      </c>
      <c r="B104" t="s">
        <v>1447</v>
      </c>
      <c r="C104" s="836" t="s">
        <v>157</v>
      </c>
      <c r="D104" s="836" t="s">
        <v>133</v>
      </c>
      <c r="E104" s="836"/>
      <c r="F104" s="33"/>
      <c r="I104" s="601" t="str">
        <f>Print_Mois!C176</f>
        <v>M/O Garantie</v>
      </c>
    </row>
    <row r="105" spans="1:9" ht="15" customHeight="1">
      <c r="A105" t="s">
        <v>1448</v>
      </c>
      <c r="B105" t="s">
        <v>1449</v>
      </c>
      <c r="C105" s="836" t="s">
        <v>157</v>
      </c>
      <c r="D105" s="836" t="s">
        <v>483</v>
      </c>
      <c r="E105" s="836"/>
      <c r="F105" s="33"/>
      <c r="I105" s="601" t="str">
        <f>Print_Mois!C179</f>
        <v>M/O Interne</v>
      </c>
    </row>
    <row r="106" spans="1:9" ht="15" customHeight="1">
      <c r="A106" t="s">
        <v>1450</v>
      </c>
      <c r="B106" t="s">
        <v>1451</v>
      </c>
      <c r="C106" s="836" t="s">
        <v>157</v>
      </c>
      <c r="D106" s="836" t="s">
        <v>132</v>
      </c>
      <c r="E106" s="836"/>
      <c r="F106" s="33"/>
      <c r="I106" s="601" t="s">
        <v>22</v>
      </c>
    </row>
    <row r="107" spans="1:9" ht="15" customHeight="1">
      <c r="A107" t="s">
        <v>1452</v>
      </c>
      <c r="B107" t="s">
        <v>1453</v>
      </c>
      <c r="C107" s="836" t="s">
        <v>157</v>
      </c>
      <c r="D107" s="836" t="s">
        <v>130</v>
      </c>
      <c r="E107" s="836"/>
      <c r="F107" s="33"/>
      <c r="I107" s="601" t="s">
        <v>676</v>
      </c>
    </row>
    <row r="108" spans="1:9" ht="15" customHeight="1">
      <c r="A108" t="s">
        <v>1454</v>
      </c>
      <c r="B108" t="s">
        <v>1455</v>
      </c>
      <c r="C108" s="836" t="s">
        <v>157</v>
      </c>
      <c r="D108" s="836" t="s">
        <v>127</v>
      </c>
      <c r="E108" s="836"/>
      <c r="F108" s="33"/>
      <c r="I108" s="601" t="s">
        <v>71</v>
      </c>
    </row>
    <row r="109" spans="1:9" ht="15" customHeight="1">
      <c r="A109" t="s">
        <v>1456</v>
      </c>
      <c r="B109" t="s">
        <v>1457</v>
      </c>
      <c r="C109" s="836" t="s">
        <v>157</v>
      </c>
      <c r="D109" s="836" t="s">
        <v>125</v>
      </c>
      <c r="E109" s="836"/>
      <c r="F109" s="33"/>
      <c r="I109" s="601" t="str">
        <f>Print_Mois!C95</f>
        <v>Non Certifié</v>
      </c>
    </row>
    <row r="110" spans="1:9" ht="15" customHeight="1">
      <c r="A110" t="s">
        <v>1460</v>
      </c>
      <c r="B110" t="s">
        <v>1461</v>
      </c>
      <c r="C110" s="836" t="s">
        <v>157</v>
      </c>
      <c r="D110" s="836" t="s">
        <v>130</v>
      </c>
      <c r="E110" s="836"/>
      <c r="F110" s="33"/>
      <c r="I110" s="601"/>
    </row>
    <row r="111" spans="1:9" ht="15" customHeight="1">
      <c r="A111" t="s">
        <v>1462</v>
      </c>
      <c r="B111" t="s">
        <v>1463</v>
      </c>
      <c r="C111" s="836" t="s">
        <v>157</v>
      </c>
      <c r="D111" s="836" t="s">
        <v>127</v>
      </c>
      <c r="E111" s="836"/>
      <c r="F111" s="33"/>
      <c r="I111" s="601"/>
    </row>
    <row r="112" spans="1:9" ht="15" customHeight="1">
      <c r="A112" t="s">
        <v>1464</v>
      </c>
      <c r="B112" t="s">
        <v>1461</v>
      </c>
      <c r="C112" s="836" t="s">
        <v>157</v>
      </c>
      <c r="D112" s="836" t="s">
        <v>130</v>
      </c>
      <c r="E112" s="836"/>
      <c r="F112" s="33"/>
      <c r="I112" s="601"/>
    </row>
    <row r="113" spans="1:9" ht="15" customHeight="1">
      <c r="A113" t="s">
        <v>1468</v>
      </c>
      <c r="B113" t="s">
        <v>1469</v>
      </c>
      <c r="C113" s="836" t="s">
        <v>157</v>
      </c>
      <c r="D113" s="836" t="s">
        <v>128</v>
      </c>
      <c r="E113" s="836"/>
      <c r="F113" s="33"/>
      <c r="I113" s="601" t="str">
        <f>Print_Mois!C298</f>
        <v>P/A Garantie</v>
      </c>
    </row>
    <row r="114" spans="1:9" ht="15" customHeight="1">
      <c r="A114" t="s">
        <v>1470</v>
      </c>
      <c r="B114" t="s">
        <v>1471</v>
      </c>
      <c r="C114" s="836" t="s">
        <v>157</v>
      </c>
      <c r="D114" s="836" t="s">
        <v>129</v>
      </c>
      <c r="E114" s="836"/>
      <c r="F114" s="33"/>
      <c r="I114" s="601" t="str">
        <f>Print_Mois!V444</f>
        <v>Papeterie</v>
      </c>
    </row>
    <row r="115" spans="1:9" ht="15" customHeight="1">
      <c r="A115" t="s">
        <v>1472</v>
      </c>
      <c r="B115" t="s">
        <v>1473</v>
      </c>
      <c r="C115" s="836" t="s">
        <v>157</v>
      </c>
      <c r="D115" s="836" t="s">
        <v>129</v>
      </c>
      <c r="E115" s="836"/>
      <c r="F115" s="33"/>
      <c r="I115" s="601"/>
    </row>
    <row r="116" spans="1:9" ht="15" customHeight="1">
      <c r="A116" t="s">
        <v>1474</v>
      </c>
      <c r="B116" t="s">
        <v>1475</v>
      </c>
      <c r="C116" s="836" t="s">
        <v>157</v>
      </c>
      <c r="D116" s="836" t="s">
        <v>134</v>
      </c>
      <c r="E116" s="836"/>
      <c r="F116" s="33"/>
      <c r="I116" s="601" t="str">
        <f>Print_Mois!C297</f>
        <v>Pièces Ro Carrosserie</v>
      </c>
    </row>
    <row r="117" spans="1:9" ht="15" customHeight="1">
      <c r="A117" t="s">
        <v>1476</v>
      </c>
      <c r="B117" t="s">
        <v>1477</v>
      </c>
      <c r="C117" s="836" t="s">
        <v>157</v>
      </c>
      <c r="D117" s="836" t="s">
        <v>135</v>
      </c>
      <c r="E117" s="836"/>
      <c r="F117" s="33"/>
      <c r="I117" s="601"/>
    </row>
    <row r="118" spans="1:9" ht="15" customHeight="1">
      <c r="A118" t="s">
        <v>1478</v>
      </c>
      <c r="B118" t="s">
        <v>1479</v>
      </c>
      <c r="C118" s="836" t="s">
        <v>157</v>
      </c>
      <c r="D118" s="836" t="s">
        <v>135</v>
      </c>
      <c r="E118" s="836"/>
      <c r="F118" s="33"/>
      <c r="I118" s="601" t="str">
        <f>Print_Mois!C296</f>
        <v>Pièces Ro Clients</v>
      </c>
    </row>
    <row r="119" spans="1:9" ht="15" customHeight="1">
      <c r="A119" t="s">
        <v>1480</v>
      </c>
      <c r="B119" t="s">
        <v>1481</v>
      </c>
      <c r="C119" s="836" t="s">
        <v>157</v>
      </c>
      <c r="D119" s="836" t="s">
        <v>136</v>
      </c>
      <c r="E119" s="836"/>
      <c r="F119" s="33"/>
      <c r="I119" s="601"/>
    </row>
    <row r="120" spans="1:9" ht="15" customHeight="1">
      <c r="A120" t="s">
        <v>1482</v>
      </c>
      <c r="B120" t="s">
        <v>1483</v>
      </c>
      <c r="C120" s="836" t="s">
        <v>157</v>
      </c>
      <c r="D120" s="836" t="s">
        <v>136</v>
      </c>
      <c r="E120" s="836"/>
      <c r="F120" s="33"/>
      <c r="I120" s="601" t="s">
        <v>24</v>
      </c>
    </row>
    <row r="121" spans="1:9" ht="15" customHeight="1">
      <c r="A121" t="s">
        <v>1484</v>
      </c>
      <c r="B121" t="s">
        <v>1485</v>
      </c>
      <c r="C121" s="836" t="s">
        <v>157</v>
      </c>
      <c r="D121" s="836" t="s">
        <v>201</v>
      </c>
      <c r="E121" s="836"/>
      <c r="F121" s="33"/>
      <c r="I121" s="601" t="str">
        <f>Print_Mois!V472</f>
        <v>Programme neuf 1</v>
      </c>
    </row>
    <row r="122" spans="1:9" ht="15" customHeight="1">
      <c r="A122" t="s">
        <v>1486</v>
      </c>
      <c r="B122" t="s">
        <v>1487</v>
      </c>
      <c r="C122" s="836" t="s">
        <v>157</v>
      </c>
      <c r="D122" s="836" t="s">
        <v>217</v>
      </c>
      <c r="E122" s="836"/>
      <c r="F122" s="33"/>
      <c r="I122" s="601" t="s">
        <v>37</v>
      </c>
    </row>
    <row r="123" spans="1:9" ht="15" customHeight="1">
      <c r="A123" t="s">
        <v>1488</v>
      </c>
      <c r="B123" t="s">
        <v>1489</v>
      </c>
      <c r="C123" s="836" t="s">
        <v>665</v>
      </c>
      <c r="D123" s="836" t="s">
        <v>130</v>
      </c>
      <c r="E123" s="836"/>
      <c r="F123" s="33"/>
      <c r="I123" s="601"/>
    </row>
    <row r="124" spans="1:9" ht="15" customHeight="1">
      <c r="A124" t="s">
        <v>1490</v>
      </c>
      <c r="B124" t="s">
        <v>1491</v>
      </c>
      <c r="C124" s="836" t="s">
        <v>157</v>
      </c>
      <c r="D124" s="836" t="s">
        <v>202</v>
      </c>
      <c r="E124" s="836"/>
      <c r="F124" s="33"/>
      <c r="I124" s="601" t="str">
        <f>Print_Mois!V473</f>
        <v>Programme neuf 2</v>
      </c>
    </row>
    <row r="125" spans="1:9" ht="15" customHeight="1">
      <c r="A125" t="s">
        <v>1492</v>
      </c>
      <c r="B125" t="s">
        <v>1493</v>
      </c>
      <c r="C125" s="836" t="s">
        <v>157</v>
      </c>
      <c r="D125" s="836" t="s">
        <v>205</v>
      </c>
      <c r="E125" s="836"/>
      <c r="F125" s="33"/>
      <c r="I125" s="601" t="str">
        <f>Print_Mois!V474</f>
        <v>Programme neuf 3</v>
      </c>
    </row>
    <row r="126" spans="1:9" ht="15" customHeight="1">
      <c r="A126" t="s">
        <v>1498</v>
      </c>
      <c r="B126" t="s">
        <v>1499</v>
      </c>
      <c r="C126" s="836" t="s">
        <v>157</v>
      </c>
      <c r="D126" s="836" t="s">
        <v>217</v>
      </c>
      <c r="E126" s="836"/>
      <c r="F126" s="33"/>
      <c r="I126" s="601" t="s">
        <v>112</v>
      </c>
    </row>
    <row r="127" spans="1:9" ht="15" customHeight="1">
      <c r="A127" t="s">
        <v>1502</v>
      </c>
      <c r="B127" t="s">
        <v>1503</v>
      </c>
      <c r="C127" s="836" t="s">
        <v>157</v>
      </c>
      <c r="D127" s="836" t="s">
        <v>206</v>
      </c>
      <c r="E127" s="836"/>
      <c r="F127" s="33"/>
      <c r="I127" s="601" t="s">
        <v>125</v>
      </c>
    </row>
    <row r="128" spans="1:9" ht="15" customHeight="1">
      <c r="A128" t="s">
        <v>1504</v>
      </c>
      <c r="B128" t="s">
        <v>1505</v>
      </c>
      <c r="C128" s="836" t="s">
        <v>157</v>
      </c>
      <c r="D128" s="836" t="s">
        <v>207</v>
      </c>
      <c r="E128" s="836"/>
      <c r="F128" s="33"/>
      <c r="I128" s="601">
        <f>Print_Mois!C19</f>
        <v>0</v>
      </c>
    </row>
    <row r="129" spans="1:9" ht="15" customHeight="1">
      <c r="A129" t="s">
        <v>1506</v>
      </c>
      <c r="B129" t="s">
        <v>1507</v>
      </c>
      <c r="C129" s="836" t="s">
        <v>665</v>
      </c>
      <c r="D129" s="836" t="s">
        <v>136</v>
      </c>
      <c r="E129" s="836"/>
      <c r="F129" s="33"/>
      <c r="I129" s="601" t="s">
        <v>38</v>
      </c>
    </row>
    <row r="130" spans="1:9" ht="15" customHeight="1">
      <c r="A130" t="s">
        <v>1508</v>
      </c>
      <c r="B130" t="s">
        <v>1509</v>
      </c>
      <c r="C130" s="836" t="s">
        <v>665</v>
      </c>
      <c r="D130" s="836" t="s">
        <v>210</v>
      </c>
      <c r="E130" s="836"/>
      <c r="F130" s="33"/>
      <c r="I130" s="601"/>
    </row>
    <row r="131" spans="1:9" ht="15" customHeight="1">
      <c r="A131" t="s">
        <v>1510</v>
      </c>
      <c r="B131" t="s">
        <v>1511</v>
      </c>
      <c r="C131" s="836" t="s">
        <v>157</v>
      </c>
      <c r="D131" s="836" t="s">
        <v>207</v>
      </c>
      <c r="E131" s="836"/>
      <c r="F131" s="33"/>
      <c r="I131" s="601" t="s">
        <v>34</v>
      </c>
    </row>
    <row r="132" spans="1:9" ht="15" customHeight="1">
      <c r="A132" t="s">
        <v>1664</v>
      </c>
      <c r="B132" t="s">
        <v>1665</v>
      </c>
      <c r="C132" s="836" t="s">
        <v>665</v>
      </c>
      <c r="D132" s="836" t="s">
        <v>136</v>
      </c>
      <c r="E132" s="836"/>
      <c r="F132" s="33"/>
      <c r="I132" s="601" t="s">
        <v>25</v>
      </c>
    </row>
    <row r="133" spans="1:9" ht="15" customHeight="1">
      <c r="A133" t="s">
        <v>1791</v>
      </c>
      <c r="B133" t="s">
        <v>647</v>
      </c>
      <c r="C133" s="836" t="s">
        <v>661</v>
      </c>
      <c r="D133" s="836" t="s">
        <v>21</v>
      </c>
      <c r="E133" s="836"/>
      <c r="F133" s="33"/>
      <c r="I133" s="601" t="s">
        <v>25</v>
      </c>
    </row>
    <row r="134" spans="1:9" ht="15" customHeight="1">
      <c r="A134" t="s">
        <v>1802</v>
      </c>
      <c r="B134" t="s">
        <v>1803</v>
      </c>
      <c r="C134" s="836" t="s">
        <v>661</v>
      </c>
      <c r="D134" s="836" t="s">
        <v>21</v>
      </c>
      <c r="E134" s="836"/>
      <c r="F134" s="33"/>
      <c r="I134" s="601" t="s">
        <v>32</v>
      </c>
    </row>
    <row r="135" spans="1:9" ht="15" customHeight="1">
      <c r="A135" t="s">
        <v>1805</v>
      </c>
      <c r="B135" t="s">
        <v>1806</v>
      </c>
      <c r="C135" s="836" t="s">
        <v>661</v>
      </c>
      <c r="D135" s="836" t="s">
        <v>21</v>
      </c>
      <c r="E135" s="836"/>
      <c r="F135" s="33"/>
      <c r="I135" s="601" t="s">
        <v>30</v>
      </c>
    </row>
    <row r="136" spans="1:9" ht="15" customHeight="1">
      <c r="A136" t="s">
        <v>1807</v>
      </c>
      <c r="B136" t="s">
        <v>1808</v>
      </c>
      <c r="C136" s="836" t="s">
        <v>661</v>
      </c>
      <c r="D136" s="836" t="s">
        <v>21</v>
      </c>
      <c r="E136" s="836"/>
      <c r="F136" s="33"/>
      <c r="I136" s="601"/>
    </row>
    <row r="137" spans="1:9" ht="15" customHeight="1">
      <c r="A137" t="s">
        <v>1811</v>
      </c>
      <c r="B137" t="s">
        <v>1812</v>
      </c>
      <c r="C137" s="836" t="s">
        <v>661</v>
      </c>
      <c r="D137" s="836" t="s">
        <v>25</v>
      </c>
      <c r="E137" s="836"/>
      <c r="F137" s="33"/>
      <c r="I137" s="601" t="s">
        <v>26</v>
      </c>
    </row>
    <row r="138" spans="1:9" ht="15" customHeight="1">
      <c r="A138" t="s">
        <v>1816</v>
      </c>
      <c r="B138" t="s">
        <v>1817</v>
      </c>
      <c r="C138" s="836" t="s">
        <v>661</v>
      </c>
      <c r="D138" s="836" t="s">
        <v>21</v>
      </c>
      <c r="E138" s="836"/>
      <c r="F138" s="33"/>
      <c r="I138" s="601" t="s">
        <v>185</v>
      </c>
    </row>
    <row r="139" spans="1:9" ht="15" customHeight="1">
      <c r="A139" t="s">
        <v>1818</v>
      </c>
      <c r="B139" t="s">
        <v>1819</v>
      </c>
      <c r="C139" s="836" t="s">
        <v>661</v>
      </c>
      <c r="D139" s="836" t="s">
        <v>56</v>
      </c>
      <c r="E139" s="836"/>
      <c r="F139" s="33"/>
      <c r="I139" s="601" t="s">
        <v>36</v>
      </c>
    </row>
    <row r="140" spans="1:9" ht="15" customHeight="1">
      <c r="A140" t="s">
        <v>1826</v>
      </c>
      <c r="B140" t="s">
        <v>1827</v>
      </c>
      <c r="C140" s="836" t="s">
        <v>661</v>
      </c>
      <c r="D140" s="836" t="s">
        <v>30</v>
      </c>
      <c r="E140" s="836"/>
      <c r="F140" s="33"/>
      <c r="I140" s="601" t="str">
        <f>Print_Mois!V461</f>
        <v>Réparation équipement</v>
      </c>
    </row>
    <row r="141" spans="1:9" ht="15" customHeight="1">
      <c r="A141" t="s">
        <v>1830</v>
      </c>
      <c r="B141" t="s">
        <v>1831</v>
      </c>
      <c r="C141" s="836" t="s">
        <v>661</v>
      </c>
      <c r="D141" s="836" t="s">
        <v>30</v>
      </c>
      <c r="E141" s="836"/>
      <c r="F141" s="33"/>
      <c r="I141" s="601" t="s">
        <v>677</v>
      </c>
    </row>
    <row r="142" spans="1:9" ht="15" customHeight="1">
      <c r="A142" t="s">
        <v>1834</v>
      </c>
      <c r="B142" t="s">
        <v>1835</v>
      </c>
      <c r="C142" s="836" t="s">
        <v>661</v>
      </c>
      <c r="D142" s="836" t="s">
        <v>30</v>
      </c>
      <c r="E142" s="836"/>
      <c r="F142" s="33"/>
      <c r="I142" s="601" t="str">
        <f>Print_Mois!C23</f>
        <v>Rev. Autres</v>
      </c>
    </row>
    <row r="143" spans="1:9" ht="15" customHeight="1">
      <c r="A143" t="s">
        <v>1838</v>
      </c>
      <c r="B143" t="s">
        <v>1839</v>
      </c>
      <c r="C143" s="836" t="s">
        <v>661</v>
      </c>
      <c r="D143" s="836" t="s">
        <v>26</v>
      </c>
      <c r="E143" s="836"/>
      <c r="F143" s="33"/>
      <c r="I143" s="601" t="str">
        <f>Print_Mois!C24</f>
        <v>Total F&amp;I</v>
      </c>
    </row>
    <row r="144" spans="1:9" ht="15" customHeight="1">
      <c r="A144" t="s">
        <v>1840</v>
      </c>
      <c r="B144" t="s">
        <v>1841</v>
      </c>
      <c r="C144" s="836" t="s">
        <v>661</v>
      </c>
      <c r="D144" s="836" t="s">
        <v>38</v>
      </c>
      <c r="E144" s="836"/>
      <c r="F144" s="33"/>
      <c r="I144" s="601" t="str">
        <f>Print_Mois!C21</f>
        <v>Rev. Finances</v>
      </c>
    </row>
    <row r="145" spans="1:27" ht="15" customHeight="1">
      <c r="A145" t="s">
        <v>1844</v>
      </c>
      <c r="B145" t="s">
        <v>1845</v>
      </c>
      <c r="C145" s="836" t="s">
        <v>661</v>
      </c>
      <c r="D145" s="836" t="s">
        <v>28</v>
      </c>
      <c r="E145" s="836"/>
      <c r="F145" s="33"/>
      <c r="I145" s="601" t="str">
        <f>Print_Mois!C22</f>
        <v>Rev. Protections</v>
      </c>
    </row>
    <row r="146" spans="1:27" ht="15" customHeight="1">
      <c r="A146" t="s">
        <v>1846</v>
      </c>
      <c r="B146" t="s">
        <v>1847</v>
      </c>
      <c r="C146" s="836" t="s">
        <v>661</v>
      </c>
      <c r="D146" s="836" t="s">
        <v>28</v>
      </c>
      <c r="E146" s="836"/>
      <c r="F146" s="33"/>
      <c r="I146" s="601" t="str">
        <f>Print_Mois!V470</f>
        <v>Revenus autres</v>
      </c>
    </row>
    <row r="147" spans="1:27" ht="15" customHeight="1">
      <c r="A147" t="s">
        <v>1848</v>
      </c>
      <c r="B147" t="s">
        <v>1849</v>
      </c>
      <c r="C147" s="836" t="s">
        <v>661</v>
      </c>
      <c r="D147" s="836" t="s">
        <v>28</v>
      </c>
      <c r="E147" s="836"/>
      <c r="F147" s="33"/>
      <c r="I147" s="601" t="s">
        <v>49</v>
      </c>
    </row>
    <row r="148" spans="1:27" ht="15" customHeight="1">
      <c r="A148" t="s">
        <v>1850</v>
      </c>
      <c r="B148" t="s">
        <v>1851</v>
      </c>
      <c r="C148" s="836" t="s">
        <v>661</v>
      </c>
      <c r="D148" s="836" t="s">
        <v>28</v>
      </c>
      <c r="E148" s="836"/>
      <c r="F148" s="33"/>
      <c r="I148" s="601" t="str">
        <f>Print_Mois!V424</f>
        <v>Salaires autres</v>
      </c>
    </row>
    <row r="149" spans="1:27" ht="15" customHeight="1">
      <c r="A149" t="s">
        <v>1855</v>
      </c>
      <c r="B149" t="s">
        <v>1856</v>
      </c>
      <c r="C149" s="836" t="s">
        <v>661</v>
      </c>
      <c r="D149" s="836" t="s">
        <v>67</v>
      </c>
      <c r="E149" s="836"/>
      <c r="F149" s="33"/>
      <c r="I149" s="601" t="str">
        <f>Print_Mois!V422</f>
        <v>Salaires cadres</v>
      </c>
    </row>
    <row r="150" spans="1:27" ht="15" customHeight="1">
      <c r="A150" t="s">
        <v>1857</v>
      </c>
      <c r="B150" t="s">
        <v>1858</v>
      </c>
      <c r="C150" s="836" t="s">
        <v>661</v>
      </c>
      <c r="D150" s="836" t="s">
        <v>36</v>
      </c>
      <c r="E150" s="836"/>
      <c r="F150" s="33"/>
      <c r="I150" s="601" t="str">
        <f>Print_Mois!C43</f>
        <v>Salaires commis</v>
      </c>
    </row>
    <row r="151" spans="1:27" ht="15" customHeight="1">
      <c r="A151" t="s">
        <v>1859</v>
      </c>
      <c r="B151" t="s">
        <v>1860</v>
      </c>
      <c r="C151" s="836" t="s">
        <v>661</v>
      </c>
      <c r="D151" s="836" t="s">
        <v>36</v>
      </c>
      <c r="E151" s="836"/>
      <c r="F151" s="33"/>
      <c r="I151" s="601" t="str">
        <f>Print_Mois!V423</f>
        <v>Salaires commis</v>
      </c>
    </row>
    <row r="152" spans="1:27" ht="15" customHeight="1">
      <c r="A152" t="s">
        <v>1861</v>
      </c>
      <c r="B152" t="s">
        <v>1862</v>
      </c>
      <c r="C152" s="836" t="s">
        <v>661</v>
      </c>
      <c r="D152" s="836" t="s">
        <v>36</v>
      </c>
      <c r="E152" s="836"/>
      <c r="F152" s="33"/>
      <c r="I152" s="601" t="str">
        <f>Print_Mois!V429</f>
        <v>Salaires en absences</v>
      </c>
    </row>
    <row r="153" spans="1:27" ht="15" customHeight="1">
      <c r="A153" t="s">
        <v>1863</v>
      </c>
      <c r="B153" t="s">
        <v>1864</v>
      </c>
      <c r="C153" s="836" t="s">
        <v>661</v>
      </c>
      <c r="D153" s="836" t="s">
        <v>36</v>
      </c>
      <c r="E153" s="836"/>
      <c r="F153" s="33"/>
      <c r="I153" s="601" t="str">
        <f>Print_Mois!V421</f>
        <v>Salaires propriétaire</v>
      </c>
    </row>
    <row r="154" spans="1:27" ht="15" customHeight="1">
      <c r="A154" t="s">
        <v>1865</v>
      </c>
      <c r="B154" t="s">
        <v>1866</v>
      </c>
      <c r="C154" s="836" t="s">
        <v>661</v>
      </c>
      <c r="D154" s="836" t="s">
        <v>36</v>
      </c>
      <c r="E154" s="836"/>
      <c r="F154" s="33"/>
      <c r="I154" s="601" t="str">
        <f>Print_Mois!V425</f>
        <v>Salaires spécialistes</v>
      </c>
    </row>
    <row r="155" spans="1:27" ht="15" customHeight="1">
      <c r="A155" t="s">
        <v>1867</v>
      </c>
      <c r="B155" t="s">
        <v>1868</v>
      </c>
      <c r="C155" s="836" t="s">
        <v>661</v>
      </c>
      <c r="D155" s="836" t="s">
        <v>36</v>
      </c>
      <c r="E155" s="836"/>
      <c r="F155" s="33"/>
      <c r="I155" s="601" t="str">
        <f>Print_Mois!C34</f>
        <v>Service gratuit 1</v>
      </c>
    </row>
    <row r="156" spans="1:27" ht="15" customHeight="1">
      <c r="A156" t="s">
        <v>1869</v>
      </c>
      <c r="B156" t="s">
        <v>1870</v>
      </c>
      <c r="C156" s="836" t="s">
        <v>661</v>
      </c>
      <c r="D156" s="836" t="s">
        <v>36</v>
      </c>
      <c r="E156" s="836"/>
      <c r="F156" s="33"/>
      <c r="I156" s="601" t="str">
        <f>Print_Mois!V436</f>
        <v>Service gratuit 2</v>
      </c>
    </row>
    <row r="157" spans="1:27" ht="15" customHeight="1">
      <c r="A157" t="s">
        <v>1871</v>
      </c>
      <c r="B157" t="s">
        <v>1872</v>
      </c>
      <c r="C157" s="836" t="s">
        <v>661</v>
      </c>
      <c r="D157" s="836" t="s">
        <v>28</v>
      </c>
      <c r="E157" s="836"/>
      <c r="F157" s="33"/>
      <c r="G157" s="3"/>
      <c r="H157" s="3"/>
      <c r="I157" s="601" t="str">
        <f>Print_Mois!V440</f>
        <v>Services extérieurs</v>
      </c>
      <c r="J157" s="3"/>
      <c r="K157" s="3"/>
      <c r="N157" s="3"/>
      <c r="O157" s="3"/>
      <c r="P157" s="3"/>
      <c r="Q157" s="3"/>
      <c r="R157" s="3"/>
      <c r="S157" s="3"/>
      <c r="T157" s="3"/>
      <c r="U157" s="3"/>
      <c r="V157" s="3"/>
      <c r="W157" s="3"/>
      <c r="X157" s="3"/>
      <c r="Y157" s="3"/>
      <c r="Z157" s="3"/>
      <c r="AA157" s="3"/>
    </row>
    <row r="158" spans="1:27" ht="15" customHeight="1">
      <c r="A158" t="s">
        <v>1885</v>
      </c>
      <c r="B158" t="s">
        <v>1886</v>
      </c>
      <c r="C158" s="836" t="s">
        <v>661</v>
      </c>
      <c r="D158" s="836" t="s">
        <v>28</v>
      </c>
      <c r="E158" s="836"/>
      <c r="F158" s="33"/>
      <c r="G158" s="3"/>
      <c r="H158" s="3"/>
      <c r="I158" s="601"/>
      <c r="J158" s="3"/>
      <c r="K158" s="3"/>
      <c r="N158" s="3"/>
      <c r="O158" s="3"/>
      <c r="P158" s="3"/>
      <c r="Q158" s="3"/>
      <c r="R158" s="3"/>
      <c r="S158" s="3"/>
      <c r="T158" s="3"/>
      <c r="U158" s="3"/>
      <c r="V158" s="3"/>
      <c r="W158" s="3"/>
      <c r="X158" s="3"/>
      <c r="Y158" s="3"/>
      <c r="Z158" s="3"/>
      <c r="AA158" s="3"/>
    </row>
    <row r="159" spans="1:27" ht="15" customHeight="1">
      <c r="A159" t="s">
        <v>1887</v>
      </c>
      <c r="B159" t="s">
        <v>1888</v>
      </c>
      <c r="C159" s="836" t="s">
        <v>661</v>
      </c>
      <c r="D159" s="836" t="s">
        <v>42</v>
      </c>
      <c r="E159" s="836"/>
      <c r="F159" s="33"/>
      <c r="I159" s="601" t="s">
        <v>54</v>
      </c>
    </row>
    <row r="160" spans="1:27" ht="15" customHeight="1">
      <c r="A160" t="s">
        <v>1890</v>
      </c>
      <c r="B160" t="s">
        <v>1891</v>
      </c>
      <c r="C160" s="836" t="s">
        <v>661</v>
      </c>
      <c r="D160" s="836" t="s">
        <v>42</v>
      </c>
      <c r="E160" s="836"/>
      <c r="F160" s="33"/>
      <c r="I160" s="601" t="str">
        <f>Print_Mois!C189</f>
        <v>Sous-traitement</v>
      </c>
    </row>
    <row r="161" spans="1:9" ht="15" customHeight="1">
      <c r="A161" t="s">
        <v>1892</v>
      </c>
      <c r="B161" t="s">
        <v>1893</v>
      </c>
      <c r="C161" s="836" t="s">
        <v>661</v>
      </c>
      <c r="D161" s="836" t="s">
        <v>42</v>
      </c>
      <c r="E161" s="836"/>
      <c r="F161" s="33"/>
      <c r="I161" s="601" t="s">
        <v>125</v>
      </c>
    </row>
    <row r="162" spans="1:9" ht="15" customHeight="1">
      <c r="A162" t="s">
        <v>1894</v>
      </c>
      <c r="B162" t="s">
        <v>1895</v>
      </c>
      <c r="C162" s="836" t="s">
        <v>661</v>
      </c>
      <c r="D162" s="836" t="s">
        <v>42</v>
      </c>
      <c r="E162" s="836"/>
      <c r="F162" s="33"/>
      <c r="I162" s="601" t="s">
        <v>95</v>
      </c>
    </row>
    <row r="163" spans="1:9" ht="15" customHeight="1">
      <c r="A163" t="s">
        <v>1896</v>
      </c>
      <c r="B163" t="s">
        <v>1897</v>
      </c>
      <c r="C163" s="836" t="s">
        <v>661</v>
      </c>
      <c r="D163" s="836" t="s">
        <v>42</v>
      </c>
      <c r="E163" s="836"/>
      <c r="F163" s="33"/>
      <c r="I163" s="601" t="s">
        <v>202</v>
      </c>
    </row>
    <row r="164" spans="1:9" ht="15" customHeight="1">
      <c r="A164" t="s">
        <v>1900</v>
      </c>
      <c r="B164" t="s">
        <v>1901</v>
      </c>
      <c r="C164" s="836" t="s">
        <v>661</v>
      </c>
      <c r="D164" s="836" t="s">
        <v>44</v>
      </c>
      <c r="E164" s="836"/>
      <c r="F164" s="33"/>
      <c r="I164" s="601" t="s">
        <v>203</v>
      </c>
    </row>
    <row r="165" spans="1:9" ht="15" customHeight="1">
      <c r="A165" t="s">
        <v>1902</v>
      </c>
      <c r="B165" t="s">
        <v>1903</v>
      </c>
      <c r="C165" s="836" t="s">
        <v>661</v>
      </c>
      <c r="D165" s="836" t="s">
        <v>44</v>
      </c>
      <c r="E165" s="836"/>
      <c r="F165" s="33"/>
      <c r="I165" s="601" t="str">
        <f>Print_Mois!V457</f>
        <v>Taxe sur le capital</v>
      </c>
    </row>
    <row r="166" spans="1:9" ht="15" customHeight="1">
      <c r="A166" t="s">
        <v>1906</v>
      </c>
      <c r="B166" t="s">
        <v>1907</v>
      </c>
      <c r="C166" s="836" t="s">
        <v>661</v>
      </c>
      <c r="D166" s="836" t="s">
        <v>42</v>
      </c>
      <c r="E166" s="836"/>
      <c r="F166" s="33"/>
      <c r="I166" s="601" t="s">
        <v>31</v>
      </c>
    </row>
    <row r="167" spans="1:9" ht="15" customHeight="1">
      <c r="A167" t="s">
        <v>1908</v>
      </c>
      <c r="B167" t="s">
        <v>1909</v>
      </c>
      <c r="C167" s="836" t="s">
        <v>661</v>
      </c>
      <c r="D167" s="836" t="s">
        <v>46</v>
      </c>
      <c r="E167" s="836"/>
      <c r="F167" s="33"/>
      <c r="I167" s="601" t="str">
        <f>Print_Mois!V445</f>
        <v>Téléphone</v>
      </c>
    </row>
    <row r="168" spans="1:9" ht="15" customHeight="1">
      <c r="A168" t="s">
        <v>1910</v>
      </c>
      <c r="B168" t="s">
        <v>1911</v>
      </c>
      <c r="C168" s="836" t="s">
        <v>661</v>
      </c>
      <c r="D168" s="836" t="s">
        <v>46</v>
      </c>
      <c r="E168" s="836"/>
      <c r="F168" s="33"/>
      <c r="I168" s="601" t="s">
        <v>52</v>
      </c>
    </row>
    <row r="169" spans="1:9" ht="15" customHeight="1">
      <c r="A169" t="s">
        <v>1912</v>
      </c>
      <c r="B169" t="s">
        <v>1913</v>
      </c>
      <c r="C169" s="836" t="s">
        <v>661</v>
      </c>
      <c r="D169" s="836" t="s">
        <v>46</v>
      </c>
      <c r="E169" s="836"/>
      <c r="F169" s="33"/>
      <c r="I169" s="601" t="s">
        <v>132</v>
      </c>
    </row>
    <row r="170" spans="1:9" ht="15" customHeight="1">
      <c r="A170" t="s">
        <v>1918</v>
      </c>
      <c r="B170" t="s">
        <v>650</v>
      </c>
      <c r="C170" s="836" t="s">
        <v>661</v>
      </c>
      <c r="D170" s="836" t="s">
        <v>46</v>
      </c>
      <c r="E170" s="836"/>
      <c r="F170" s="33"/>
      <c r="I170" s="601" t="str">
        <f>Print_Mois!C101</f>
        <v>Ventes au Gros</v>
      </c>
    </row>
    <row r="171" spans="1:9" ht="15" customHeight="1">
      <c r="A171" t="s">
        <v>1919</v>
      </c>
      <c r="B171" t="s">
        <v>1920</v>
      </c>
      <c r="C171" s="836" t="s">
        <v>661</v>
      </c>
      <c r="D171" s="836" t="s">
        <v>54</v>
      </c>
      <c r="E171" s="836"/>
      <c r="F171" s="33"/>
      <c r="I171" s="601"/>
    </row>
    <row r="172" spans="1:9" ht="15" customHeight="1">
      <c r="A172" t="s">
        <v>1921</v>
      </c>
      <c r="B172" t="s">
        <v>2702</v>
      </c>
      <c r="C172" s="836" t="s">
        <v>661</v>
      </c>
      <c r="D172" s="836" t="s">
        <v>52</v>
      </c>
      <c r="E172" s="836"/>
      <c r="F172" s="33"/>
      <c r="I172" s="601" t="str">
        <f>Print_Mois!C301</f>
        <v>Ventes de Gros</v>
      </c>
    </row>
    <row r="173" spans="1:9" ht="15" customHeight="1">
      <c r="A173" t="s">
        <v>1923</v>
      </c>
      <c r="B173" t="s">
        <v>1924</v>
      </c>
      <c r="C173" s="836" t="s">
        <v>661</v>
      </c>
      <c r="D173" s="836" t="s">
        <v>46</v>
      </c>
      <c r="E173" s="836"/>
      <c r="F173" s="33"/>
      <c r="I173" s="601" t="s">
        <v>182</v>
      </c>
    </row>
    <row r="174" spans="1:9" ht="15" customHeight="1">
      <c r="A174" t="s">
        <v>1929</v>
      </c>
      <c r="B174" t="s">
        <v>2703</v>
      </c>
      <c r="C174" s="836" t="s">
        <v>661</v>
      </c>
      <c r="D174" s="836" t="s">
        <v>56</v>
      </c>
      <c r="E174" s="836"/>
      <c r="F174" s="33"/>
      <c r="I174" s="601" t="str">
        <f>Print_Mois!C299</f>
        <v>Ventes Internes</v>
      </c>
    </row>
    <row r="175" spans="1:9" ht="15" customHeight="1">
      <c r="A175" t="s">
        <v>1931</v>
      </c>
      <c r="B175" t="s">
        <v>2704</v>
      </c>
      <c r="C175" s="836" t="s">
        <v>661</v>
      </c>
      <c r="D175" s="836" t="s">
        <v>56</v>
      </c>
      <c r="E175" s="836"/>
      <c r="F175" s="33"/>
      <c r="I175" s="601"/>
    </row>
    <row r="176" spans="1:9" ht="15" customHeight="1">
      <c r="A176" t="s">
        <v>1933</v>
      </c>
      <c r="B176" t="s">
        <v>2705</v>
      </c>
      <c r="C176" s="836" t="s">
        <v>661</v>
      </c>
      <c r="D176" s="836" t="s">
        <v>56</v>
      </c>
      <c r="E176" s="836"/>
      <c r="F176" s="33"/>
      <c r="I176" s="601" t="str">
        <f>Print_Mois!C308</f>
        <v>Ventes Pneus</v>
      </c>
    </row>
    <row r="177" spans="1:6" ht="15" customHeight="1">
      <c r="A177" t="s">
        <v>1939</v>
      </c>
      <c r="B177" t="s">
        <v>2706</v>
      </c>
      <c r="C177" s="836" t="s">
        <v>661</v>
      </c>
      <c r="D177" s="836" t="s">
        <v>56</v>
      </c>
      <c r="E177" s="836"/>
      <c r="F177" s="33"/>
    </row>
    <row r="178" spans="1:6" ht="15" customHeight="1">
      <c r="A178" t="s">
        <v>1941</v>
      </c>
      <c r="B178" t="s">
        <v>2707</v>
      </c>
      <c r="C178" s="836" t="s">
        <v>661</v>
      </c>
      <c r="D178" s="836" t="s">
        <v>56</v>
      </c>
      <c r="E178" s="836"/>
      <c r="F178" s="33"/>
    </row>
    <row r="179" spans="1:6" ht="15" customHeight="1">
      <c r="A179" t="s">
        <v>1943</v>
      </c>
      <c r="B179" t="s">
        <v>2719</v>
      </c>
      <c r="C179" s="836" t="s">
        <v>661</v>
      </c>
      <c r="D179" s="836" t="s">
        <v>56</v>
      </c>
      <c r="E179" s="836"/>
      <c r="F179" s="33"/>
    </row>
    <row r="180" spans="1:6" ht="15" customHeight="1">
      <c r="A180" t="s">
        <v>1945</v>
      </c>
      <c r="B180" t="s">
        <v>2708</v>
      </c>
      <c r="C180" s="836" t="s">
        <v>661</v>
      </c>
      <c r="D180" s="836" t="s">
        <v>56</v>
      </c>
      <c r="E180" s="836"/>
      <c r="F180" s="33"/>
    </row>
    <row r="181" spans="1:6" ht="15" customHeight="1">
      <c r="A181" t="s">
        <v>1959</v>
      </c>
      <c r="B181" t="s">
        <v>1960</v>
      </c>
      <c r="C181" s="836" t="s">
        <v>661</v>
      </c>
      <c r="D181" s="836" t="s">
        <v>66</v>
      </c>
      <c r="E181" s="836"/>
      <c r="F181" s="33"/>
    </row>
    <row r="182" spans="1:6" ht="15" customHeight="1">
      <c r="A182" t="s">
        <v>1961</v>
      </c>
      <c r="B182" t="s">
        <v>1962</v>
      </c>
      <c r="C182" s="836" t="s">
        <v>661</v>
      </c>
      <c r="D182" s="836" t="s">
        <v>66</v>
      </c>
      <c r="E182" s="836"/>
      <c r="F182" s="33"/>
    </row>
    <row r="183" spans="1:6" ht="15" customHeight="1">
      <c r="A183" t="s">
        <v>1963</v>
      </c>
      <c r="B183" t="s">
        <v>1964</v>
      </c>
      <c r="C183" s="836" t="s">
        <v>661</v>
      </c>
      <c r="D183" s="836" t="s">
        <v>71</v>
      </c>
      <c r="E183" s="836"/>
      <c r="F183" s="33"/>
    </row>
    <row r="184" spans="1:6" ht="15" customHeight="1">
      <c r="A184" t="s">
        <v>1965</v>
      </c>
      <c r="B184" t="s">
        <v>1966</v>
      </c>
      <c r="C184" s="836" t="s">
        <v>661</v>
      </c>
      <c r="D184" s="836" t="s">
        <v>71</v>
      </c>
      <c r="E184" s="836"/>
      <c r="F184" s="3"/>
    </row>
    <row r="185" spans="1:6" ht="15" customHeight="1">
      <c r="A185" t="s">
        <v>1967</v>
      </c>
      <c r="B185" t="s">
        <v>1968</v>
      </c>
      <c r="C185" s="836" t="s">
        <v>661</v>
      </c>
      <c r="D185" s="836" t="s">
        <v>70</v>
      </c>
      <c r="E185" s="836"/>
      <c r="F185" s="3"/>
    </row>
    <row r="186" spans="1:6" ht="15" customHeight="1">
      <c r="A186" t="s">
        <v>1969</v>
      </c>
      <c r="B186" t="s">
        <v>1970</v>
      </c>
      <c r="C186" s="836" t="s">
        <v>661</v>
      </c>
      <c r="D186" s="836" t="s">
        <v>70</v>
      </c>
      <c r="E186" s="836"/>
      <c r="F186" s="3"/>
    </row>
    <row r="187" spans="1:6" ht="15" customHeight="1">
      <c r="A187" t="s">
        <v>1971</v>
      </c>
      <c r="B187" t="s">
        <v>1972</v>
      </c>
      <c r="C187" s="836" t="s">
        <v>661</v>
      </c>
      <c r="D187" s="836" t="s">
        <v>70</v>
      </c>
      <c r="E187" s="836"/>
      <c r="F187" s="3"/>
    </row>
    <row r="188" spans="1:6" ht="15" customHeight="1">
      <c r="A188" t="s">
        <v>1973</v>
      </c>
      <c r="B188" t="s">
        <v>1974</v>
      </c>
      <c r="C188" s="836" t="s">
        <v>661</v>
      </c>
      <c r="D188" s="836" t="s">
        <v>70</v>
      </c>
      <c r="E188" s="836"/>
      <c r="F188" s="3"/>
    </row>
    <row r="189" spans="1:6" ht="15" customHeight="1">
      <c r="A189" t="s">
        <v>1975</v>
      </c>
      <c r="B189" t="s">
        <v>652</v>
      </c>
      <c r="C189" s="836" t="s">
        <v>661</v>
      </c>
      <c r="D189" s="836" t="s">
        <v>75</v>
      </c>
      <c r="E189" s="836"/>
      <c r="F189" s="3"/>
    </row>
    <row r="190" spans="1:6" ht="15" customHeight="1">
      <c r="A190" t="s">
        <v>1976</v>
      </c>
      <c r="B190" t="s">
        <v>1977</v>
      </c>
      <c r="C190" s="836" t="s">
        <v>661</v>
      </c>
      <c r="D190" s="836" t="s">
        <v>75</v>
      </c>
      <c r="E190" s="836"/>
      <c r="F190" s="3"/>
    </row>
    <row r="191" spans="1:6" ht="15" customHeight="1">
      <c r="A191" t="s">
        <v>1982</v>
      </c>
      <c r="B191" t="s">
        <v>651</v>
      </c>
      <c r="C191" s="836" t="s">
        <v>661</v>
      </c>
      <c r="D191" s="836" t="s">
        <v>72</v>
      </c>
      <c r="E191" s="836"/>
      <c r="F191" s="3"/>
    </row>
    <row r="192" spans="1:6" ht="15" customHeight="1">
      <c r="A192" t="s">
        <v>1983</v>
      </c>
      <c r="B192" t="s">
        <v>1984</v>
      </c>
      <c r="C192" s="836" t="s">
        <v>661</v>
      </c>
      <c r="D192" s="836" t="s">
        <v>72</v>
      </c>
      <c r="E192" s="836"/>
      <c r="F192" s="3"/>
    </row>
    <row r="193" spans="1:9" ht="15" customHeight="1">
      <c r="A193" t="s">
        <v>2000</v>
      </c>
      <c r="B193" t="s">
        <v>2001</v>
      </c>
      <c r="C193" s="836" t="s">
        <v>661</v>
      </c>
      <c r="D193" s="836" t="s">
        <v>79</v>
      </c>
      <c r="E193" s="836"/>
      <c r="F193" s="3"/>
    </row>
    <row r="194" spans="1:9" ht="15" customHeight="1">
      <c r="A194" t="s">
        <v>2002</v>
      </c>
      <c r="B194" t="s">
        <v>2003</v>
      </c>
      <c r="C194" s="836" t="s">
        <v>661</v>
      </c>
      <c r="D194" s="836" t="s">
        <v>79</v>
      </c>
      <c r="E194" s="836"/>
      <c r="F194" s="3"/>
    </row>
    <row r="195" spans="1:9" ht="15" customHeight="1">
      <c r="A195" t="s">
        <v>2007</v>
      </c>
      <c r="B195" t="s">
        <v>2008</v>
      </c>
      <c r="C195" s="836" t="s">
        <v>661</v>
      </c>
      <c r="D195" s="836" t="s">
        <v>43</v>
      </c>
      <c r="E195" s="836"/>
      <c r="F195" s="3"/>
    </row>
    <row r="196" spans="1:9" ht="15" customHeight="1">
      <c r="A196" t="s">
        <v>2010</v>
      </c>
      <c r="B196" t="s">
        <v>2011</v>
      </c>
      <c r="C196" s="836" t="s">
        <v>661</v>
      </c>
      <c r="D196" s="836" t="s">
        <v>45</v>
      </c>
      <c r="E196" s="836"/>
      <c r="F196" s="3"/>
    </row>
    <row r="197" spans="1:9" ht="15" customHeight="1">
      <c r="A197" t="s">
        <v>2012</v>
      </c>
      <c r="B197" t="s">
        <v>2013</v>
      </c>
      <c r="C197" s="836" t="s">
        <v>661</v>
      </c>
      <c r="D197" s="836" t="s">
        <v>43</v>
      </c>
      <c r="E197" s="836"/>
      <c r="F197" s="3"/>
    </row>
    <row r="198" spans="1:9" ht="15" customHeight="1">
      <c r="A198" t="s">
        <v>2026</v>
      </c>
      <c r="B198" t="s">
        <v>2027</v>
      </c>
      <c r="C198" s="836" t="s">
        <v>661</v>
      </c>
      <c r="D198" s="836" t="s">
        <v>29</v>
      </c>
      <c r="E198" s="836"/>
      <c r="F198" s="3"/>
      <c r="I198" s="3"/>
    </row>
    <row r="199" spans="1:9" ht="15" customHeight="1">
      <c r="A199" t="s">
        <v>2029</v>
      </c>
      <c r="B199" t="s">
        <v>2030</v>
      </c>
      <c r="C199" s="836" t="s">
        <v>661</v>
      </c>
      <c r="D199" s="836" t="s">
        <v>29</v>
      </c>
      <c r="E199" s="836"/>
      <c r="F199" s="3"/>
    </row>
    <row r="200" spans="1:9" ht="15" customHeight="1">
      <c r="A200" t="s">
        <v>2031</v>
      </c>
      <c r="B200" t="s">
        <v>2032</v>
      </c>
      <c r="C200" s="836" t="s">
        <v>661</v>
      </c>
      <c r="D200" s="836" t="s">
        <v>29</v>
      </c>
      <c r="E200" s="836"/>
      <c r="F200" s="3"/>
    </row>
    <row r="201" spans="1:9" ht="15" customHeight="1">
      <c r="A201" t="s">
        <v>2033</v>
      </c>
      <c r="B201" t="s">
        <v>2034</v>
      </c>
      <c r="C201" s="836" t="s">
        <v>661</v>
      </c>
      <c r="D201" s="836" t="s">
        <v>29</v>
      </c>
      <c r="E201" s="836"/>
      <c r="F201" s="3"/>
    </row>
    <row r="202" spans="1:9" ht="15" customHeight="1">
      <c r="A202" t="s">
        <v>2035</v>
      </c>
      <c r="B202" t="s">
        <v>2036</v>
      </c>
      <c r="C202" s="836" t="s">
        <v>661</v>
      </c>
      <c r="D202" s="836" t="s">
        <v>29</v>
      </c>
      <c r="E202" s="836"/>
      <c r="F202" s="3"/>
    </row>
    <row r="203" spans="1:9" ht="15" customHeight="1">
      <c r="A203" t="s">
        <v>2039</v>
      </c>
      <c r="B203" t="s">
        <v>2040</v>
      </c>
      <c r="C203" s="836" t="s">
        <v>661</v>
      </c>
      <c r="D203" s="836" t="s">
        <v>51</v>
      </c>
      <c r="E203" s="836"/>
      <c r="F203" s="3"/>
    </row>
    <row r="204" spans="1:9" ht="15" customHeight="1">
      <c r="A204" t="s">
        <v>2041</v>
      </c>
      <c r="B204" t="s">
        <v>2042</v>
      </c>
      <c r="C204" s="836" t="s">
        <v>661</v>
      </c>
      <c r="D204" s="836" t="s">
        <v>51</v>
      </c>
      <c r="E204" s="836"/>
      <c r="F204" s="3"/>
    </row>
    <row r="205" spans="1:9" ht="15" customHeight="1">
      <c r="A205" t="s">
        <v>2043</v>
      </c>
      <c r="B205" t="s">
        <v>2044</v>
      </c>
      <c r="C205" s="836" t="s">
        <v>661</v>
      </c>
      <c r="D205" s="836" t="s">
        <v>51</v>
      </c>
      <c r="E205" s="836"/>
      <c r="F205" s="3"/>
    </row>
    <row r="206" spans="1:9" ht="15" customHeight="1">
      <c r="A206" t="s">
        <v>2045</v>
      </c>
      <c r="B206" t="s">
        <v>2046</v>
      </c>
      <c r="C206" s="836" t="s">
        <v>661</v>
      </c>
      <c r="D206" s="836" t="s">
        <v>51</v>
      </c>
      <c r="E206" s="836"/>
      <c r="F206" s="3"/>
    </row>
    <row r="207" spans="1:9" ht="15" customHeight="1">
      <c r="A207" t="s">
        <v>2047</v>
      </c>
      <c r="B207" t="s">
        <v>2048</v>
      </c>
      <c r="C207" s="836" t="s">
        <v>661</v>
      </c>
      <c r="D207" s="836" t="s">
        <v>51</v>
      </c>
      <c r="E207" s="836"/>
      <c r="F207" s="3"/>
    </row>
    <row r="208" spans="1:9" ht="15" customHeight="1">
      <c r="A208" t="s">
        <v>2049</v>
      </c>
      <c r="B208" t="s">
        <v>659</v>
      </c>
      <c r="C208" s="836" t="s">
        <v>661</v>
      </c>
      <c r="D208" s="836" t="s">
        <v>51</v>
      </c>
      <c r="E208" s="836"/>
      <c r="F208" s="3"/>
    </row>
    <row r="209" spans="1:6" ht="15" customHeight="1">
      <c r="A209" t="s">
        <v>2050</v>
      </c>
      <c r="B209" t="s">
        <v>655</v>
      </c>
      <c r="C209" s="836" t="s">
        <v>661</v>
      </c>
      <c r="D209" s="836" t="s">
        <v>31</v>
      </c>
      <c r="E209" s="836"/>
      <c r="F209" s="3"/>
    </row>
    <row r="210" spans="1:6" ht="15" customHeight="1">
      <c r="A210" t="s">
        <v>2051</v>
      </c>
      <c r="B210" t="s">
        <v>2052</v>
      </c>
      <c r="C210" s="836" t="s">
        <v>661</v>
      </c>
      <c r="D210" s="836" t="s">
        <v>31</v>
      </c>
      <c r="E210" s="836"/>
      <c r="F210" s="3"/>
    </row>
    <row r="211" spans="1:6" ht="15" customHeight="1">
      <c r="A211" t="s">
        <v>2053</v>
      </c>
      <c r="B211" t="s">
        <v>2054</v>
      </c>
      <c r="C211" s="836" t="s">
        <v>661</v>
      </c>
      <c r="D211" s="836" t="s">
        <v>31</v>
      </c>
      <c r="E211" s="836"/>
      <c r="F211" s="3"/>
    </row>
    <row r="212" spans="1:6" ht="15" customHeight="1">
      <c r="A212" t="s">
        <v>2055</v>
      </c>
      <c r="B212" t="s">
        <v>2056</v>
      </c>
      <c r="C212" s="836" t="s">
        <v>661</v>
      </c>
      <c r="D212" s="836" t="s">
        <v>31</v>
      </c>
      <c r="E212" s="836"/>
      <c r="F212" s="3"/>
    </row>
    <row r="213" spans="1:6" ht="15" customHeight="1">
      <c r="A213" t="s">
        <v>2057</v>
      </c>
      <c r="B213" t="s">
        <v>2058</v>
      </c>
      <c r="C213" s="836" t="s">
        <v>661</v>
      </c>
      <c r="D213" s="836" t="s">
        <v>31</v>
      </c>
      <c r="E213" s="836"/>
      <c r="F213" s="3"/>
    </row>
    <row r="214" spans="1:6" ht="15" customHeight="1">
      <c r="A214" t="s">
        <v>2059</v>
      </c>
      <c r="B214" t="s">
        <v>2060</v>
      </c>
      <c r="C214" s="836" t="s">
        <v>661</v>
      </c>
      <c r="D214" s="836" t="s">
        <v>31</v>
      </c>
      <c r="E214" s="836"/>
      <c r="F214" s="3"/>
    </row>
    <row r="215" spans="1:6" ht="15" customHeight="1">
      <c r="A215" t="s">
        <v>2061</v>
      </c>
      <c r="B215" t="s">
        <v>2062</v>
      </c>
      <c r="C215" s="836" t="s">
        <v>661</v>
      </c>
      <c r="D215" s="836" t="s">
        <v>31</v>
      </c>
      <c r="E215" s="836"/>
      <c r="F215" s="3"/>
    </row>
    <row r="216" spans="1:6" ht="15" customHeight="1">
      <c r="A216" t="s">
        <v>2063</v>
      </c>
      <c r="B216" t="s">
        <v>2064</v>
      </c>
      <c r="C216" s="836" t="s">
        <v>661</v>
      </c>
      <c r="D216" s="836" t="s">
        <v>49</v>
      </c>
      <c r="E216" s="836"/>
      <c r="F216" s="3"/>
    </row>
    <row r="217" spans="1:6" ht="15" customHeight="1">
      <c r="A217" t="s">
        <v>2065</v>
      </c>
      <c r="B217" t="s">
        <v>2066</v>
      </c>
      <c r="C217" s="836" t="s">
        <v>661</v>
      </c>
      <c r="D217" s="836" t="s">
        <v>49</v>
      </c>
      <c r="E217" s="836"/>
      <c r="F217" s="3"/>
    </row>
    <row r="218" spans="1:6" ht="15" customHeight="1">
      <c r="A218" t="s">
        <v>2067</v>
      </c>
      <c r="B218" t="s">
        <v>2068</v>
      </c>
      <c r="C218" s="836" t="s">
        <v>661</v>
      </c>
      <c r="D218" s="836" t="s">
        <v>49</v>
      </c>
      <c r="E218" s="836"/>
      <c r="F218" s="3"/>
    </row>
    <row r="219" spans="1:6" ht="15" customHeight="1">
      <c r="A219" t="s">
        <v>2071</v>
      </c>
      <c r="B219" t="s">
        <v>2072</v>
      </c>
      <c r="C219" s="836" t="s">
        <v>661</v>
      </c>
      <c r="D219" s="836" t="s">
        <v>35</v>
      </c>
      <c r="E219" s="836"/>
      <c r="F219" s="3"/>
    </row>
    <row r="220" spans="1:6" ht="15" customHeight="1">
      <c r="A220" t="s">
        <v>2073</v>
      </c>
      <c r="B220" t="s">
        <v>656</v>
      </c>
      <c r="C220" s="836" t="s">
        <v>661</v>
      </c>
      <c r="D220" s="836" t="s">
        <v>31</v>
      </c>
      <c r="E220" s="836"/>
      <c r="F220" s="3"/>
    </row>
    <row r="221" spans="1:6" ht="15" customHeight="1">
      <c r="A221" t="s">
        <v>2074</v>
      </c>
      <c r="B221" t="s">
        <v>2075</v>
      </c>
      <c r="C221" s="836" t="s">
        <v>661</v>
      </c>
      <c r="D221" s="836" t="s">
        <v>31</v>
      </c>
      <c r="E221" s="836"/>
      <c r="F221" s="3"/>
    </row>
    <row r="222" spans="1:6" ht="15" customHeight="1">
      <c r="A222" t="s">
        <v>2076</v>
      </c>
      <c r="B222" t="s">
        <v>2077</v>
      </c>
      <c r="C222" s="836" t="s">
        <v>661</v>
      </c>
      <c r="D222" s="836" t="s">
        <v>31</v>
      </c>
      <c r="E222" s="836"/>
      <c r="F222" s="3"/>
    </row>
    <row r="223" spans="1:6" ht="15" customHeight="1">
      <c r="A223" t="s">
        <v>2078</v>
      </c>
      <c r="B223" t="s">
        <v>657</v>
      </c>
      <c r="C223" s="836" t="s">
        <v>661</v>
      </c>
      <c r="D223" s="836" t="s">
        <v>31</v>
      </c>
      <c r="E223" s="836"/>
      <c r="F223" s="3"/>
    </row>
    <row r="224" spans="1:6" ht="15" customHeight="1">
      <c r="A224" t="s">
        <v>2079</v>
      </c>
      <c r="B224" t="s">
        <v>656</v>
      </c>
      <c r="C224" s="836" t="s">
        <v>661</v>
      </c>
      <c r="D224" s="836" t="s">
        <v>31</v>
      </c>
      <c r="E224" s="836"/>
      <c r="F224" s="3"/>
    </row>
    <row r="225" spans="1:6" ht="15" customHeight="1">
      <c r="A225" t="s">
        <v>2080</v>
      </c>
      <c r="B225" t="s">
        <v>2081</v>
      </c>
      <c r="C225" s="836" t="s">
        <v>661</v>
      </c>
      <c r="D225" s="836" t="s">
        <v>31</v>
      </c>
      <c r="E225" s="836"/>
      <c r="F225" s="3"/>
    </row>
    <row r="226" spans="1:6" ht="15" customHeight="1">
      <c r="A226" t="s">
        <v>2082</v>
      </c>
      <c r="B226" t="s">
        <v>2083</v>
      </c>
      <c r="C226" s="836" t="s">
        <v>661</v>
      </c>
      <c r="D226" s="836" t="s">
        <v>39</v>
      </c>
      <c r="E226" s="836"/>
      <c r="F226" s="3"/>
    </row>
    <row r="227" spans="1:6" ht="15" customHeight="1">
      <c r="A227" t="s">
        <v>2084</v>
      </c>
      <c r="B227" t="s">
        <v>2085</v>
      </c>
      <c r="C227" s="836" t="s">
        <v>661</v>
      </c>
      <c r="D227" s="836" t="s">
        <v>53</v>
      </c>
      <c r="E227" s="836"/>
      <c r="F227" s="3"/>
    </row>
    <row r="228" spans="1:6" ht="15" customHeight="1">
      <c r="A228" t="s">
        <v>2086</v>
      </c>
      <c r="B228" t="s">
        <v>2087</v>
      </c>
      <c r="C228" s="836" t="s">
        <v>661</v>
      </c>
      <c r="D228" s="836" t="s">
        <v>53</v>
      </c>
      <c r="E228" s="836"/>
      <c r="F228" s="3"/>
    </row>
    <row r="229" spans="1:6" ht="15" customHeight="1">
      <c r="A229" t="s">
        <v>2088</v>
      </c>
      <c r="B229" t="s">
        <v>2089</v>
      </c>
      <c r="C229" s="836" t="s">
        <v>661</v>
      </c>
      <c r="D229" s="836" t="s">
        <v>53</v>
      </c>
      <c r="E229" s="836"/>
      <c r="F229" s="3"/>
    </row>
    <row r="230" spans="1:6" ht="15" customHeight="1">
      <c r="A230" t="s">
        <v>2090</v>
      </c>
      <c r="B230" t="s">
        <v>2091</v>
      </c>
      <c r="C230" s="836" t="s">
        <v>661</v>
      </c>
      <c r="D230" s="836" t="s">
        <v>53</v>
      </c>
      <c r="E230" s="836"/>
      <c r="F230" s="3"/>
    </row>
    <row r="231" spans="1:6" ht="15" customHeight="1">
      <c r="A231" t="s">
        <v>2102</v>
      </c>
      <c r="B231" t="s">
        <v>2103</v>
      </c>
      <c r="C231" s="836" t="s">
        <v>661</v>
      </c>
      <c r="D231" s="836" t="s">
        <v>53</v>
      </c>
      <c r="E231" s="836"/>
      <c r="F231" s="3"/>
    </row>
    <row r="232" spans="1:6" ht="15" customHeight="1">
      <c r="A232" t="s">
        <v>2104</v>
      </c>
      <c r="B232" t="s">
        <v>2105</v>
      </c>
      <c r="C232" s="836" t="s">
        <v>661</v>
      </c>
      <c r="D232" s="836" t="s">
        <v>49</v>
      </c>
      <c r="E232" s="836"/>
      <c r="F232" s="3"/>
    </row>
    <row r="233" spans="1:6" ht="15" customHeight="1">
      <c r="A233" t="s">
        <v>2111</v>
      </c>
      <c r="B233" t="s">
        <v>2112</v>
      </c>
      <c r="C233" s="836" t="s">
        <v>661</v>
      </c>
      <c r="D233" s="836" t="s">
        <v>49</v>
      </c>
      <c r="E233" s="836"/>
      <c r="F233" s="3"/>
    </row>
    <row r="234" spans="1:6" ht="15" customHeight="1">
      <c r="A234" t="s">
        <v>2113</v>
      </c>
      <c r="B234" t="s">
        <v>2114</v>
      </c>
      <c r="C234" s="836" t="s">
        <v>661</v>
      </c>
      <c r="D234" s="836" t="s">
        <v>53</v>
      </c>
      <c r="E234" s="836"/>
      <c r="F234" s="3"/>
    </row>
    <row r="235" spans="1:6" ht="15" customHeight="1">
      <c r="A235" t="s">
        <v>2115</v>
      </c>
      <c r="B235" t="s">
        <v>2116</v>
      </c>
      <c r="C235" s="836" t="s">
        <v>661</v>
      </c>
      <c r="D235" s="836" t="s">
        <v>53</v>
      </c>
      <c r="E235" s="836"/>
      <c r="F235" s="3"/>
    </row>
    <row r="236" spans="1:6" ht="15" customHeight="1">
      <c r="A236" t="s">
        <v>2117</v>
      </c>
      <c r="B236" t="s">
        <v>2118</v>
      </c>
      <c r="C236" s="836" t="s">
        <v>661</v>
      </c>
      <c r="D236" s="836" t="s">
        <v>53</v>
      </c>
      <c r="E236" s="836"/>
      <c r="F236" s="3"/>
    </row>
    <row r="237" spans="1:6" ht="15" customHeight="1">
      <c r="A237" t="s">
        <v>2119</v>
      </c>
      <c r="B237" t="s">
        <v>2120</v>
      </c>
      <c r="C237" s="836" t="s">
        <v>661</v>
      </c>
      <c r="D237" s="836" t="s">
        <v>53</v>
      </c>
      <c r="E237" s="836"/>
      <c r="F237" s="3"/>
    </row>
    <row r="238" spans="1:6" ht="15" customHeight="1">
      <c r="A238" t="s">
        <v>2127</v>
      </c>
      <c r="B238" t="s">
        <v>2128</v>
      </c>
      <c r="C238" s="836" t="s">
        <v>661</v>
      </c>
      <c r="D238" s="836" t="s">
        <v>53</v>
      </c>
      <c r="E238" s="836"/>
      <c r="F238" s="3"/>
    </row>
    <row r="239" spans="1:6" ht="15" customHeight="1">
      <c r="A239" t="s">
        <v>2131</v>
      </c>
      <c r="B239" t="s">
        <v>2132</v>
      </c>
      <c r="C239" s="836" t="s">
        <v>661</v>
      </c>
      <c r="D239" s="836" t="s">
        <v>53</v>
      </c>
      <c r="E239" s="836"/>
      <c r="F239" s="3"/>
    </row>
    <row r="240" spans="1:6" ht="15" customHeight="1">
      <c r="A240" t="s">
        <v>2133</v>
      </c>
      <c r="B240" t="s">
        <v>2134</v>
      </c>
      <c r="C240" s="836" t="s">
        <v>661</v>
      </c>
      <c r="D240" s="836" t="s">
        <v>53</v>
      </c>
      <c r="E240" s="836"/>
      <c r="F240" s="3"/>
    </row>
    <row r="241" spans="1:6" ht="15" customHeight="1">
      <c r="A241" t="s">
        <v>2135</v>
      </c>
      <c r="B241" t="s">
        <v>2136</v>
      </c>
      <c r="C241" s="836" t="s">
        <v>661</v>
      </c>
      <c r="D241" s="836" t="s">
        <v>33</v>
      </c>
      <c r="E241" s="836"/>
      <c r="F241" s="3"/>
    </row>
    <row r="242" spans="1:6" ht="15" customHeight="1">
      <c r="A242" t="s">
        <v>2137</v>
      </c>
      <c r="B242" t="s">
        <v>2138</v>
      </c>
      <c r="C242" s="836" t="s">
        <v>661</v>
      </c>
      <c r="D242" s="836" t="s">
        <v>33</v>
      </c>
      <c r="E242" s="836"/>
      <c r="F242" s="3"/>
    </row>
    <row r="243" spans="1:6" ht="15" customHeight="1">
      <c r="A243" t="s">
        <v>2139</v>
      </c>
      <c r="B243" t="s">
        <v>2140</v>
      </c>
      <c r="C243" s="836" t="s">
        <v>661</v>
      </c>
      <c r="D243" s="836" t="s">
        <v>33</v>
      </c>
      <c r="E243" s="836"/>
      <c r="F243" s="3"/>
    </row>
    <row r="244" spans="1:6" ht="15" customHeight="1">
      <c r="A244" t="s">
        <v>2143</v>
      </c>
      <c r="B244" t="s">
        <v>2144</v>
      </c>
      <c r="C244" s="836" t="s">
        <v>661</v>
      </c>
      <c r="D244" s="836" t="s">
        <v>33</v>
      </c>
      <c r="E244" s="836"/>
      <c r="F244" s="3"/>
    </row>
    <row r="245" spans="1:6" ht="15" customHeight="1">
      <c r="A245" t="s">
        <v>2145</v>
      </c>
      <c r="B245" t="s">
        <v>2146</v>
      </c>
      <c r="C245" s="836" t="s">
        <v>661</v>
      </c>
      <c r="D245" s="836" t="s">
        <v>33</v>
      </c>
      <c r="E245" s="836"/>
      <c r="F245" s="3"/>
    </row>
    <row r="246" spans="1:6" ht="15" customHeight="1">
      <c r="A246" t="s">
        <v>2165</v>
      </c>
      <c r="B246" t="s">
        <v>2166</v>
      </c>
      <c r="C246" s="836" t="s">
        <v>661</v>
      </c>
      <c r="D246" s="836" t="s">
        <v>36</v>
      </c>
      <c r="E246" s="836"/>
      <c r="F246" s="3"/>
    </row>
    <row r="247" spans="1:6" ht="15" customHeight="1">
      <c r="A247" t="s">
        <v>2167</v>
      </c>
      <c r="B247" t="s">
        <v>2168</v>
      </c>
      <c r="C247" s="836" t="s">
        <v>661</v>
      </c>
      <c r="D247" s="836" t="s">
        <v>36</v>
      </c>
      <c r="E247" s="836"/>
      <c r="F247" s="3"/>
    </row>
    <row r="248" spans="1:6" ht="15" customHeight="1">
      <c r="A248" t="s">
        <v>2177</v>
      </c>
      <c r="B248" t="s">
        <v>2720</v>
      </c>
      <c r="C248" s="836" t="s">
        <v>661</v>
      </c>
      <c r="D248" s="836" t="s">
        <v>80</v>
      </c>
      <c r="E248" s="836"/>
      <c r="F248" s="3"/>
    </row>
    <row r="249" spans="1:6" ht="15" customHeight="1">
      <c r="A249" t="s">
        <v>2179</v>
      </c>
      <c r="B249" t="s">
        <v>2180</v>
      </c>
      <c r="C249" s="836" t="s">
        <v>661</v>
      </c>
      <c r="D249" s="836" t="s">
        <v>80</v>
      </c>
      <c r="E249" s="836"/>
      <c r="F249" s="3"/>
    </row>
    <row r="250" spans="1:6" ht="15" customHeight="1">
      <c r="A250" t="s">
        <v>2181</v>
      </c>
      <c r="B250" t="s">
        <v>2182</v>
      </c>
      <c r="C250" s="836" t="s">
        <v>661</v>
      </c>
      <c r="D250" s="836" t="s">
        <v>80</v>
      </c>
      <c r="E250" s="836"/>
      <c r="F250" s="3"/>
    </row>
    <row r="251" spans="1:6" ht="15" customHeight="1">
      <c r="A251" t="s">
        <v>2185</v>
      </c>
      <c r="B251" t="s">
        <v>2182</v>
      </c>
      <c r="C251" s="836" t="s">
        <v>661</v>
      </c>
      <c r="D251" s="836" t="s">
        <v>80</v>
      </c>
      <c r="E251" s="836"/>
      <c r="F251" s="3"/>
    </row>
    <row r="252" spans="1:6" ht="15" customHeight="1">
      <c r="A252" t="s">
        <v>2193</v>
      </c>
      <c r="B252" t="s">
        <v>2721</v>
      </c>
      <c r="C252" s="836" t="s">
        <v>661</v>
      </c>
      <c r="D252" s="836" t="s">
        <v>80</v>
      </c>
      <c r="E252" s="836"/>
      <c r="F252" s="3"/>
    </row>
    <row r="253" spans="1:6" ht="15" customHeight="1">
      <c r="A253" t="s">
        <v>2197</v>
      </c>
      <c r="B253" t="s">
        <v>2198</v>
      </c>
      <c r="C253" s="836" t="s">
        <v>661</v>
      </c>
      <c r="D253" s="836" t="s">
        <v>82</v>
      </c>
      <c r="E253" s="836"/>
      <c r="F253" s="3"/>
    </row>
    <row r="254" spans="1:6" ht="15" customHeight="1">
      <c r="A254" t="s">
        <v>2204</v>
      </c>
      <c r="B254" t="s">
        <v>2205</v>
      </c>
      <c r="C254" s="836" t="s">
        <v>661</v>
      </c>
      <c r="D254" s="836" t="s">
        <v>82</v>
      </c>
      <c r="E254" s="836"/>
      <c r="F254" s="4"/>
    </row>
    <row r="255" spans="1:6" ht="15" customHeight="1">
      <c r="A255" t="s">
        <v>2229</v>
      </c>
      <c r="B255" t="s">
        <v>2230</v>
      </c>
      <c r="C255" s="836" t="s">
        <v>88</v>
      </c>
      <c r="D255" s="836" t="s">
        <v>94</v>
      </c>
      <c r="E255" s="1032" t="s">
        <v>678</v>
      </c>
      <c r="F255" s="3"/>
    </row>
    <row r="256" spans="1:6" ht="15" customHeight="1">
      <c r="A256" t="s">
        <v>2233</v>
      </c>
      <c r="B256" t="s">
        <v>2234</v>
      </c>
      <c r="C256" s="836" t="s">
        <v>88</v>
      </c>
      <c r="D256" s="836" t="s">
        <v>94</v>
      </c>
      <c r="E256" s="1032" t="s">
        <v>678</v>
      </c>
      <c r="F256" s="3"/>
    </row>
    <row r="257" spans="1:7" ht="15" customHeight="1">
      <c r="A257" t="s">
        <v>2243</v>
      </c>
      <c r="B257" t="s">
        <v>2244</v>
      </c>
      <c r="C257" s="836" t="s">
        <v>88</v>
      </c>
      <c r="D257" s="836" t="s">
        <v>93</v>
      </c>
      <c r="E257" s="1032" t="s">
        <v>678</v>
      </c>
      <c r="F257" s="3"/>
    </row>
    <row r="258" spans="1:7" ht="15" customHeight="1">
      <c r="A258" t="s">
        <v>2249</v>
      </c>
      <c r="B258" t="s">
        <v>2250</v>
      </c>
      <c r="C258" s="836" t="s">
        <v>88</v>
      </c>
      <c r="D258" s="836" t="s">
        <v>93</v>
      </c>
      <c r="E258" s="1032" t="s">
        <v>678</v>
      </c>
      <c r="F258" s="3"/>
    </row>
    <row r="259" spans="1:7" ht="15" customHeight="1">
      <c r="A259" t="s">
        <v>2254</v>
      </c>
      <c r="B259" t="s">
        <v>2255</v>
      </c>
      <c r="C259" s="836" t="s">
        <v>88</v>
      </c>
      <c r="D259" s="836" t="s">
        <v>2712</v>
      </c>
      <c r="E259" s="1032" t="s">
        <v>678</v>
      </c>
      <c r="F259" s="3"/>
    </row>
    <row r="260" spans="1:7" ht="15" customHeight="1">
      <c r="A260" t="s">
        <v>2256</v>
      </c>
      <c r="B260" t="s">
        <v>2257</v>
      </c>
      <c r="C260" s="836" t="s">
        <v>88</v>
      </c>
      <c r="D260" s="836" t="s">
        <v>2712</v>
      </c>
      <c r="E260" s="1032" t="s">
        <v>678</v>
      </c>
      <c r="F260" s="3"/>
    </row>
    <row r="261" spans="1:7" ht="15" customHeight="1">
      <c r="A261" t="s">
        <v>2258</v>
      </c>
      <c r="B261" t="s">
        <v>2259</v>
      </c>
      <c r="C261" s="836" t="s">
        <v>88</v>
      </c>
      <c r="D261" s="836" t="s">
        <v>94</v>
      </c>
      <c r="E261" s="1032" t="s">
        <v>678</v>
      </c>
      <c r="F261" s="3"/>
    </row>
    <row r="262" spans="1:7" ht="15" customHeight="1">
      <c r="A262" t="s">
        <v>2260</v>
      </c>
      <c r="B262" t="s">
        <v>2261</v>
      </c>
      <c r="C262" s="836" t="s">
        <v>88</v>
      </c>
      <c r="D262" s="836" t="s">
        <v>2712</v>
      </c>
      <c r="E262" s="1032" t="s">
        <v>678</v>
      </c>
      <c r="F262" s="3"/>
    </row>
    <row r="263" spans="1:7" ht="15" customHeight="1">
      <c r="A263" t="s">
        <v>2262</v>
      </c>
      <c r="B263" t="s">
        <v>2263</v>
      </c>
      <c r="C263" s="836" t="s">
        <v>88</v>
      </c>
      <c r="D263" s="836" t="s">
        <v>93</v>
      </c>
      <c r="E263" s="1032" t="s">
        <v>678</v>
      </c>
      <c r="F263" s="3"/>
      <c r="G263" s="887" t="s">
        <v>1094</v>
      </c>
    </row>
    <row r="264" spans="1:7" ht="15" customHeight="1">
      <c r="A264" t="s">
        <v>2268</v>
      </c>
      <c r="B264" t="s">
        <v>2269</v>
      </c>
      <c r="C264" s="836" t="s">
        <v>88</v>
      </c>
      <c r="D264" s="836" t="s">
        <v>94</v>
      </c>
      <c r="E264" s="1032" t="s">
        <v>678</v>
      </c>
      <c r="F264" s="3"/>
    </row>
    <row r="265" spans="1:7" ht="15" customHeight="1">
      <c r="A265" t="s">
        <v>2270</v>
      </c>
      <c r="B265" t="s">
        <v>2271</v>
      </c>
      <c r="C265" s="836" t="s">
        <v>88</v>
      </c>
      <c r="D265" s="836" t="s">
        <v>94</v>
      </c>
      <c r="E265" s="1032" t="s">
        <v>678</v>
      </c>
      <c r="F265" s="3"/>
    </row>
    <row r="266" spans="1:7" ht="15" customHeight="1">
      <c r="A266" t="s">
        <v>2272</v>
      </c>
      <c r="B266" t="s">
        <v>2273</v>
      </c>
      <c r="C266" s="836" t="s">
        <v>88</v>
      </c>
      <c r="D266" s="836" t="s">
        <v>2712</v>
      </c>
      <c r="E266" s="1032" t="s">
        <v>678</v>
      </c>
      <c r="F266" s="3"/>
    </row>
    <row r="267" spans="1:7" ht="15" customHeight="1">
      <c r="A267" t="s">
        <v>2276</v>
      </c>
      <c r="B267" t="s">
        <v>2277</v>
      </c>
      <c r="C267" s="836" t="s">
        <v>88</v>
      </c>
      <c r="D267" s="836" t="s">
        <v>102</v>
      </c>
      <c r="E267" s="1032" t="s">
        <v>678</v>
      </c>
      <c r="F267" s="3"/>
    </row>
    <row r="268" spans="1:7" ht="15" customHeight="1">
      <c r="A268" t="s">
        <v>2278</v>
      </c>
      <c r="B268" t="s">
        <v>2279</v>
      </c>
      <c r="C268" s="836" t="s">
        <v>88</v>
      </c>
      <c r="D268" s="836" t="s">
        <v>102</v>
      </c>
      <c r="E268" s="1032" t="s">
        <v>678</v>
      </c>
      <c r="F268" s="3"/>
    </row>
    <row r="269" spans="1:7" ht="15" customHeight="1">
      <c r="A269" t="s">
        <v>2282</v>
      </c>
      <c r="B269" t="s">
        <v>2281</v>
      </c>
      <c r="C269" s="836" t="s">
        <v>88</v>
      </c>
      <c r="D269" s="836" t="s">
        <v>102</v>
      </c>
      <c r="E269" s="1032" t="s">
        <v>678</v>
      </c>
      <c r="F269" s="3"/>
    </row>
    <row r="270" spans="1:7" ht="15" customHeight="1">
      <c r="A270" t="s">
        <v>2283</v>
      </c>
      <c r="B270" t="s">
        <v>2284</v>
      </c>
      <c r="C270" s="836" t="s">
        <v>88</v>
      </c>
      <c r="D270" s="836" t="s">
        <v>101</v>
      </c>
      <c r="E270" s="1032" t="s">
        <v>678</v>
      </c>
      <c r="F270" s="3"/>
    </row>
    <row r="271" spans="1:7" ht="15" customHeight="1">
      <c r="A271" t="s">
        <v>2285</v>
      </c>
      <c r="B271" t="s">
        <v>2286</v>
      </c>
      <c r="C271" s="836" t="s">
        <v>88</v>
      </c>
      <c r="D271" s="836" t="s">
        <v>102</v>
      </c>
      <c r="E271" s="1032" t="s">
        <v>678</v>
      </c>
      <c r="F271" s="4"/>
    </row>
    <row r="272" spans="1:7" ht="15" customHeight="1">
      <c r="A272" t="s">
        <v>2289</v>
      </c>
      <c r="B272" t="s">
        <v>2290</v>
      </c>
      <c r="C272" s="836" t="s">
        <v>88</v>
      </c>
      <c r="D272" s="836" t="s">
        <v>102</v>
      </c>
      <c r="E272" s="1032" t="s">
        <v>678</v>
      </c>
      <c r="F272" s="3"/>
    </row>
    <row r="273" spans="1:6" ht="15" customHeight="1">
      <c r="A273" t="s">
        <v>2291</v>
      </c>
      <c r="B273" t="s">
        <v>2292</v>
      </c>
      <c r="C273" s="836" t="s">
        <v>88</v>
      </c>
      <c r="D273" s="836" t="s">
        <v>99</v>
      </c>
      <c r="E273" s="1032" t="s">
        <v>678</v>
      </c>
      <c r="F273" s="3"/>
    </row>
    <row r="274" spans="1:6" ht="15" customHeight="1">
      <c r="A274" t="s">
        <v>2293</v>
      </c>
      <c r="B274" t="s">
        <v>2294</v>
      </c>
      <c r="C274" s="836" t="s">
        <v>88</v>
      </c>
      <c r="D274" s="836" t="s">
        <v>99</v>
      </c>
      <c r="E274" s="1032" t="s">
        <v>678</v>
      </c>
      <c r="F274" s="3"/>
    </row>
    <row r="275" spans="1:6" ht="15" customHeight="1">
      <c r="A275" t="s">
        <v>2295</v>
      </c>
      <c r="B275" t="s">
        <v>2296</v>
      </c>
      <c r="C275" s="836" t="s">
        <v>148</v>
      </c>
      <c r="D275" s="836" t="s">
        <v>100</v>
      </c>
      <c r="E275" s="1032" t="s">
        <v>678</v>
      </c>
      <c r="F275" s="3"/>
    </row>
    <row r="276" spans="1:6" ht="15" customHeight="1">
      <c r="A276" t="s">
        <v>2297</v>
      </c>
      <c r="B276" t="s">
        <v>2298</v>
      </c>
      <c r="C276" s="836" t="s">
        <v>88</v>
      </c>
      <c r="D276" s="836" t="s">
        <v>94</v>
      </c>
      <c r="E276" s="1032" t="s">
        <v>678</v>
      </c>
      <c r="F276" s="3"/>
    </row>
    <row r="277" spans="1:6" ht="15" customHeight="1">
      <c r="A277" t="s">
        <v>2299</v>
      </c>
      <c r="B277" t="s">
        <v>2300</v>
      </c>
      <c r="C277" s="836" t="s">
        <v>88</v>
      </c>
      <c r="D277" s="836" t="s">
        <v>94</v>
      </c>
      <c r="E277" s="1032" t="s">
        <v>678</v>
      </c>
      <c r="F277" s="3"/>
    </row>
    <row r="278" spans="1:6" ht="15" customHeight="1">
      <c r="A278" t="s">
        <v>2301</v>
      </c>
      <c r="B278" t="s">
        <v>2302</v>
      </c>
      <c r="C278" s="836" t="s">
        <v>148</v>
      </c>
      <c r="D278" s="836" t="s">
        <v>149</v>
      </c>
      <c r="E278" s="1032" t="s">
        <v>678</v>
      </c>
      <c r="F278" s="3"/>
    </row>
    <row r="279" spans="1:6" ht="15" customHeight="1">
      <c r="A279" t="s">
        <v>2305</v>
      </c>
      <c r="B279" t="s">
        <v>2306</v>
      </c>
      <c r="C279" s="836" t="s">
        <v>148</v>
      </c>
      <c r="D279" s="836" t="s">
        <v>150</v>
      </c>
      <c r="E279" s="1032" t="s">
        <v>678</v>
      </c>
      <c r="F279" s="3"/>
    </row>
    <row r="280" spans="1:6" ht="15" customHeight="1">
      <c r="A280" t="s">
        <v>2309</v>
      </c>
      <c r="B280" t="s">
        <v>2310</v>
      </c>
      <c r="C280" s="836" t="s">
        <v>148</v>
      </c>
      <c r="D280" s="836" t="s">
        <v>1094</v>
      </c>
      <c r="E280" s="1032" t="s">
        <v>678</v>
      </c>
      <c r="F280" s="3"/>
    </row>
    <row r="281" spans="1:6" ht="15" customHeight="1">
      <c r="A281" t="s">
        <v>2313</v>
      </c>
      <c r="B281" t="s">
        <v>2314</v>
      </c>
      <c r="C281" s="836" t="s">
        <v>148</v>
      </c>
      <c r="D281" s="836" t="s">
        <v>150</v>
      </c>
      <c r="E281" s="1032" t="s">
        <v>678</v>
      </c>
      <c r="F281" s="3"/>
    </row>
    <row r="282" spans="1:6" ht="15" customHeight="1">
      <c r="A282" t="s">
        <v>2318</v>
      </c>
      <c r="B282" t="s">
        <v>2319</v>
      </c>
      <c r="C282" s="836" t="s">
        <v>88</v>
      </c>
      <c r="D282" s="836" t="s">
        <v>2709</v>
      </c>
      <c r="E282" s="1032"/>
      <c r="F282" s="3"/>
    </row>
    <row r="283" spans="1:6" ht="15" customHeight="1">
      <c r="A283" t="s">
        <v>2320</v>
      </c>
      <c r="B283" t="s">
        <v>2244</v>
      </c>
      <c r="C283" s="836" t="s">
        <v>88</v>
      </c>
      <c r="D283" s="836" t="s">
        <v>93</v>
      </c>
      <c r="E283" s="1032" t="s">
        <v>678</v>
      </c>
      <c r="F283" s="3"/>
    </row>
    <row r="284" spans="1:6" ht="15" customHeight="1">
      <c r="A284" t="s">
        <v>2321</v>
      </c>
      <c r="B284" t="s">
        <v>2322</v>
      </c>
      <c r="C284" s="836" t="s">
        <v>148</v>
      </c>
      <c r="D284" s="836" t="s">
        <v>152</v>
      </c>
      <c r="E284" s="1032" t="s">
        <v>678</v>
      </c>
      <c r="F284" s="3"/>
    </row>
    <row r="285" spans="1:6" ht="15" customHeight="1">
      <c r="A285" t="s">
        <v>2323</v>
      </c>
      <c r="B285" t="s">
        <v>2324</v>
      </c>
      <c r="C285" s="836" t="s">
        <v>148</v>
      </c>
      <c r="D285" s="836" t="s">
        <v>152</v>
      </c>
      <c r="E285" s="1032" t="s">
        <v>678</v>
      </c>
      <c r="F285" s="3"/>
    </row>
    <row r="286" spans="1:6" ht="15" customHeight="1">
      <c r="A286" t="s">
        <v>2326</v>
      </c>
      <c r="B286" t="s">
        <v>2327</v>
      </c>
      <c r="C286" s="836" t="s">
        <v>148</v>
      </c>
      <c r="D286" s="836" t="s">
        <v>100</v>
      </c>
      <c r="E286" s="1032" t="s">
        <v>678</v>
      </c>
      <c r="F286" s="3"/>
    </row>
    <row r="287" spans="1:6" ht="15" customHeight="1">
      <c r="A287" t="s">
        <v>2342</v>
      </c>
      <c r="B287" t="s">
        <v>2343</v>
      </c>
      <c r="C287" s="836" t="s">
        <v>148</v>
      </c>
      <c r="D287" s="836" t="s">
        <v>102</v>
      </c>
      <c r="E287" s="1032" t="s">
        <v>678</v>
      </c>
      <c r="F287" s="3"/>
    </row>
    <row r="288" spans="1:6" ht="15" customHeight="1">
      <c r="A288" t="s">
        <v>2344</v>
      </c>
      <c r="B288" t="s">
        <v>2345</v>
      </c>
      <c r="C288" s="836" t="s">
        <v>148</v>
      </c>
      <c r="D288" s="836" t="s">
        <v>102</v>
      </c>
      <c r="E288" s="1032" t="s">
        <v>678</v>
      </c>
      <c r="F288" s="3"/>
    </row>
    <row r="289" spans="1:6" ht="15" customHeight="1">
      <c r="A289" t="s">
        <v>2346</v>
      </c>
      <c r="B289" t="s">
        <v>2333</v>
      </c>
      <c r="C289" s="836" t="s">
        <v>148</v>
      </c>
      <c r="D289" s="836" t="s">
        <v>101</v>
      </c>
      <c r="E289" s="1032" t="s">
        <v>678</v>
      </c>
      <c r="F289" s="3"/>
    </row>
    <row r="290" spans="1:6" ht="15" customHeight="1">
      <c r="A290" t="s">
        <v>2347</v>
      </c>
      <c r="B290" t="s">
        <v>2348</v>
      </c>
      <c r="C290" s="836" t="s">
        <v>148</v>
      </c>
      <c r="D290" s="836" t="s">
        <v>102</v>
      </c>
      <c r="E290" s="1032" t="s">
        <v>678</v>
      </c>
      <c r="F290" s="3"/>
    </row>
    <row r="291" spans="1:6" ht="15" customHeight="1">
      <c r="A291" t="s">
        <v>2349</v>
      </c>
      <c r="B291" t="s">
        <v>2281</v>
      </c>
      <c r="C291" s="836" t="s">
        <v>148</v>
      </c>
      <c r="D291" s="836" t="s">
        <v>102</v>
      </c>
      <c r="E291" s="1032" t="s">
        <v>678</v>
      </c>
      <c r="F291" s="3"/>
    </row>
    <row r="292" spans="1:6" ht="15" customHeight="1">
      <c r="A292" t="s">
        <v>2352</v>
      </c>
      <c r="B292" t="s">
        <v>2353</v>
      </c>
      <c r="C292" s="836" t="s">
        <v>88</v>
      </c>
      <c r="D292" s="836" t="s">
        <v>94</v>
      </c>
      <c r="E292" s="1032" t="s">
        <v>678</v>
      </c>
      <c r="F292" s="3"/>
    </row>
    <row r="293" spans="1:6" ht="15" customHeight="1">
      <c r="A293" t="s">
        <v>2354</v>
      </c>
      <c r="B293" t="s">
        <v>2355</v>
      </c>
      <c r="C293" s="836" t="s">
        <v>88</v>
      </c>
      <c r="D293" s="836" t="s">
        <v>2712</v>
      </c>
      <c r="E293" s="1032" t="s">
        <v>678</v>
      </c>
      <c r="F293" s="3"/>
    </row>
    <row r="294" spans="1:6" ht="15" customHeight="1">
      <c r="A294" t="s">
        <v>2356</v>
      </c>
      <c r="B294" t="s">
        <v>2357</v>
      </c>
      <c r="C294" s="836" t="s">
        <v>88</v>
      </c>
      <c r="D294" s="836" t="s">
        <v>2712</v>
      </c>
      <c r="E294" s="1032" t="s">
        <v>678</v>
      </c>
      <c r="F294" s="3"/>
    </row>
    <row r="295" spans="1:6" ht="15" customHeight="1">
      <c r="A295" t="s">
        <v>2359</v>
      </c>
      <c r="B295" t="s">
        <v>2360</v>
      </c>
      <c r="C295" s="836" t="s">
        <v>88</v>
      </c>
      <c r="D295" s="836" t="s">
        <v>2712</v>
      </c>
      <c r="E295" s="1032" t="s">
        <v>678</v>
      </c>
      <c r="F295" s="3"/>
    </row>
    <row r="296" spans="1:6" ht="15" customHeight="1">
      <c r="A296" t="s">
        <v>2361</v>
      </c>
      <c r="B296" t="s">
        <v>2362</v>
      </c>
      <c r="C296" s="836" t="s">
        <v>176</v>
      </c>
      <c r="D296" s="836" t="s">
        <v>183</v>
      </c>
      <c r="E296" s="1032" t="s">
        <v>678</v>
      </c>
      <c r="F296" s="3"/>
    </row>
    <row r="297" spans="1:6" ht="15" customHeight="1">
      <c r="A297" t="s">
        <v>2364</v>
      </c>
      <c r="B297" t="s">
        <v>2365</v>
      </c>
      <c r="C297" s="836" t="s">
        <v>176</v>
      </c>
      <c r="D297" s="836" t="s">
        <v>182</v>
      </c>
      <c r="E297" s="1032" t="s">
        <v>678</v>
      </c>
      <c r="F297" s="3"/>
    </row>
    <row r="298" spans="1:6" ht="15" customHeight="1">
      <c r="A298" t="s">
        <v>2366</v>
      </c>
      <c r="B298" t="s">
        <v>2367</v>
      </c>
      <c r="C298" s="836" t="s">
        <v>176</v>
      </c>
      <c r="D298" s="836" t="s">
        <v>182</v>
      </c>
      <c r="E298" s="1032" t="s">
        <v>678</v>
      </c>
      <c r="F298" s="3"/>
    </row>
    <row r="299" spans="1:6" ht="15" customHeight="1">
      <c r="A299" t="s">
        <v>2368</v>
      </c>
      <c r="B299" t="s">
        <v>2369</v>
      </c>
      <c r="C299" s="836" t="s">
        <v>176</v>
      </c>
      <c r="D299" s="836" t="s">
        <v>178</v>
      </c>
      <c r="E299" s="1032" t="s">
        <v>678</v>
      </c>
      <c r="F299" s="3"/>
    </row>
    <row r="300" spans="1:6" ht="15" customHeight="1">
      <c r="A300" t="s">
        <v>2374</v>
      </c>
      <c r="B300" t="s">
        <v>2375</v>
      </c>
      <c r="C300" s="836" t="s">
        <v>176</v>
      </c>
      <c r="D300" s="836" t="s">
        <v>180</v>
      </c>
      <c r="E300" s="1032" t="s">
        <v>678</v>
      </c>
      <c r="F300" s="3"/>
    </row>
    <row r="301" spans="1:6" ht="15" customHeight="1">
      <c r="A301" t="s">
        <v>2376</v>
      </c>
      <c r="B301" t="s">
        <v>2377</v>
      </c>
      <c r="C301" s="836" t="s">
        <v>176</v>
      </c>
      <c r="D301" s="836" t="s">
        <v>181</v>
      </c>
      <c r="E301" s="1032" t="s">
        <v>678</v>
      </c>
      <c r="F301" s="3"/>
    </row>
    <row r="302" spans="1:6" ht="15" customHeight="1">
      <c r="A302" t="s">
        <v>2380</v>
      </c>
      <c r="B302" t="s">
        <v>2381</v>
      </c>
      <c r="C302" s="836" t="s">
        <v>176</v>
      </c>
      <c r="D302" s="836" t="s">
        <v>187</v>
      </c>
      <c r="E302" s="1032" t="s">
        <v>678</v>
      </c>
      <c r="F302" s="3"/>
    </row>
    <row r="303" spans="1:6" ht="15" customHeight="1">
      <c r="A303" t="s">
        <v>2388</v>
      </c>
      <c r="B303" t="s">
        <v>2389</v>
      </c>
      <c r="C303" s="836" t="s">
        <v>157</v>
      </c>
      <c r="D303" s="836" t="s">
        <v>160</v>
      </c>
      <c r="E303" s="1032" t="s">
        <v>678</v>
      </c>
      <c r="F303" s="3"/>
    </row>
    <row r="304" spans="1:6" ht="15" customHeight="1">
      <c r="A304" t="s">
        <v>2394</v>
      </c>
      <c r="B304" t="s">
        <v>2395</v>
      </c>
      <c r="C304" s="836" t="s">
        <v>157</v>
      </c>
      <c r="D304" s="836" t="s">
        <v>162</v>
      </c>
      <c r="E304" s="1032" t="s">
        <v>678</v>
      </c>
      <c r="F304" s="3"/>
    </row>
    <row r="305" spans="1:6" ht="15" customHeight="1">
      <c r="A305" t="s">
        <v>2396</v>
      </c>
      <c r="B305" t="s">
        <v>2397</v>
      </c>
      <c r="C305" s="836" t="s">
        <v>157</v>
      </c>
      <c r="D305" s="836" t="s">
        <v>163</v>
      </c>
      <c r="E305" s="1032" t="s">
        <v>678</v>
      </c>
      <c r="F305" s="3"/>
    </row>
    <row r="306" spans="1:6" ht="15" customHeight="1">
      <c r="A306" t="s">
        <v>2412</v>
      </c>
      <c r="B306" t="s">
        <v>2413</v>
      </c>
      <c r="C306" s="836" t="s">
        <v>157</v>
      </c>
      <c r="D306" s="836" t="s">
        <v>168</v>
      </c>
      <c r="E306" s="1032" t="s">
        <v>678</v>
      </c>
      <c r="F306" s="3"/>
    </row>
    <row r="307" spans="1:6" ht="15" customHeight="1">
      <c r="A307" t="s">
        <v>2418</v>
      </c>
      <c r="B307" t="s">
        <v>2419</v>
      </c>
      <c r="C307" s="836" t="s">
        <v>176</v>
      </c>
      <c r="D307" s="836" t="s">
        <v>188</v>
      </c>
      <c r="E307" s="1032" t="s">
        <v>678</v>
      </c>
      <c r="F307" s="3"/>
    </row>
    <row r="308" spans="1:6" ht="15" customHeight="1">
      <c r="A308" t="s">
        <v>2420</v>
      </c>
      <c r="B308" t="s">
        <v>2421</v>
      </c>
      <c r="C308" s="836" t="s">
        <v>176</v>
      </c>
      <c r="D308" s="836" t="s">
        <v>188</v>
      </c>
      <c r="E308" s="1032" t="s">
        <v>678</v>
      </c>
      <c r="F308" s="3"/>
    </row>
    <row r="309" spans="1:6" ht="15" customHeight="1">
      <c r="A309" t="s">
        <v>2445</v>
      </c>
      <c r="B309" t="s">
        <v>2446</v>
      </c>
      <c r="C309" s="836" t="s">
        <v>88</v>
      </c>
      <c r="D309" s="836" t="s">
        <v>94</v>
      </c>
      <c r="E309" s="1032"/>
      <c r="F309" s="3"/>
    </row>
    <row r="310" spans="1:6" ht="15" customHeight="1">
      <c r="A310" t="s">
        <v>2449</v>
      </c>
      <c r="B310" t="s">
        <v>2450</v>
      </c>
      <c r="C310" s="836" t="s">
        <v>88</v>
      </c>
      <c r="D310" s="836" t="s">
        <v>94</v>
      </c>
      <c r="E310" s="1032"/>
      <c r="F310" s="3"/>
    </row>
    <row r="311" spans="1:6" ht="15" customHeight="1">
      <c r="A311" t="s">
        <v>2459</v>
      </c>
      <c r="B311" t="s">
        <v>2460</v>
      </c>
      <c r="C311" s="836" t="s">
        <v>88</v>
      </c>
      <c r="D311" s="836" t="s">
        <v>93</v>
      </c>
      <c r="E311" s="1032"/>
      <c r="F311" s="3"/>
    </row>
    <row r="312" spans="1:6" ht="15" customHeight="1">
      <c r="A312" t="s">
        <v>2465</v>
      </c>
      <c r="B312" t="s">
        <v>2466</v>
      </c>
      <c r="C312" s="836" t="s">
        <v>88</v>
      </c>
      <c r="D312" s="836" t="s">
        <v>93</v>
      </c>
      <c r="E312" s="1032"/>
      <c r="F312" s="3"/>
    </row>
    <row r="313" spans="1:6" ht="15" customHeight="1">
      <c r="A313" t="s">
        <v>2470</v>
      </c>
      <c r="B313" t="s">
        <v>2471</v>
      </c>
      <c r="C313" s="836" t="s">
        <v>88</v>
      </c>
      <c r="D313" s="836" t="s">
        <v>2712</v>
      </c>
      <c r="E313" s="1032"/>
      <c r="F313" s="3"/>
    </row>
    <row r="314" spans="1:6" ht="15" customHeight="1">
      <c r="A314" t="s">
        <v>2472</v>
      </c>
      <c r="B314" t="s">
        <v>2473</v>
      </c>
      <c r="C314" s="836" t="s">
        <v>88</v>
      </c>
      <c r="D314" s="836" t="s">
        <v>2712</v>
      </c>
      <c r="E314" s="1032"/>
      <c r="F314" s="3"/>
    </row>
    <row r="315" spans="1:6" ht="15" customHeight="1">
      <c r="A315" t="s">
        <v>2474</v>
      </c>
      <c r="B315" t="s">
        <v>2475</v>
      </c>
      <c r="C315" s="836" t="s">
        <v>88</v>
      </c>
      <c r="D315" s="836" t="s">
        <v>94</v>
      </c>
      <c r="E315" s="1032"/>
      <c r="F315" s="3"/>
    </row>
    <row r="316" spans="1:6" ht="15" customHeight="1">
      <c r="A316" t="s">
        <v>2476</v>
      </c>
      <c r="B316" t="s">
        <v>2477</v>
      </c>
      <c r="C316" s="836" t="s">
        <v>88</v>
      </c>
      <c r="D316" s="836" t="s">
        <v>2712</v>
      </c>
      <c r="E316" s="1032"/>
      <c r="F316" s="3"/>
    </row>
    <row r="317" spans="1:6" ht="15" customHeight="1">
      <c r="A317" t="s">
        <v>2478</v>
      </c>
      <c r="B317" t="s">
        <v>2479</v>
      </c>
      <c r="C317" s="836" t="s">
        <v>88</v>
      </c>
      <c r="D317" s="836" t="s">
        <v>93</v>
      </c>
      <c r="E317" s="1032"/>
      <c r="F317" s="3"/>
    </row>
    <row r="318" spans="1:6" ht="15" customHeight="1">
      <c r="A318" t="s">
        <v>2484</v>
      </c>
      <c r="B318" t="s">
        <v>2485</v>
      </c>
      <c r="C318" s="836" t="s">
        <v>88</v>
      </c>
      <c r="D318" s="836" t="s">
        <v>94</v>
      </c>
      <c r="E318" s="1032"/>
      <c r="F318" s="3"/>
    </row>
    <row r="319" spans="1:6" ht="15" customHeight="1">
      <c r="A319" t="s">
        <v>2486</v>
      </c>
      <c r="B319" t="s">
        <v>2487</v>
      </c>
      <c r="C319" s="836" t="s">
        <v>88</v>
      </c>
      <c r="D319" s="836" t="s">
        <v>94</v>
      </c>
      <c r="E319" s="1032"/>
      <c r="F319" s="3"/>
    </row>
    <row r="320" spans="1:6" ht="15" customHeight="1">
      <c r="A320" t="s">
        <v>2488</v>
      </c>
      <c r="B320" t="s">
        <v>2489</v>
      </c>
      <c r="C320" s="836" t="s">
        <v>88</v>
      </c>
      <c r="D320" s="836" t="s">
        <v>2712</v>
      </c>
      <c r="E320" s="1032"/>
      <c r="F320" s="3"/>
    </row>
    <row r="321" spans="1:6" ht="15" customHeight="1">
      <c r="A321" t="s">
        <v>2492</v>
      </c>
      <c r="B321" t="s">
        <v>2493</v>
      </c>
      <c r="C321" s="836" t="s">
        <v>88</v>
      </c>
      <c r="D321" s="836" t="s">
        <v>102</v>
      </c>
      <c r="E321" s="1032"/>
      <c r="F321" s="3"/>
    </row>
    <row r="322" spans="1:6" ht="15" customHeight="1">
      <c r="A322" t="s">
        <v>2494</v>
      </c>
      <c r="B322" t="s">
        <v>2495</v>
      </c>
      <c r="C322" s="836" t="s">
        <v>88</v>
      </c>
      <c r="D322" s="836" t="s">
        <v>102</v>
      </c>
      <c r="E322" s="1032"/>
      <c r="F322" s="3"/>
    </row>
    <row r="323" spans="1:6" ht="15" customHeight="1">
      <c r="A323" t="s">
        <v>2498</v>
      </c>
      <c r="B323" t="s">
        <v>2497</v>
      </c>
      <c r="C323" s="836" t="s">
        <v>88</v>
      </c>
      <c r="D323" s="836" t="s">
        <v>102</v>
      </c>
      <c r="E323" s="1032"/>
      <c r="F323" s="3"/>
    </row>
    <row r="324" spans="1:6" ht="15" customHeight="1">
      <c r="A324" t="s">
        <v>2499</v>
      </c>
      <c r="B324" t="s">
        <v>2500</v>
      </c>
      <c r="C324" s="836" t="s">
        <v>88</v>
      </c>
      <c r="D324" s="836" t="s">
        <v>101</v>
      </c>
      <c r="E324" s="1032"/>
      <c r="F324" s="3"/>
    </row>
    <row r="325" spans="1:6" ht="15" customHeight="1">
      <c r="A325" t="s">
        <v>2501</v>
      </c>
      <c r="B325" t="s">
        <v>2502</v>
      </c>
      <c r="C325" s="836" t="s">
        <v>88</v>
      </c>
      <c r="D325" s="836" t="s">
        <v>102</v>
      </c>
      <c r="E325" s="1032"/>
      <c r="F325" s="3"/>
    </row>
    <row r="326" spans="1:6" ht="15" customHeight="1">
      <c r="A326" t="s">
        <v>2505</v>
      </c>
      <c r="B326" t="s">
        <v>2506</v>
      </c>
      <c r="C326" s="836" t="s">
        <v>88</v>
      </c>
      <c r="D326" s="836" t="s">
        <v>102</v>
      </c>
      <c r="E326" s="1032"/>
      <c r="F326" s="3"/>
    </row>
    <row r="327" spans="1:6" ht="15" customHeight="1">
      <c r="A327" t="s">
        <v>2507</v>
      </c>
      <c r="B327" t="s">
        <v>2508</v>
      </c>
      <c r="C327" s="836" t="s">
        <v>88</v>
      </c>
      <c r="D327" s="836" t="s">
        <v>99</v>
      </c>
      <c r="E327" s="1032"/>
      <c r="F327" s="3"/>
    </row>
    <row r="328" spans="1:6" ht="15" customHeight="1">
      <c r="A328" t="s">
        <v>2509</v>
      </c>
      <c r="B328" t="s">
        <v>2510</v>
      </c>
      <c r="C328" s="836" t="s">
        <v>88</v>
      </c>
      <c r="D328" s="836" t="s">
        <v>99</v>
      </c>
      <c r="E328" s="1032"/>
      <c r="F328" s="3"/>
    </row>
    <row r="329" spans="1:6" ht="15" customHeight="1">
      <c r="A329" t="s">
        <v>2511</v>
      </c>
      <c r="B329" t="s">
        <v>2512</v>
      </c>
      <c r="C329" s="836" t="s">
        <v>148</v>
      </c>
      <c r="D329" s="836" t="s">
        <v>100</v>
      </c>
      <c r="E329" s="1032"/>
      <c r="F329" s="3"/>
    </row>
    <row r="330" spans="1:6" ht="15" customHeight="1">
      <c r="A330" t="s">
        <v>2513</v>
      </c>
      <c r="B330" t="s">
        <v>2514</v>
      </c>
      <c r="C330" s="836" t="s">
        <v>88</v>
      </c>
      <c r="D330" s="836" t="s">
        <v>94</v>
      </c>
      <c r="E330" s="1032"/>
      <c r="F330" s="3"/>
    </row>
    <row r="331" spans="1:6" ht="15" customHeight="1">
      <c r="A331" t="s">
        <v>2515</v>
      </c>
      <c r="B331" t="s">
        <v>2516</v>
      </c>
      <c r="C331" s="836" t="s">
        <v>88</v>
      </c>
      <c r="D331" s="836" t="s">
        <v>94</v>
      </c>
      <c r="E331" s="1032"/>
      <c r="F331" s="3"/>
    </row>
    <row r="332" spans="1:6" ht="15" customHeight="1">
      <c r="A332" t="s">
        <v>2517</v>
      </c>
      <c r="B332" t="s">
        <v>2518</v>
      </c>
      <c r="C332" s="836" t="s">
        <v>148</v>
      </c>
      <c r="D332" s="836" t="s">
        <v>149</v>
      </c>
      <c r="E332" s="1032"/>
      <c r="F332" s="3"/>
    </row>
    <row r="333" spans="1:6" ht="15" customHeight="1">
      <c r="A333" t="s">
        <v>2519</v>
      </c>
      <c r="B333" t="s">
        <v>2520</v>
      </c>
      <c r="C333" s="836" t="s">
        <v>148</v>
      </c>
      <c r="D333" s="836" t="s">
        <v>149</v>
      </c>
      <c r="E333" s="1032"/>
      <c r="F333" s="3"/>
    </row>
    <row r="334" spans="1:6" ht="15" customHeight="1">
      <c r="A334" t="s">
        <v>2522</v>
      </c>
      <c r="B334" t="s">
        <v>2523</v>
      </c>
      <c r="C334" s="836" t="s">
        <v>148</v>
      </c>
      <c r="D334" s="836" t="s">
        <v>150</v>
      </c>
      <c r="E334" s="1032"/>
      <c r="F334" s="3"/>
    </row>
    <row r="335" spans="1:6" ht="15" customHeight="1">
      <c r="A335" t="s">
        <v>2524</v>
      </c>
      <c r="B335" t="s">
        <v>2308</v>
      </c>
      <c r="C335" s="836" t="s">
        <v>148</v>
      </c>
      <c r="D335" s="836" t="s">
        <v>150</v>
      </c>
      <c r="E335" s="1032"/>
      <c r="F335" s="3"/>
    </row>
    <row r="336" spans="1:6" ht="15" customHeight="1">
      <c r="A336" t="s">
        <v>2525</v>
      </c>
      <c r="B336" t="s">
        <v>2526</v>
      </c>
      <c r="C336" s="836" t="s">
        <v>148</v>
      </c>
      <c r="D336" s="836" t="s">
        <v>1094</v>
      </c>
      <c r="E336" s="1032"/>
      <c r="F336" s="3"/>
    </row>
    <row r="337" spans="1:6" ht="15" customHeight="1">
      <c r="A337" t="s">
        <v>2527</v>
      </c>
      <c r="B337" t="s">
        <v>2312</v>
      </c>
      <c r="C337" s="836" t="s">
        <v>148</v>
      </c>
      <c r="D337" s="836" t="s">
        <v>1094</v>
      </c>
      <c r="E337" s="1032"/>
      <c r="F337" s="3"/>
    </row>
    <row r="338" spans="1:6" ht="15" customHeight="1">
      <c r="A338" t="s">
        <v>2528</v>
      </c>
      <c r="B338" t="s">
        <v>2529</v>
      </c>
      <c r="C338" s="836" t="s">
        <v>148</v>
      </c>
      <c r="D338" s="836" t="s">
        <v>150</v>
      </c>
      <c r="E338" s="1032"/>
      <c r="F338" s="3"/>
    </row>
    <row r="339" spans="1:6" ht="15" customHeight="1">
      <c r="A339" t="s">
        <v>2530</v>
      </c>
      <c r="B339" t="s">
        <v>2531</v>
      </c>
      <c r="C339" s="836" t="s">
        <v>88</v>
      </c>
      <c r="D339" s="836" t="s">
        <v>2709</v>
      </c>
      <c r="E339" s="1032"/>
      <c r="F339" s="3"/>
    </row>
    <row r="340" spans="1:6" ht="15" customHeight="1">
      <c r="A340" t="s">
        <v>2532</v>
      </c>
      <c r="B340" t="s">
        <v>2460</v>
      </c>
      <c r="C340" s="836" t="s">
        <v>88</v>
      </c>
      <c r="D340" s="836" t="s">
        <v>93</v>
      </c>
      <c r="E340" s="1032"/>
      <c r="F340" s="3"/>
    </row>
    <row r="341" spans="1:6" ht="15" customHeight="1">
      <c r="A341" t="s">
        <v>2533</v>
      </c>
      <c r="B341" t="s">
        <v>2534</v>
      </c>
      <c r="C341" s="836" t="s">
        <v>148</v>
      </c>
      <c r="D341" s="836" t="s">
        <v>152</v>
      </c>
      <c r="E341" s="1032"/>
      <c r="F341" s="3"/>
    </row>
    <row r="342" spans="1:6" ht="15" customHeight="1">
      <c r="A342" t="s">
        <v>2535</v>
      </c>
      <c r="B342" t="s">
        <v>2536</v>
      </c>
      <c r="C342" s="836" t="s">
        <v>148</v>
      </c>
      <c r="D342" s="836" t="s">
        <v>152</v>
      </c>
      <c r="E342" s="1032"/>
      <c r="F342" s="3"/>
    </row>
    <row r="343" spans="1:6" ht="15" customHeight="1">
      <c r="A343" t="s">
        <v>2539</v>
      </c>
      <c r="B343" t="s">
        <v>2540</v>
      </c>
      <c r="C343" s="836" t="s">
        <v>148</v>
      </c>
      <c r="D343" s="836" t="s">
        <v>100</v>
      </c>
      <c r="E343" s="1032"/>
      <c r="F343" s="3"/>
    </row>
    <row r="344" spans="1:6" ht="15" customHeight="1">
      <c r="A344" t="s">
        <v>2555</v>
      </c>
      <c r="B344" t="s">
        <v>2556</v>
      </c>
      <c r="C344" s="836" t="s">
        <v>148</v>
      </c>
      <c r="D344" s="836" t="s">
        <v>102</v>
      </c>
      <c r="E344" s="1032"/>
      <c r="F344" s="3"/>
    </row>
    <row r="345" spans="1:6" ht="15" customHeight="1">
      <c r="A345" t="s">
        <v>2557</v>
      </c>
      <c r="B345" t="s">
        <v>2558</v>
      </c>
      <c r="C345" s="836" t="s">
        <v>148</v>
      </c>
      <c r="D345" s="836" t="s">
        <v>102</v>
      </c>
      <c r="E345" s="1032"/>
      <c r="F345" s="3"/>
    </row>
    <row r="346" spans="1:6" ht="15" customHeight="1">
      <c r="A346" t="s">
        <v>2559</v>
      </c>
      <c r="B346" t="s">
        <v>2560</v>
      </c>
      <c r="C346" s="836" t="s">
        <v>148</v>
      </c>
      <c r="D346" s="836" t="s">
        <v>101</v>
      </c>
      <c r="E346" s="1032"/>
      <c r="F346" s="3"/>
    </row>
    <row r="347" spans="1:6" ht="15" customHeight="1">
      <c r="A347" t="s">
        <v>2561</v>
      </c>
      <c r="B347" t="s">
        <v>2562</v>
      </c>
      <c r="C347" s="836" t="s">
        <v>148</v>
      </c>
      <c r="D347" s="836" t="s">
        <v>102</v>
      </c>
      <c r="E347" s="1032"/>
      <c r="F347" s="3"/>
    </row>
    <row r="348" spans="1:6" ht="15" customHeight="1">
      <c r="A348" t="s">
        <v>2563</v>
      </c>
      <c r="B348" t="s">
        <v>2497</v>
      </c>
      <c r="C348" s="836" t="s">
        <v>148</v>
      </c>
      <c r="D348" s="836" t="s">
        <v>102</v>
      </c>
      <c r="E348" s="1032"/>
      <c r="F348" s="3"/>
    </row>
    <row r="349" spans="1:6" ht="15" customHeight="1">
      <c r="A349" t="s">
        <v>2565</v>
      </c>
      <c r="B349" t="s">
        <v>2566</v>
      </c>
      <c r="C349" s="836" t="s">
        <v>88</v>
      </c>
      <c r="D349" s="836" t="s">
        <v>94</v>
      </c>
      <c r="E349" s="1032"/>
      <c r="F349" s="3"/>
    </row>
    <row r="350" spans="1:6" ht="15" customHeight="1">
      <c r="A350" t="s">
        <v>2567</v>
      </c>
      <c r="B350" t="s">
        <v>2568</v>
      </c>
      <c r="C350" s="836" t="s">
        <v>88</v>
      </c>
      <c r="D350" s="836" t="s">
        <v>2712</v>
      </c>
      <c r="E350" s="1032"/>
      <c r="F350" s="3"/>
    </row>
    <row r="351" spans="1:6" ht="15" customHeight="1">
      <c r="A351" t="s">
        <v>2569</v>
      </c>
      <c r="B351" t="s">
        <v>2570</v>
      </c>
      <c r="C351" s="836" t="s">
        <v>88</v>
      </c>
      <c r="D351" s="836" t="s">
        <v>2712</v>
      </c>
      <c r="E351" s="1032"/>
      <c r="F351" s="3"/>
    </row>
    <row r="352" spans="1:6" ht="15" customHeight="1">
      <c r="A352" t="s">
        <v>2572</v>
      </c>
      <c r="B352" t="s">
        <v>2573</v>
      </c>
      <c r="C352" s="836" t="s">
        <v>88</v>
      </c>
      <c r="D352" s="836" t="s">
        <v>2712</v>
      </c>
      <c r="E352" s="1032"/>
      <c r="F352" s="3"/>
    </row>
    <row r="353" spans="1:6" ht="15" customHeight="1">
      <c r="A353" t="s">
        <v>2574</v>
      </c>
      <c r="B353" t="s">
        <v>2575</v>
      </c>
      <c r="C353" s="836" t="s">
        <v>176</v>
      </c>
      <c r="D353" s="836" t="s">
        <v>183</v>
      </c>
      <c r="E353" s="1032"/>
      <c r="F353" s="3"/>
    </row>
    <row r="354" spans="1:6" ht="15" customHeight="1">
      <c r="A354" t="s">
        <v>2576</v>
      </c>
      <c r="B354" t="s">
        <v>2577</v>
      </c>
      <c r="C354" s="836" t="s">
        <v>176</v>
      </c>
      <c r="D354" s="836" t="s">
        <v>182</v>
      </c>
      <c r="E354" s="1032"/>
      <c r="F354" s="3"/>
    </row>
    <row r="355" spans="1:6" ht="15" customHeight="1">
      <c r="A355" t="s">
        <v>2578</v>
      </c>
      <c r="B355" t="s">
        <v>2579</v>
      </c>
      <c r="C355" s="836" t="s">
        <v>176</v>
      </c>
      <c r="D355" s="836" t="s">
        <v>182</v>
      </c>
      <c r="E355" s="1032"/>
      <c r="F355" s="3"/>
    </row>
    <row r="356" spans="1:6" ht="15" customHeight="1">
      <c r="A356" t="s">
        <v>2580</v>
      </c>
      <c r="B356" t="s">
        <v>2581</v>
      </c>
      <c r="C356" s="836" t="s">
        <v>176</v>
      </c>
      <c r="D356" s="836" t="s">
        <v>178</v>
      </c>
      <c r="E356" s="1032"/>
      <c r="F356" s="3"/>
    </row>
    <row r="357" spans="1:6" ht="15" customHeight="1">
      <c r="A357" t="s">
        <v>2586</v>
      </c>
      <c r="B357" t="s">
        <v>2587</v>
      </c>
      <c r="C357" s="836" t="s">
        <v>176</v>
      </c>
      <c r="D357" s="836" t="s">
        <v>180</v>
      </c>
      <c r="E357" s="1032"/>
      <c r="F357" s="3"/>
    </row>
    <row r="358" spans="1:6" ht="15" customHeight="1">
      <c r="A358" t="s">
        <v>2588</v>
      </c>
      <c r="B358" t="s">
        <v>2589</v>
      </c>
      <c r="C358" s="836" t="s">
        <v>176</v>
      </c>
      <c r="D358" s="836" t="s">
        <v>181</v>
      </c>
      <c r="E358" s="1032"/>
      <c r="F358" s="3"/>
    </row>
    <row r="359" spans="1:6" ht="15" customHeight="1">
      <c r="A359" t="s">
        <v>2592</v>
      </c>
      <c r="B359" t="s">
        <v>2593</v>
      </c>
      <c r="C359" s="836" t="s">
        <v>176</v>
      </c>
      <c r="D359" s="836" t="s">
        <v>187</v>
      </c>
      <c r="E359" s="1032"/>
      <c r="F359" s="3"/>
    </row>
    <row r="360" spans="1:6" ht="15" customHeight="1">
      <c r="A360" t="s">
        <v>2594</v>
      </c>
      <c r="B360" t="s">
        <v>2383</v>
      </c>
      <c r="C360" s="836" t="s">
        <v>176</v>
      </c>
      <c r="D360" s="836" t="s">
        <v>184</v>
      </c>
      <c r="E360" s="1032"/>
      <c r="F360" s="3"/>
    </row>
    <row r="361" spans="1:6" ht="15" customHeight="1">
      <c r="A361" t="s">
        <v>2595</v>
      </c>
      <c r="B361" t="s">
        <v>2385</v>
      </c>
      <c r="C361" s="836" t="s">
        <v>176</v>
      </c>
      <c r="D361" s="836" t="s">
        <v>185</v>
      </c>
      <c r="E361" s="1032"/>
      <c r="F361" s="3"/>
    </row>
    <row r="362" spans="1:6" ht="15" customHeight="1">
      <c r="A362" t="s">
        <v>2598</v>
      </c>
      <c r="B362" t="s">
        <v>2599</v>
      </c>
      <c r="C362" s="836" t="s">
        <v>157</v>
      </c>
      <c r="D362" s="836" t="s">
        <v>160</v>
      </c>
      <c r="E362" s="1032"/>
      <c r="F362" s="3"/>
    </row>
    <row r="363" spans="1:6" ht="15" customHeight="1">
      <c r="A363" t="s">
        <v>2602</v>
      </c>
      <c r="B363" t="s">
        <v>2603</v>
      </c>
      <c r="C363" s="836" t="s">
        <v>172</v>
      </c>
      <c r="D363" s="836" t="s">
        <v>173</v>
      </c>
      <c r="E363" s="1032"/>
      <c r="F363" s="3"/>
    </row>
    <row r="364" spans="1:6" ht="15" customHeight="1">
      <c r="A364" t="s">
        <v>2604</v>
      </c>
      <c r="B364" t="s">
        <v>2605</v>
      </c>
      <c r="C364" s="836" t="s">
        <v>157</v>
      </c>
      <c r="D364" s="836" t="s">
        <v>162</v>
      </c>
      <c r="E364" s="1032"/>
      <c r="F364" s="3"/>
    </row>
    <row r="365" spans="1:6" ht="15" customHeight="1">
      <c r="A365" t="s">
        <v>2606</v>
      </c>
      <c r="B365" t="s">
        <v>2607</v>
      </c>
      <c r="C365" s="836" t="s">
        <v>157</v>
      </c>
      <c r="D365" s="836" t="s">
        <v>163</v>
      </c>
      <c r="E365" s="1032"/>
      <c r="F365" s="3"/>
    </row>
    <row r="366" spans="1:6" ht="15" customHeight="1">
      <c r="A366" t="s">
        <v>2618</v>
      </c>
      <c r="B366" t="s">
        <v>2619</v>
      </c>
      <c r="C366" s="836" t="s">
        <v>157</v>
      </c>
      <c r="D366" s="836" t="s">
        <v>165</v>
      </c>
      <c r="E366" s="1032"/>
      <c r="F366" s="3"/>
    </row>
    <row r="367" spans="1:6" ht="15" customHeight="1">
      <c r="A367" t="s">
        <v>2622</v>
      </c>
      <c r="B367" t="s">
        <v>2623</v>
      </c>
      <c r="C367" s="836" t="s">
        <v>157</v>
      </c>
      <c r="D367" s="836" t="s">
        <v>168</v>
      </c>
      <c r="E367" s="1032"/>
      <c r="F367" s="3"/>
    </row>
    <row r="368" spans="1:6" ht="15" customHeight="1">
      <c r="A368" t="s">
        <v>2628</v>
      </c>
      <c r="B368" t="s">
        <v>2629</v>
      </c>
      <c r="C368" s="836" t="s">
        <v>176</v>
      </c>
      <c r="D368" s="836" t="s">
        <v>188</v>
      </c>
      <c r="E368" s="1032"/>
      <c r="F368" s="3"/>
    </row>
    <row r="369" spans="1:6" ht="15" customHeight="1">
      <c r="A369" t="s">
        <v>2630</v>
      </c>
      <c r="B369" t="s">
        <v>2631</v>
      </c>
      <c r="C369" s="836" t="s">
        <v>176</v>
      </c>
      <c r="D369" s="836" t="s">
        <v>188</v>
      </c>
      <c r="E369" s="1032"/>
      <c r="F369" s="3"/>
    </row>
    <row r="370" spans="1:6" ht="15" customHeight="1">
      <c r="A370" t="s">
        <v>2649</v>
      </c>
      <c r="B370" t="s">
        <v>2650</v>
      </c>
      <c r="C370" s="836" t="s">
        <v>665</v>
      </c>
      <c r="D370" s="836" t="s">
        <v>1111</v>
      </c>
      <c r="E370" s="836"/>
      <c r="F370" s="3"/>
    </row>
    <row r="371" spans="1:6" ht="15" customHeight="1">
      <c r="A371" t="s">
        <v>2653</v>
      </c>
      <c r="B371" t="s">
        <v>2654</v>
      </c>
      <c r="C371" s="836" t="s">
        <v>88</v>
      </c>
      <c r="D371" s="836" t="s">
        <v>144</v>
      </c>
      <c r="E371" s="836"/>
      <c r="F371" s="3"/>
    </row>
    <row r="372" spans="1:6" ht="15" customHeight="1">
      <c r="A372" t="s">
        <v>2659</v>
      </c>
      <c r="B372" t="s">
        <v>2660</v>
      </c>
      <c r="C372" s="836" t="s">
        <v>665</v>
      </c>
      <c r="D372" s="836" t="s">
        <v>212</v>
      </c>
      <c r="E372" s="836"/>
      <c r="F372" s="3"/>
    </row>
    <row r="373" spans="1:6" ht="15" customHeight="1">
      <c r="A373" t="s">
        <v>2661</v>
      </c>
      <c r="B373" t="s">
        <v>2662</v>
      </c>
      <c r="C373" s="836" t="s">
        <v>665</v>
      </c>
      <c r="D373" s="836" t="s">
        <v>212</v>
      </c>
      <c r="E373" s="836"/>
      <c r="F373" s="3"/>
    </row>
    <row r="374" spans="1:6" ht="15" customHeight="1">
      <c r="A374" t="s">
        <v>2667</v>
      </c>
      <c r="B374" t="s">
        <v>2668</v>
      </c>
      <c r="C374" s="836" t="s">
        <v>665</v>
      </c>
      <c r="D374" s="836" t="s">
        <v>138</v>
      </c>
      <c r="E374" s="836"/>
      <c r="F374" s="3"/>
    </row>
    <row r="375" spans="1:6" ht="15" customHeight="1">
      <c r="A375" t="s">
        <v>2671</v>
      </c>
      <c r="B375" t="s">
        <v>2710</v>
      </c>
      <c r="C375" s="836" t="s">
        <v>665</v>
      </c>
      <c r="D375" s="836" t="s">
        <v>219</v>
      </c>
      <c r="E375" s="836"/>
      <c r="F375" s="3"/>
    </row>
    <row r="376" spans="1:6" ht="15" customHeight="1">
      <c r="A376" t="s">
        <v>2679</v>
      </c>
      <c r="B376" t="s">
        <v>2680</v>
      </c>
      <c r="C376" s="836" t="s">
        <v>665</v>
      </c>
      <c r="D376" s="836" t="s">
        <v>219</v>
      </c>
      <c r="E376" s="836"/>
      <c r="F376" s="3"/>
    </row>
    <row r="377" spans="1:6" ht="15" customHeight="1">
      <c r="A377" t="s">
        <v>2687</v>
      </c>
      <c r="B377" t="s">
        <v>2718</v>
      </c>
      <c r="C377" s="836" t="s">
        <v>665</v>
      </c>
      <c r="D377" s="836" t="s">
        <v>136</v>
      </c>
      <c r="E377" s="836"/>
      <c r="F377" s="3"/>
    </row>
    <row r="378" spans="1:6" ht="15" customHeight="1">
      <c r="A378" t="s">
        <v>2697</v>
      </c>
      <c r="B378" t="s">
        <v>2698</v>
      </c>
      <c r="C378" s="836" t="s">
        <v>665</v>
      </c>
      <c r="D378" s="836" t="s">
        <v>138</v>
      </c>
      <c r="E378" s="836"/>
      <c r="F378" s="3"/>
    </row>
    <row r="379" spans="1:6" ht="15" customHeight="1">
      <c r="B379" t="s">
        <v>2711</v>
      </c>
      <c r="F379" s="3"/>
    </row>
    <row r="380" spans="1:6" ht="15" customHeight="1">
      <c r="F380" s="3"/>
    </row>
    <row r="381" spans="1:6" ht="15" customHeight="1">
      <c r="F381" s="3"/>
    </row>
    <row r="382" spans="1:6" ht="15" customHeight="1">
      <c r="F382" s="3"/>
    </row>
    <row r="383" spans="1:6" ht="15" customHeight="1">
      <c r="F383" s="3"/>
    </row>
    <row r="384" spans="1:6" ht="15" customHeight="1">
      <c r="F384" s="3"/>
    </row>
    <row r="385" spans="6:6" ht="15" customHeight="1">
      <c r="F385" s="3"/>
    </row>
    <row r="386" spans="6:6" ht="15" customHeight="1">
      <c r="F386" s="3"/>
    </row>
    <row r="387" spans="6:6" ht="15" customHeight="1">
      <c r="F387" s="3"/>
    </row>
    <row r="388" spans="6:6" ht="15" customHeight="1">
      <c r="F388" s="3"/>
    </row>
    <row r="389" spans="6:6" ht="15" customHeight="1">
      <c r="F389" s="3"/>
    </row>
    <row r="390" spans="6:6" ht="15" customHeight="1">
      <c r="F390" s="3"/>
    </row>
    <row r="391" spans="6:6" ht="15" customHeight="1">
      <c r="F391" s="3"/>
    </row>
    <row r="392" spans="6:6" ht="15" customHeight="1">
      <c r="F392" s="3"/>
    </row>
    <row r="393" spans="6:6" ht="15" customHeight="1">
      <c r="F393" s="3"/>
    </row>
    <row r="394" spans="6:6" ht="15" customHeight="1">
      <c r="F394" s="3"/>
    </row>
    <row r="395" spans="6:6" ht="15" customHeight="1">
      <c r="F395" s="3"/>
    </row>
    <row r="396" spans="6:6" ht="15" customHeight="1">
      <c r="F396" s="3"/>
    </row>
    <row r="397" spans="6:6" ht="15" customHeight="1">
      <c r="F397" s="3"/>
    </row>
    <row r="398" spans="6:6" ht="15" customHeight="1">
      <c r="F398" s="3"/>
    </row>
    <row r="399" spans="6:6" ht="15" customHeight="1">
      <c r="F399" s="3"/>
    </row>
    <row r="400" spans="6:6" ht="15" customHeight="1">
      <c r="F400" s="3"/>
    </row>
    <row r="401" spans="6:6" ht="15" customHeight="1">
      <c r="F401" s="3"/>
    </row>
    <row r="402" spans="6:6" ht="15" customHeight="1">
      <c r="F402" s="3"/>
    </row>
    <row r="403" spans="6:6" ht="15" customHeight="1">
      <c r="F403" s="3"/>
    </row>
    <row r="404" spans="6:6" ht="15" customHeight="1">
      <c r="F404" s="3"/>
    </row>
    <row r="405" spans="6:6" ht="15" customHeight="1">
      <c r="F405" s="3"/>
    </row>
    <row r="406" spans="6:6" ht="15" customHeight="1">
      <c r="F406" s="3"/>
    </row>
    <row r="407" spans="6:6" ht="15" customHeight="1">
      <c r="F407" s="3"/>
    </row>
    <row r="408" spans="6:6" ht="15" customHeight="1">
      <c r="F408" s="3"/>
    </row>
    <row r="409" spans="6:6" ht="15" customHeight="1">
      <c r="F409" s="3"/>
    </row>
    <row r="410" spans="6:6" ht="15" customHeight="1">
      <c r="F410" s="3"/>
    </row>
    <row r="411" spans="6:6" ht="15" customHeight="1">
      <c r="F411" s="3"/>
    </row>
    <row r="412" spans="6:6" ht="15" customHeight="1">
      <c r="F412" s="3"/>
    </row>
    <row r="413" spans="6:6" ht="15" customHeight="1">
      <c r="F413" s="3"/>
    </row>
    <row r="414" spans="6:6" ht="15" customHeight="1">
      <c r="F414" s="3"/>
    </row>
    <row r="415" spans="6:6" ht="15" customHeight="1">
      <c r="F415" s="3"/>
    </row>
    <row r="416" spans="6:6" ht="15" customHeight="1">
      <c r="F416" s="3"/>
    </row>
    <row r="417" spans="6:6" ht="15" customHeight="1">
      <c r="F417" s="3"/>
    </row>
    <row r="418" spans="6:6" ht="15" customHeight="1">
      <c r="F418" s="3"/>
    </row>
    <row r="419" spans="6:6" ht="15" customHeight="1">
      <c r="F419" s="3"/>
    </row>
    <row r="420" spans="6:6" ht="15" customHeight="1">
      <c r="F420" s="3"/>
    </row>
    <row r="421" spans="6:6" ht="15" customHeight="1">
      <c r="F421" s="3"/>
    </row>
    <row r="422" spans="6:6" ht="15" customHeight="1">
      <c r="F422" s="3"/>
    </row>
    <row r="423" spans="6:6" ht="15" customHeight="1">
      <c r="F423" s="3"/>
    </row>
    <row r="424" spans="6:6" ht="15" customHeight="1">
      <c r="F424" s="3"/>
    </row>
    <row r="425" spans="6:6" ht="15" customHeight="1">
      <c r="F425" s="3"/>
    </row>
    <row r="426" spans="6:6" ht="15" customHeight="1">
      <c r="F426" s="3"/>
    </row>
    <row r="427" spans="6:6" ht="15" customHeight="1">
      <c r="F427" s="3"/>
    </row>
    <row r="428" spans="6:6" ht="15" customHeight="1">
      <c r="F428" s="3"/>
    </row>
    <row r="429" spans="6:6" ht="15" customHeight="1">
      <c r="F429" s="3"/>
    </row>
    <row r="430" spans="6:6" ht="15" customHeight="1">
      <c r="F430" s="4"/>
    </row>
    <row r="431" spans="6:6" ht="15" customHeight="1">
      <c r="F431" s="4"/>
    </row>
    <row r="432" spans="6:6" ht="15" customHeight="1">
      <c r="F432" s="3"/>
    </row>
    <row r="433" spans="6:6" ht="15" customHeight="1">
      <c r="F433" s="3"/>
    </row>
    <row r="434" spans="6:6" ht="15" customHeight="1">
      <c r="F434" s="3"/>
    </row>
    <row r="435" spans="6:6" ht="15" customHeight="1">
      <c r="F435" s="3"/>
    </row>
    <row r="436" spans="6:6" ht="15" customHeight="1">
      <c r="F436" s="3"/>
    </row>
    <row r="437" spans="6:6" ht="15" customHeight="1">
      <c r="F437" s="3"/>
    </row>
    <row r="438" spans="6:6" ht="15" customHeight="1">
      <c r="F438" s="3"/>
    </row>
    <row r="439" spans="6:6" ht="15" customHeight="1">
      <c r="F439" s="3"/>
    </row>
    <row r="440" spans="6:6" ht="15" customHeight="1">
      <c r="F440" s="3"/>
    </row>
    <row r="441" spans="6:6" ht="15" customHeight="1">
      <c r="F441" s="3"/>
    </row>
    <row r="442" spans="6:6" ht="15" customHeight="1">
      <c r="F442" s="3"/>
    </row>
    <row r="443" spans="6:6" ht="15" customHeight="1">
      <c r="F443" s="3"/>
    </row>
    <row r="444" spans="6:6" ht="15" customHeight="1">
      <c r="F444" s="3"/>
    </row>
    <row r="445" spans="6:6" ht="15" customHeight="1">
      <c r="F445" s="3"/>
    </row>
    <row r="446" spans="6:6" ht="15" customHeight="1">
      <c r="F446" s="3"/>
    </row>
    <row r="447" spans="6:6" ht="15" customHeight="1">
      <c r="F447" s="3"/>
    </row>
    <row r="448" spans="6:6" ht="15" customHeight="1">
      <c r="F448" s="3"/>
    </row>
    <row r="449" spans="6:10" ht="15" customHeight="1">
      <c r="F449" s="3"/>
    </row>
    <row r="450" spans="6:10" ht="15" customHeight="1">
      <c r="F450" s="3"/>
    </row>
    <row r="451" spans="6:10" ht="15" customHeight="1">
      <c r="F451" s="3"/>
    </row>
    <row r="452" spans="6:10" ht="15" customHeight="1">
      <c r="F452" s="3"/>
    </row>
    <row r="453" spans="6:10" ht="15" customHeight="1">
      <c r="F453" s="3"/>
    </row>
    <row r="454" spans="6:10" ht="15" customHeight="1">
      <c r="F454" s="3"/>
    </row>
    <row r="455" spans="6:10" ht="15" customHeight="1">
      <c r="F455" s="3"/>
    </row>
    <row r="456" spans="6:10" ht="15" customHeight="1">
      <c r="F456" s="3"/>
    </row>
    <row r="457" spans="6:10" ht="15" customHeight="1">
      <c r="F457" s="3"/>
    </row>
    <row r="458" spans="6:10" ht="15" customHeight="1">
      <c r="F458" s="3"/>
    </row>
    <row r="459" spans="6:10" ht="15" customHeight="1">
      <c r="F459" s="3"/>
    </row>
    <row r="460" spans="6:10" ht="15" customHeight="1">
      <c r="F460" s="3"/>
    </row>
    <row r="461" spans="6:10" ht="15" customHeight="1">
      <c r="F461" s="3"/>
      <c r="J461" s="3"/>
    </row>
    <row r="462" spans="6:10" ht="15" customHeight="1">
      <c r="F462" s="3"/>
      <c r="J462" s="3"/>
    </row>
    <row r="463" spans="6:10" ht="15" customHeight="1">
      <c r="F463" s="3"/>
    </row>
    <row r="464" spans="6:10" ht="15" customHeight="1">
      <c r="F464" s="3"/>
    </row>
    <row r="465" spans="6:6" ht="15" customHeight="1">
      <c r="F465" s="3"/>
    </row>
    <row r="466" spans="6:6" ht="15" customHeight="1">
      <c r="F466" s="3"/>
    </row>
    <row r="467" spans="6:6" ht="15" customHeight="1">
      <c r="F467" s="3"/>
    </row>
    <row r="468" spans="6:6" ht="15" customHeight="1">
      <c r="F468" s="3"/>
    </row>
    <row r="469" spans="6:6" ht="15" customHeight="1">
      <c r="F469" s="3"/>
    </row>
    <row r="470" spans="6:6" ht="15" customHeight="1">
      <c r="F470" s="3"/>
    </row>
    <row r="471" spans="6:6" ht="15" customHeight="1">
      <c r="F471" s="3"/>
    </row>
    <row r="472" spans="6:6" ht="15" customHeight="1">
      <c r="F472" s="3"/>
    </row>
    <row r="473" spans="6:6" ht="15" customHeight="1">
      <c r="F473" s="3"/>
    </row>
    <row r="474" spans="6:6" ht="15" customHeight="1">
      <c r="F474" s="3"/>
    </row>
    <row r="475" spans="6:6" ht="15" customHeight="1">
      <c r="F475" s="3"/>
    </row>
    <row r="476" spans="6:6" ht="15" customHeight="1">
      <c r="F476" s="3"/>
    </row>
    <row r="477" spans="6:6" ht="15" customHeight="1">
      <c r="F477" s="3"/>
    </row>
    <row r="478" spans="6:6" ht="15" customHeight="1">
      <c r="F478" s="3"/>
    </row>
    <row r="479" spans="6:6" ht="15" customHeight="1">
      <c r="F479" s="3"/>
    </row>
    <row r="480" spans="6:6" ht="15" customHeight="1">
      <c r="F480" s="3"/>
    </row>
    <row r="481" spans="6:6" ht="15" customHeight="1">
      <c r="F481" s="3"/>
    </row>
    <row r="482" spans="6:6" ht="15" customHeight="1">
      <c r="F482" s="3"/>
    </row>
    <row r="483" spans="6:6" ht="15" customHeight="1">
      <c r="F483" s="3"/>
    </row>
    <row r="484" spans="6:6" ht="15" customHeight="1">
      <c r="F484" s="3"/>
    </row>
    <row r="485" spans="6:6" ht="15" customHeight="1">
      <c r="F485" s="3"/>
    </row>
    <row r="486" spans="6:6" ht="15" customHeight="1">
      <c r="F486" s="3"/>
    </row>
    <row r="487" spans="6:6" ht="15" customHeight="1">
      <c r="F487" s="3"/>
    </row>
    <row r="488" spans="6:6" ht="15" customHeight="1">
      <c r="F488" s="3"/>
    </row>
    <row r="489" spans="6:6" ht="15" customHeight="1">
      <c r="F489" s="3"/>
    </row>
    <row r="490" spans="6:6" ht="15" customHeight="1">
      <c r="F490" s="3"/>
    </row>
    <row r="491" spans="6:6" ht="15" customHeight="1">
      <c r="F491" s="3"/>
    </row>
    <row r="492" spans="6:6" ht="15" customHeight="1">
      <c r="F492" s="3"/>
    </row>
    <row r="493" spans="6:6" ht="15" customHeight="1">
      <c r="F493" s="3"/>
    </row>
    <row r="494" spans="6:6" ht="15" customHeight="1">
      <c r="F494" s="3"/>
    </row>
    <row r="495" spans="6:6" ht="15" customHeight="1">
      <c r="F495" s="3"/>
    </row>
    <row r="496" spans="6:6" ht="15" customHeight="1">
      <c r="F496" s="3"/>
    </row>
    <row r="497" spans="6:6" ht="15" customHeight="1">
      <c r="F497" s="3"/>
    </row>
    <row r="498" spans="6:6" ht="15" customHeight="1">
      <c r="F498" s="3"/>
    </row>
    <row r="499" spans="6:6" ht="15" customHeight="1">
      <c r="F499" s="3"/>
    </row>
    <row r="500" spans="6:6" ht="15" customHeight="1">
      <c r="F500" s="3"/>
    </row>
    <row r="501" spans="6:6" ht="15" customHeight="1">
      <c r="F501" s="3"/>
    </row>
    <row r="502" spans="6:6" ht="15" customHeight="1">
      <c r="F502" s="3"/>
    </row>
    <row r="503" spans="6:6" ht="15" customHeight="1">
      <c r="F503" s="3"/>
    </row>
    <row r="504" spans="6:6" ht="15" customHeight="1">
      <c r="F504" s="3"/>
    </row>
    <row r="505" spans="6:6" ht="15" customHeight="1">
      <c r="F505" s="3"/>
    </row>
    <row r="506" spans="6:6" ht="15" customHeight="1">
      <c r="F506" s="3"/>
    </row>
    <row r="507" spans="6:6" ht="15" customHeight="1">
      <c r="F507" s="3"/>
    </row>
    <row r="508" spans="6:6" ht="15" customHeight="1">
      <c r="F508" s="3"/>
    </row>
    <row r="509" spans="6:6" ht="15" customHeight="1">
      <c r="F509" s="3"/>
    </row>
    <row r="510" spans="6:6" ht="15" customHeight="1">
      <c r="F510" s="3"/>
    </row>
    <row r="511" spans="6:6" ht="15" customHeight="1">
      <c r="F511" s="3"/>
    </row>
    <row r="512" spans="6:6" ht="15" customHeight="1">
      <c r="F512" s="3"/>
    </row>
    <row r="513" spans="6:6" ht="15" customHeight="1">
      <c r="F513" s="3"/>
    </row>
    <row r="514" spans="6:6" ht="15" customHeight="1">
      <c r="F514" s="3"/>
    </row>
    <row r="515" spans="6:6" ht="15" customHeight="1">
      <c r="F515" s="3"/>
    </row>
    <row r="516" spans="6:6" ht="15" customHeight="1">
      <c r="F516" s="3"/>
    </row>
    <row r="517" spans="6:6" ht="15" customHeight="1">
      <c r="F517" s="3"/>
    </row>
    <row r="518" spans="6:6" ht="15" customHeight="1">
      <c r="F518" s="3"/>
    </row>
    <row r="519" spans="6:6" ht="15" customHeight="1">
      <c r="F519" s="3"/>
    </row>
    <row r="520" spans="6:6" ht="15" customHeight="1">
      <c r="F520" s="3"/>
    </row>
    <row r="521" spans="6:6" ht="15" customHeight="1">
      <c r="F521" s="3"/>
    </row>
    <row r="522" spans="6:6" ht="15" customHeight="1">
      <c r="F522" s="3"/>
    </row>
    <row r="523" spans="6:6" ht="15" customHeight="1">
      <c r="F523" s="3"/>
    </row>
    <row r="524" spans="6:6" ht="15" customHeight="1">
      <c r="F524" s="3"/>
    </row>
    <row r="525" spans="6:6" ht="15" customHeight="1">
      <c r="F525" s="3"/>
    </row>
    <row r="526" spans="6:6" ht="15" customHeight="1">
      <c r="F526" s="3"/>
    </row>
    <row r="527" spans="6:6" ht="15" customHeight="1">
      <c r="F527" s="3"/>
    </row>
    <row r="528" spans="6:6" ht="15" customHeight="1">
      <c r="F528" s="3"/>
    </row>
    <row r="529" spans="6:6" ht="15" customHeight="1">
      <c r="F529" s="3"/>
    </row>
    <row r="530" spans="6:6" ht="15" customHeight="1">
      <c r="F530" s="3"/>
    </row>
    <row r="531" spans="6:6" ht="15" customHeight="1">
      <c r="F531" s="3"/>
    </row>
    <row r="532" spans="6:6" ht="15" customHeight="1">
      <c r="F532" s="3"/>
    </row>
    <row r="533" spans="6:6" ht="15" customHeight="1">
      <c r="F533" s="3"/>
    </row>
    <row r="534" spans="6:6" ht="15" customHeight="1">
      <c r="F534" s="3"/>
    </row>
    <row r="535" spans="6:6" ht="15" customHeight="1">
      <c r="F535" s="3"/>
    </row>
    <row r="536" spans="6:6" ht="15" customHeight="1">
      <c r="F536" s="3"/>
    </row>
    <row r="537" spans="6:6" ht="15" customHeight="1">
      <c r="F537" s="3"/>
    </row>
    <row r="538" spans="6:6" ht="15" customHeight="1">
      <c r="F538" s="3"/>
    </row>
    <row r="539" spans="6:6" ht="15" customHeight="1">
      <c r="F539" s="3"/>
    </row>
    <row r="540" spans="6:6" ht="15" customHeight="1">
      <c r="F540" s="3"/>
    </row>
    <row r="541" spans="6:6" ht="15" customHeight="1">
      <c r="F541" s="3"/>
    </row>
    <row r="542" spans="6:6" ht="15" customHeight="1">
      <c r="F542" s="3"/>
    </row>
    <row r="543" spans="6:6" ht="15" customHeight="1">
      <c r="F543" s="3"/>
    </row>
    <row r="544" spans="6:6" ht="15" customHeight="1">
      <c r="F544" s="3"/>
    </row>
    <row r="545" spans="6:27" ht="15" customHeight="1">
      <c r="F545" s="3"/>
    </row>
    <row r="546" spans="6:27" ht="15" customHeight="1">
      <c r="F546" s="3"/>
    </row>
    <row r="547" spans="6:27" ht="15" customHeight="1">
      <c r="F547" s="3"/>
    </row>
    <row r="548" spans="6:27" ht="15" customHeight="1">
      <c r="F548" s="3"/>
    </row>
    <row r="549" spans="6:27" ht="15" customHeight="1">
      <c r="F549" s="3"/>
    </row>
    <row r="550" spans="6:27" ht="15" customHeight="1">
      <c r="F550" s="3"/>
    </row>
    <row r="551" spans="6:27" ht="15" customHeight="1">
      <c r="F551" s="3"/>
    </row>
    <row r="552" spans="6:27" ht="15" customHeight="1">
      <c r="F552" s="3"/>
    </row>
    <row r="553" spans="6:27" ht="15" customHeight="1">
      <c r="F553" s="3"/>
    </row>
    <row r="554" spans="6:27" ht="15" customHeight="1">
      <c r="F554" s="3"/>
    </row>
    <row r="555" spans="6:27" ht="15" customHeight="1">
      <c r="F555" s="3"/>
    </row>
    <row r="556" spans="6:27" ht="15" customHeight="1">
      <c r="F556" s="3"/>
    </row>
    <row r="557" spans="6:27" ht="15" customHeight="1">
      <c r="F557" s="3"/>
      <c r="G557" s="3"/>
      <c r="H557" s="3"/>
      <c r="J557" s="3"/>
      <c r="K557" s="3"/>
      <c r="L557" s="3"/>
      <c r="M557" s="3"/>
      <c r="N557" s="3"/>
      <c r="O557" s="3"/>
      <c r="P557" s="3"/>
      <c r="Q557" s="3"/>
      <c r="R557" s="3"/>
      <c r="S557" s="3"/>
      <c r="T557" s="3"/>
      <c r="U557" s="3"/>
      <c r="V557" s="3"/>
      <c r="W557" s="3"/>
      <c r="X557" s="3"/>
      <c r="Y557" s="3"/>
      <c r="Z557" s="3"/>
      <c r="AA557" s="3"/>
    </row>
    <row r="558" spans="6:27" ht="15" customHeight="1">
      <c r="F558" s="3"/>
      <c r="G558" s="3"/>
      <c r="H558" s="3"/>
      <c r="J558" s="3"/>
      <c r="K558" s="3"/>
      <c r="L558" s="3"/>
      <c r="M558" s="3"/>
      <c r="N558" s="3"/>
      <c r="O558" s="3"/>
      <c r="P558" s="3"/>
      <c r="Q558" s="3"/>
      <c r="R558" s="3"/>
      <c r="S558" s="3"/>
      <c r="T558" s="3"/>
      <c r="U558" s="3"/>
      <c r="V558" s="3"/>
      <c r="W558" s="3"/>
      <c r="X558" s="3"/>
      <c r="Y558" s="3"/>
      <c r="Z558" s="3"/>
      <c r="AA558" s="3"/>
    </row>
    <row r="559" spans="6:27" ht="13.5" customHeight="1">
      <c r="F559" s="3"/>
    </row>
    <row r="560" spans="6:27" ht="15" customHeight="1">
      <c r="F560" s="3"/>
    </row>
    <row r="561" spans="6:27" ht="15" customHeight="1">
      <c r="F561" s="3"/>
    </row>
    <row r="562" spans="6:27" ht="15" customHeight="1">
      <c r="F562" s="3"/>
    </row>
    <row r="563" spans="6:27" ht="15" customHeight="1">
      <c r="F563" s="3"/>
    </row>
    <row r="564" spans="6:27" ht="15" customHeight="1">
      <c r="F564" s="3"/>
      <c r="I564" s="3"/>
    </row>
    <row r="565" spans="6:27" ht="15" customHeight="1">
      <c r="F565" s="3"/>
      <c r="G565" s="3"/>
      <c r="H565" s="3"/>
      <c r="I565" s="3"/>
      <c r="J565" s="3"/>
      <c r="K565" s="3"/>
      <c r="L565" s="3"/>
      <c r="M565" s="3"/>
      <c r="N565" s="3"/>
      <c r="O565" s="3"/>
      <c r="P565" s="3"/>
      <c r="Q565" s="3"/>
      <c r="R565" s="3"/>
      <c r="S565" s="3"/>
      <c r="T565" s="3"/>
      <c r="U565" s="3"/>
      <c r="V565" s="3"/>
      <c r="W565" s="3"/>
      <c r="X565" s="3"/>
      <c r="Y565" s="3"/>
      <c r="Z565" s="3"/>
      <c r="AA565" s="3"/>
    </row>
    <row r="566" spans="6:27" ht="15" customHeight="1">
      <c r="F566" s="3"/>
    </row>
    <row r="567" spans="6:27" ht="15" customHeight="1">
      <c r="F567" s="3"/>
    </row>
    <row r="568" spans="6:27" ht="15" customHeight="1">
      <c r="F568" s="3"/>
    </row>
    <row r="569" spans="6:27" ht="15" customHeight="1">
      <c r="F569" s="3"/>
    </row>
    <row r="570" spans="6:27" ht="15" customHeight="1">
      <c r="F570" s="3"/>
    </row>
    <row r="571" spans="6:27" ht="15" customHeight="1">
      <c r="F571" s="3"/>
    </row>
    <row r="572" spans="6:27" ht="15" customHeight="1">
      <c r="F572" s="3"/>
      <c r="G572" s="3"/>
      <c r="H572" s="3"/>
      <c r="J572" s="3"/>
      <c r="K572" s="3"/>
      <c r="L572" s="3"/>
      <c r="M572" s="3"/>
      <c r="N572" s="3"/>
      <c r="O572" s="3"/>
      <c r="P572" s="3"/>
      <c r="Q572" s="3"/>
      <c r="R572" s="3"/>
      <c r="S572" s="3"/>
      <c r="T572" s="3"/>
      <c r="U572" s="3"/>
      <c r="V572" s="3"/>
      <c r="W572" s="3"/>
      <c r="X572" s="3"/>
      <c r="Y572" s="3"/>
      <c r="Z572" s="3"/>
      <c r="AA572" s="3"/>
    </row>
    <row r="573" spans="6:27" ht="15" customHeight="1">
      <c r="F573" s="3"/>
      <c r="I573" s="3"/>
    </row>
    <row r="574" spans="6:27" ht="15" customHeight="1">
      <c r="F574" s="3"/>
      <c r="I574" s="3"/>
    </row>
    <row r="575" spans="6:27" ht="15" customHeight="1">
      <c r="F575" s="3"/>
    </row>
    <row r="576" spans="6:27" ht="15" customHeight="1">
      <c r="F576" s="3"/>
    </row>
    <row r="577" spans="6:27" ht="15" customHeight="1">
      <c r="F577" s="3"/>
    </row>
    <row r="578" spans="6:27" ht="15" customHeight="1">
      <c r="F578" s="3"/>
    </row>
    <row r="579" spans="6:27" ht="15" customHeight="1">
      <c r="F579" s="3"/>
    </row>
    <row r="580" spans="6:27" ht="15" customHeight="1">
      <c r="F580" s="3"/>
    </row>
    <row r="581" spans="6:27" ht="15" customHeight="1">
      <c r="F581" s="3"/>
    </row>
    <row r="582" spans="6:27" ht="15" customHeight="1">
      <c r="F582" s="3"/>
    </row>
    <row r="583" spans="6:27" ht="15" customHeight="1">
      <c r="F583" s="3"/>
    </row>
    <row r="584" spans="6:27" ht="15" customHeight="1">
      <c r="F584" s="3"/>
    </row>
    <row r="585" spans="6:27" ht="15" customHeight="1">
      <c r="F585" s="3"/>
    </row>
    <row r="586" spans="6:27" ht="15" customHeight="1">
      <c r="F586" s="3"/>
    </row>
    <row r="587" spans="6:27" ht="15" customHeight="1">
      <c r="F587" s="3"/>
    </row>
    <row r="588" spans="6:27" ht="15" customHeight="1">
      <c r="F588" s="3"/>
    </row>
    <row r="589" spans="6:27" ht="15" customHeight="1">
      <c r="F589" s="3"/>
    </row>
    <row r="590" spans="6:27" ht="15" customHeight="1">
      <c r="F590" s="3"/>
    </row>
    <row r="591" spans="6:27" ht="15" customHeight="1">
      <c r="F591" s="3"/>
      <c r="G591" s="3"/>
      <c r="H591" s="3"/>
      <c r="J591" s="3"/>
      <c r="K591" s="3"/>
      <c r="L591" s="3"/>
      <c r="M591" s="3"/>
      <c r="N591" s="3"/>
      <c r="O591" s="3"/>
      <c r="P591" s="3"/>
      <c r="Q591" s="3"/>
      <c r="R591" s="3"/>
      <c r="S591" s="3"/>
      <c r="T591" s="3"/>
      <c r="U591" s="3"/>
      <c r="V591" s="3"/>
      <c r="W591" s="3"/>
      <c r="X591" s="3"/>
      <c r="Y591" s="3"/>
      <c r="Z591" s="3"/>
      <c r="AA591" s="3"/>
    </row>
    <row r="592" spans="6:27" ht="15" customHeight="1">
      <c r="F592" s="3"/>
    </row>
    <row r="593" spans="6:6" ht="15" customHeight="1">
      <c r="F593" s="3"/>
    </row>
    <row r="594" spans="6:6" ht="15" customHeight="1">
      <c r="F594" s="3"/>
    </row>
    <row r="595" spans="6:6" ht="15" customHeight="1">
      <c r="F595" s="3"/>
    </row>
    <row r="596" spans="6:6" ht="15" customHeight="1">
      <c r="F596" s="3"/>
    </row>
    <row r="597" spans="6:6" ht="15" customHeight="1">
      <c r="F597" s="3"/>
    </row>
    <row r="598" spans="6:6" ht="15" customHeight="1">
      <c r="F598" s="3"/>
    </row>
    <row r="599" spans="6:6" ht="15" customHeight="1">
      <c r="F599" s="3"/>
    </row>
    <row r="600" spans="6:6" ht="15" customHeight="1">
      <c r="F600" s="3"/>
    </row>
    <row r="601" spans="6:6" ht="15" customHeight="1">
      <c r="F601" s="3"/>
    </row>
    <row r="602" spans="6:6" ht="15" customHeight="1">
      <c r="F602" s="3"/>
    </row>
    <row r="603" spans="6:6" ht="15" customHeight="1">
      <c r="F603" s="3"/>
    </row>
    <row r="604" spans="6:6" ht="15" customHeight="1">
      <c r="F604" s="3"/>
    </row>
    <row r="605" spans="6:6" ht="15" customHeight="1">
      <c r="F605" s="3"/>
    </row>
    <row r="606" spans="6:6" ht="15" customHeight="1">
      <c r="F606" s="3"/>
    </row>
    <row r="607" spans="6:6" ht="15" customHeight="1">
      <c r="F607" s="3"/>
    </row>
    <row r="608" spans="6:6" ht="15" customHeight="1">
      <c r="F608" s="3"/>
    </row>
    <row r="609" spans="6:9" ht="15" customHeight="1">
      <c r="F609" s="3"/>
    </row>
    <row r="610" spans="6:9" ht="15" customHeight="1">
      <c r="F610" s="3"/>
    </row>
    <row r="611" spans="6:9" ht="15" customHeight="1">
      <c r="F611" s="3"/>
    </row>
    <row r="612" spans="6:9" ht="15" customHeight="1">
      <c r="F612" s="3"/>
    </row>
    <row r="613" spans="6:9" ht="15" customHeight="1">
      <c r="F613" s="3"/>
    </row>
    <row r="614" spans="6:9" ht="15" customHeight="1">
      <c r="F614" s="3"/>
    </row>
    <row r="615" spans="6:9" ht="15" customHeight="1">
      <c r="F615" s="3"/>
    </row>
    <row r="616" spans="6:9" ht="15" customHeight="1">
      <c r="F616" s="3"/>
    </row>
    <row r="617" spans="6:9" ht="15" customHeight="1">
      <c r="F617" s="3"/>
    </row>
    <row r="618" spans="6:9" ht="15" customHeight="1">
      <c r="F618" s="3"/>
    </row>
    <row r="619" spans="6:9" ht="15" customHeight="1">
      <c r="F619" s="3"/>
    </row>
    <row r="620" spans="6:9" ht="15" customHeight="1">
      <c r="F620" s="3"/>
      <c r="I620" s="3"/>
    </row>
    <row r="621" spans="6:9" ht="15" customHeight="1">
      <c r="F621" s="3"/>
    </row>
    <row r="622" spans="6:9" ht="15" customHeight="1">
      <c r="F622" s="3"/>
    </row>
    <row r="623" spans="6:9" ht="15" customHeight="1">
      <c r="F623" s="3"/>
    </row>
    <row r="624" spans="6:9" ht="15" customHeight="1">
      <c r="F624" s="3"/>
    </row>
    <row r="625" spans="6:9" ht="15" customHeight="1">
      <c r="F625" s="3"/>
    </row>
    <row r="626" spans="6:9" ht="15" customHeight="1">
      <c r="F626" s="3"/>
    </row>
    <row r="627" spans="6:9" ht="15" customHeight="1">
      <c r="F627" s="3"/>
    </row>
    <row r="628" spans="6:9" ht="15" customHeight="1">
      <c r="F628" s="3"/>
    </row>
    <row r="629" spans="6:9" ht="15" customHeight="1">
      <c r="F629" s="3"/>
    </row>
    <row r="630" spans="6:9" ht="15" customHeight="1">
      <c r="F630" s="3"/>
    </row>
    <row r="631" spans="6:9" ht="15" customHeight="1">
      <c r="F631" s="3"/>
    </row>
    <row r="632" spans="6:9" ht="15" customHeight="1">
      <c r="F632" s="3"/>
    </row>
    <row r="633" spans="6:9" ht="15" customHeight="1">
      <c r="F633" s="3"/>
      <c r="I633" s="3"/>
    </row>
    <row r="634" spans="6:9" ht="15" customHeight="1">
      <c r="F634" s="3"/>
    </row>
    <row r="635" spans="6:9" ht="15" customHeight="1">
      <c r="F635" s="3"/>
    </row>
    <row r="636" spans="6:9" ht="15" customHeight="1">
      <c r="F636" s="3"/>
    </row>
    <row r="637" spans="6:9" ht="15" customHeight="1">
      <c r="F637" s="3"/>
    </row>
    <row r="638" spans="6:9" ht="15" customHeight="1">
      <c r="F638" s="3"/>
    </row>
    <row r="639" spans="6:9" ht="15" customHeight="1">
      <c r="F639" s="3"/>
    </row>
    <row r="640" spans="6:9" ht="15" customHeight="1">
      <c r="F640" s="3"/>
    </row>
    <row r="641" spans="6:6" ht="15" customHeight="1">
      <c r="F641" s="3"/>
    </row>
    <row r="642" spans="6:6" ht="15" customHeight="1">
      <c r="F642" s="3"/>
    </row>
    <row r="643" spans="6:6" ht="15" customHeight="1">
      <c r="F643" s="3"/>
    </row>
    <row r="644" spans="6:6" ht="15" customHeight="1">
      <c r="F644" s="3"/>
    </row>
    <row r="645" spans="6:6" ht="15" customHeight="1">
      <c r="F645" s="3"/>
    </row>
    <row r="646" spans="6:6" ht="15" customHeight="1">
      <c r="F646" s="3"/>
    </row>
    <row r="647" spans="6:6" ht="15" customHeight="1">
      <c r="F647" s="3"/>
    </row>
    <row r="648" spans="6:6" ht="15" customHeight="1">
      <c r="F648" s="3"/>
    </row>
    <row r="649" spans="6:6" ht="15" customHeight="1">
      <c r="F649" s="3"/>
    </row>
    <row r="650" spans="6:6" ht="15" customHeight="1">
      <c r="F650" s="3"/>
    </row>
    <row r="651" spans="6:6" ht="15" customHeight="1">
      <c r="F651" s="3"/>
    </row>
    <row r="652" spans="6:6" ht="15" customHeight="1">
      <c r="F652" s="3"/>
    </row>
    <row r="653" spans="6:6" ht="15" customHeight="1">
      <c r="F653" s="3"/>
    </row>
    <row r="654" spans="6:6" ht="15" customHeight="1">
      <c r="F654" s="3"/>
    </row>
    <row r="655" spans="6:6" ht="15" customHeight="1">
      <c r="F655" s="3"/>
    </row>
    <row r="656" spans="6:6" ht="15" customHeight="1">
      <c r="F656" s="3"/>
    </row>
    <row r="657" spans="6:27" ht="15" customHeight="1">
      <c r="F657" s="3"/>
    </row>
    <row r="658" spans="6:27" ht="15" customHeight="1">
      <c r="F658" s="3"/>
    </row>
    <row r="659" spans="6:27" ht="15" customHeight="1">
      <c r="F659" s="3"/>
    </row>
    <row r="660" spans="6:27" ht="15" customHeight="1">
      <c r="F660" s="3"/>
    </row>
    <row r="661" spans="6:27" ht="15" customHeight="1">
      <c r="F661" s="3"/>
    </row>
    <row r="662" spans="6:27" ht="15" customHeight="1">
      <c r="F662" s="3"/>
    </row>
    <row r="663" spans="6:27" ht="15" customHeight="1">
      <c r="F663" s="3"/>
    </row>
    <row r="664" spans="6:27" ht="15" customHeight="1">
      <c r="F664" s="3"/>
    </row>
    <row r="665" spans="6:27" ht="15" customHeight="1">
      <c r="F665" s="3"/>
    </row>
    <row r="666" spans="6:27" ht="15" customHeight="1">
      <c r="F666" s="3"/>
    </row>
    <row r="667" spans="6:27" ht="15" customHeight="1">
      <c r="F667" s="3"/>
    </row>
    <row r="668" spans="6:27" ht="15" customHeight="1">
      <c r="F668" s="3"/>
    </row>
    <row r="669" spans="6:27" ht="15" customHeight="1">
      <c r="F669" s="3"/>
      <c r="G669" s="3"/>
      <c r="H669" s="3"/>
      <c r="J669" s="3"/>
      <c r="K669" s="3"/>
      <c r="L669" s="3"/>
      <c r="M669" s="3"/>
      <c r="N669" s="3"/>
      <c r="O669" s="3"/>
      <c r="P669" s="3"/>
      <c r="Q669" s="3"/>
      <c r="R669" s="3"/>
      <c r="S669" s="3"/>
      <c r="T669" s="3"/>
      <c r="U669" s="3"/>
      <c r="V669" s="3"/>
      <c r="W669" s="3"/>
      <c r="X669" s="3"/>
      <c r="Y669" s="3"/>
      <c r="Z669" s="3"/>
      <c r="AA669" s="3"/>
    </row>
    <row r="670" spans="6:27" ht="15" customHeight="1">
      <c r="F670" s="3"/>
    </row>
    <row r="671" spans="6:27" ht="15" customHeight="1">
      <c r="F671" s="3"/>
    </row>
    <row r="672" spans="6:27" ht="15" customHeight="1">
      <c r="F672" s="3"/>
    </row>
    <row r="673" spans="6:9" ht="15" customHeight="1">
      <c r="F673" s="3"/>
    </row>
    <row r="674" spans="6:9" ht="15" customHeight="1">
      <c r="F674" s="3"/>
    </row>
    <row r="675" spans="6:9" ht="15" customHeight="1">
      <c r="F675" s="3"/>
    </row>
    <row r="676" spans="6:9" ht="15" customHeight="1">
      <c r="F676" s="3"/>
      <c r="I676" s="3"/>
    </row>
    <row r="677" spans="6:9" ht="15" customHeight="1">
      <c r="F677" s="3"/>
    </row>
    <row r="678" spans="6:9" ht="15" customHeight="1">
      <c r="F678" s="3"/>
    </row>
    <row r="679" spans="6:9" ht="15" customHeight="1">
      <c r="F679" s="3"/>
    </row>
    <row r="680" spans="6:9" ht="15" customHeight="1">
      <c r="F680" s="3"/>
    </row>
    <row r="681" spans="6:9" ht="15" customHeight="1">
      <c r="F681" s="3"/>
    </row>
    <row r="682" spans="6:9" ht="15" customHeight="1">
      <c r="F682" s="3"/>
    </row>
    <row r="683" spans="6:9" ht="15" customHeight="1">
      <c r="F683" s="3"/>
    </row>
    <row r="684" spans="6:9" ht="15" customHeight="1">
      <c r="F684" s="3"/>
    </row>
    <row r="685" spans="6:9" ht="15" customHeight="1">
      <c r="F685" s="3"/>
    </row>
    <row r="686" spans="6:9" ht="15" customHeight="1">
      <c r="F686" s="3"/>
    </row>
    <row r="687" spans="6:9" ht="15" customHeight="1">
      <c r="F687" s="3"/>
    </row>
    <row r="688" spans="6:9" ht="15" customHeight="1">
      <c r="F688" s="3"/>
    </row>
    <row r="689" spans="6:27" ht="15" customHeight="1">
      <c r="F689" s="3"/>
    </row>
    <row r="690" spans="6:27" ht="15" customHeight="1">
      <c r="F690" s="3"/>
    </row>
    <row r="691" spans="6:27" ht="15" customHeight="1">
      <c r="F691" s="3"/>
    </row>
    <row r="692" spans="6:27" ht="15" customHeight="1">
      <c r="F692" s="3"/>
    </row>
    <row r="693" spans="6:27" ht="15" customHeight="1">
      <c r="F693" s="3"/>
    </row>
    <row r="694" spans="6:27" ht="15" customHeight="1">
      <c r="F694" s="3"/>
    </row>
    <row r="695" spans="6:27" ht="15" customHeight="1">
      <c r="F695" s="3"/>
    </row>
    <row r="696" spans="6:27" ht="15" customHeight="1">
      <c r="F696" s="3"/>
    </row>
    <row r="697" spans="6:27" ht="15" customHeight="1">
      <c r="F697" s="3"/>
    </row>
    <row r="698" spans="6:27" ht="15" customHeight="1">
      <c r="F698" s="3"/>
    </row>
    <row r="699" spans="6:27" ht="15" customHeight="1">
      <c r="F699" s="3"/>
    </row>
    <row r="700" spans="6:27" ht="15" customHeight="1">
      <c r="F700" s="3"/>
      <c r="G700" s="3"/>
      <c r="H700" s="3"/>
      <c r="J700" s="3"/>
      <c r="K700" s="3"/>
      <c r="L700" s="3"/>
      <c r="M700" s="3"/>
      <c r="N700" s="3"/>
      <c r="O700" s="3"/>
      <c r="P700" s="3"/>
      <c r="Q700" s="3"/>
      <c r="R700" s="3"/>
      <c r="S700" s="3"/>
      <c r="T700" s="3"/>
      <c r="U700" s="3"/>
      <c r="V700" s="3"/>
      <c r="W700" s="3"/>
      <c r="X700" s="3"/>
      <c r="Y700" s="3"/>
      <c r="Z700" s="3"/>
      <c r="AA700" s="3"/>
    </row>
    <row r="701" spans="6:27" ht="15" customHeight="1">
      <c r="F701" s="3"/>
    </row>
    <row r="702" spans="6:27" ht="15" customHeight="1">
      <c r="F702" s="3"/>
    </row>
    <row r="703" spans="6:27" ht="15" customHeight="1">
      <c r="F703" s="3"/>
    </row>
    <row r="704" spans="6:27" ht="15" customHeight="1">
      <c r="F704" s="3"/>
    </row>
    <row r="705" spans="6:6" ht="15" customHeight="1">
      <c r="F705" s="3"/>
    </row>
    <row r="706" spans="6:6" ht="15" customHeight="1">
      <c r="F706" s="3"/>
    </row>
    <row r="707" spans="6:6" ht="15" customHeight="1">
      <c r="F707" s="3"/>
    </row>
    <row r="708" spans="6:6" ht="15" customHeight="1">
      <c r="F708" s="3"/>
    </row>
    <row r="709" spans="6:6" ht="15" customHeight="1">
      <c r="F709" s="3"/>
    </row>
    <row r="710" spans="6:6" ht="15" customHeight="1">
      <c r="F710" s="3"/>
    </row>
    <row r="711" spans="6:6" ht="15" customHeight="1">
      <c r="F711" s="3"/>
    </row>
    <row r="712" spans="6:6" ht="15" customHeight="1">
      <c r="F712" s="3"/>
    </row>
    <row r="713" spans="6:6" ht="15" customHeight="1">
      <c r="F713" s="3"/>
    </row>
    <row r="714" spans="6:6" ht="15" customHeight="1">
      <c r="F714" s="3"/>
    </row>
    <row r="715" spans="6:6" ht="15" customHeight="1">
      <c r="F715" s="3"/>
    </row>
    <row r="716" spans="6:6" ht="15" customHeight="1">
      <c r="F716" s="3"/>
    </row>
    <row r="717" spans="6:6" ht="15" customHeight="1">
      <c r="F717" s="3"/>
    </row>
    <row r="718" spans="6:6" ht="15" customHeight="1">
      <c r="F718" s="3"/>
    </row>
    <row r="719" spans="6:6" ht="15" customHeight="1">
      <c r="F719" s="3"/>
    </row>
    <row r="720" spans="6:6" ht="15" customHeight="1">
      <c r="F720" s="3"/>
    </row>
    <row r="721" spans="6:27" ht="15" customHeight="1">
      <c r="F721" s="3"/>
    </row>
    <row r="722" spans="6:27" ht="15" customHeight="1">
      <c r="F722" s="3"/>
    </row>
    <row r="723" spans="6:27" ht="15" customHeight="1">
      <c r="F723" s="3"/>
    </row>
    <row r="724" spans="6:27" ht="15" customHeight="1">
      <c r="F724" s="3"/>
    </row>
    <row r="725" spans="6:27" ht="15" customHeight="1">
      <c r="F725" s="3"/>
    </row>
    <row r="726" spans="6:27" ht="15" customHeight="1">
      <c r="F726" s="3"/>
    </row>
    <row r="727" spans="6:27" ht="15" customHeight="1">
      <c r="F727" s="3"/>
    </row>
    <row r="728" spans="6:27" ht="15" customHeight="1">
      <c r="F728" s="3"/>
    </row>
    <row r="729" spans="6:27" ht="15" customHeight="1">
      <c r="F729" s="3"/>
    </row>
    <row r="730" spans="6:27" ht="15" customHeight="1">
      <c r="F730" s="3"/>
    </row>
    <row r="731" spans="6:27" ht="15" customHeight="1">
      <c r="F731" s="3"/>
    </row>
    <row r="732" spans="6:27" ht="15" customHeight="1">
      <c r="F732" s="3"/>
    </row>
    <row r="733" spans="6:27" ht="15" customHeight="1">
      <c r="F733" s="3"/>
    </row>
    <row r="734" spans="6:27" ht="15" customHeight="1">
      <c r="F734" s="3"/>
    </row>
    <row r="735" spans="6:27" ht="15" customHeight="1">
      <c r="F735" s="3"/>
      <c r="G735" s="3"/>
      <c r="H735" s="3"/>
      <c r="J735" s="3"/>
      <c r="K735" s="3"/>
      <c r="L735" s="3"/>
      <c r="M735" s="3"/>
      <c r="N735" s="3"/>
      <c r="O735" s="3"/>
      <c r="P735" s="3"/>
      <c r="Q735" s="3"/>
      <c r="R735" s="3"/>
      <c r="S735" s="3"/>
      <c r="T735" s="3"/>
      <c r="U735" s="3"/>
      <c r="V735" s="3"/>
      <c r="W735" s="3"/>
      <c r="X735" s="3"/>
      <c r="Y735" s="3"/>
      <c r="Z735" s="3"/>
      <c r="AA735" s="3"/>
    </row>
    <row r="736" spans="6:27" ht="15" customHeight="1">
      <c r="F736" s="3"/>
    </row>
    <row r="737" spans="6:27" ht="15" customHeight="1">
      <c r="F737" s="3"/>
    </row>
    <row r="738" spans="6:27" ht="15" customHeight="1">
      <c r="F738" s="3"/>
    </row>
    <row r="739" spans="6:27" ht="15" customHeight="1">
      <c r="F739" s="3"/>
    </row>
    <row r="740" spans="6:27" ht="15" customHeight="1">
      <c r="F740" s="3"/>
    </row>
    <row r="741" spans="6:27" ht="15" customHeight="1">
      <c r="F741" s="3"/>
    </row>
    <row r="742" spans="6:27" ht="15" customHeight="1">
      <c r="F742" s="3"/>
    </row>
    <row r="743" spans="6:27" ht="15" customHeight="1">
      <c r="F743" s="3"/>
    </row>
    <row r="744" spans="6:27" ht="15" customHeight="1">
      <c r="F744" s="3"/>
    </row>
    <row r="745" spans="6:27" ht="15" customHeight="1">
      <c r="F745" s="3"/>
    </row>
    <row r="746" spans="6:27" ht="15" customHeight="1">
      <c r="F746" s="3"/>
    </row>
    <row r="747" spans="6:27" ht="15" customHeight="1">
      <c r="F747" s="3"/>
    </row>
    <row r="748" spans="6:27" ht="15" customHeight="1">
      <c r="F748" s="3"/>
      <c r="G748" s="3"/>
      <c r="H748" s="3"/>
      <c r="J748" s="3"/>
      <c r="K748" s="3"/>
      <c r="L748" s="3"/>
      <c r="M748" s="3"/>
      <c r="N748" s="3"/>
      <c r="O748" s="3"/>
      <c r="P748" s="3"/>
      <c r="Q748" s="3"/>
      <c r="R748" s="3"/>
      <c r="S748" s="3"/>
      <c r="T748" s="3"/>
      <c r="U748" s="3"/>
      <c r="V748" s="3"/>
      <c r="W748" s="3"/>
      <c r="X748" s="3"/>
      <c r="Y748" s="3"/>
      <c r="Z748" s="3"/>
      <c r="AA748" s="3"/>
    </row>
    <row r="749" spans="6:27" ht="15" customHeight="1">
      <c r="F749" s="3"/>
    </row>
    <row r="750" spans="6:27" ht="15" customHeight="1">
      <c r="F750" s="3"/>
      <c r="G750" s="3"/>
      <c r="H750" s="3"/>
      <c r="J750" s="3"/>
      <c r="K750" s="3"/>
      <c r="L750" s="3"/>
      <c r="M750" s="3"/>
      <c r="N750" s="3"/>
      <c r="O750" s="3"/>
      <c r="P750" s="3"/>
      <c r="Q750" s="3"/>
      <c r="R750" s="3"/>
      <c r="S750" s="3"/>
      <c r="T750" s="3"/>
      <c r="U750" s="3"/>
      <c r="V750" s="3"/>
      <c r="W750" s="3"/>
      <c r="X750" s="3"/>
      <c r="Y750" s="3"/>
      <c r="Z750" s="3"/>
      <c r="AA750" s="3"/>
    </row>
    <row r="751" spans="6:27" ht="15" customHeight="1">
      <c r="F751" s="3"/>
      <c r="I751" s="3"/>
    </row>
    <row r="752" spans="6:27" ht="15" customHeight="1">
      <c r="F752" s="3"/>
    </row>
    <row r="753" spans="6:6" ht="15" customHeight="1">
      <c r="F753" s="3"/>
    </row>
    <row r="754" spans="6:6" ht="15" customHeight="1">
      <c r="F754" s="3"/>
    </row>
    <row r="755" spans="6:6" ht="15" customHeight="1">
      <c r="F755" s="3"/>
    </row>
    <row r="756" spans="6:6" ht="15" customHeight="1">
      <c r="F756" s="3"/>
    </row>
    <row r="757" spans="6:6" ht="15" customHeight="1">
      <c r="F757" s="3"/>
    </row>
    <row r="758" spans="6:6" ht="15" customHeight="1">
      <c r="F758" s="3"/>
    </row>
    <row r="759" spans="6:6" ht="15" customHeight="1">
      <c r="F759" s="3"/>
    </row>
    <row r="760" spans="6:6" ht="15" customHeight="1">
      <c r="F760" s="3"/>
    </row>
    <row r="761" spans="6:6" ht="15" customHeight="1">
      <c r="F761" s="3"/>
    </row>
    <row r="762" spans="6:6" ht="15" customHeight="1">
      <c r="F762" s="3"/>
    </row>
    <row r="763" spans="6:6" ht="15" customHeight="1">
      <c r="F763" s="3"/>
    </row>
    <row r="764" spans="6:6" ht="15" customHeight="1">
      <c r="F764" s="3"/>
    </row>
    <row r="765" spans="6:6" ht="15" customHeight="1">
      <c r="F765" s="3"/>
    </row>
    <row r="766" spans="6:6" ht="15" customHeight="1">
      <c r="F766" s="3"/>
    </row>
    <row r="767" spans="6:6" ht="15" customHeight="1">
      <c r="F767" s="3"/>
    </row>
    <row r="768" spans="6:6" ht="15" customHeight="1">
      <c r="F768" s="3"/>
    </row>
    <row r="769" spans="6:6" ht="15" customHeight="1">
      <c r="F769" s="3"/>
    </row>
    <row r="770" spans="6:6" ht="15" customHeight="1">
      <c r="F770" s="3"/>
    </row>
    <row r="771" spans="6:6" ht="15" customHeight="1">
      <c r="F771" s="3"/>
    </row>
    <row r="772" spans="6:6" ht="15" customHeight="1">
      <c r="F772" s="3"/>
    </row>
    <row r="773" spans="6:6" ht="15" customHeight="1">
      <c r="F773" s="3"/>
    </row>
    <row r="774" spans="6:6" ht="15" customHeight="1">
      <c r="F774" s="3"/>
    </row>
    <row r="775" spans="6:6" ht="15" customHeight="1">
      <c r="F775" s="3"/>
    </row>
    <row r="776" spans="6:6" ht="15" customHeight="1">
      <c r="F776" s="3"/>
    </row>
    <row r="777" spans="6:6" ht="15" customHeight="1">
      <c r="F777" s="3"/>
    </row>
    <row r="778" spans="6:6" ht="15" customHeight="1">
      <c r="F778" s="3"/>
    </row>
    <row r="779" spans="6:6" ht="15" customHeight="1">
      <c r="F779" s="3"/>
    </row>
    <row r="780" spans="6:6" ht="15" customHeight="1">
      <c r="F780" s="3"/>
    </row>
    <row r="781" spans="6:6" ht="15" customHeight="1">
      <c r="F781" s="3"/>
    </row>
    <row r="782" spans="6:6" ht="15" customHeight="1">
      <c r="F782" s="3"/>
    </row>
    <row r="783" spans="6:6" ht="15" customHeight="1">
      <c r="F783" s="3"/>
    </row>
    <row r="784" spans="6:6" ht="15" customHeight="1">
      <c r="F784" s="3"/>
    </row>
    <row r="785" spans="6:9" ht="15" customHeight="1">
      <c r="F785" s="3"/>
    </row>
    <row r="786" spans="6:9" ht="15" customHeight="1">
      <c r="F786" s="3"/>
      <c r="I786" s="3"/>
    </row>
    <row r="787" spans="6:9" ht="15" customHeight="1">
      <c r="F787" s="3"/>
    </row>
    <row r="788" spans="6:9" ht="15" customHeight="1">
      <c r="F788" s="3"/>
    </row>
    <row r="789" spans="6:9" ht="15" customHeight="1">
      <c r="F789" s="3"/>
    </row>
    <row r="790" spans="6:9" ht="15" customHeight="1">
      <c r="F790" s="3"/>
    </row>
    <row r="791" spans="6:9" ht="15" customHeight="1">
      <c r="F791" s="3"/>
    </row>
    <row r="792" spans="6:9" ht="15" customHeight="1">
      <c r="F792" s="3"/>
    </row>
    <row r="793" spans="6:9" ht="15" customHeight="1">
      <c r="F793" s="3"/>
    </row>
    <row r="794" spans="6:9" ht="15" customHeight="1">
      <c r="F794" s="3"/>
    </row>
    <row r="795" spans="6:9" ht="15" customHeight="1">
      <c r="F795" s="3"/>
    </row>
    <row r="796" spans="6:9" ht="15" customHeight="1">
      <c r="F796" s="3"/>
    </row>
    <row r="797" spans="6:9" ht="15" customHeight="1">
      <c r="F797" s="3"/>
    </row>
    <row r="798" spans="6:9" ht="15" customHeight="1">
      <c r="F798" s="3"/>
    </row>
    <row r="799" spans="6:9" ht="15" customHeight="1">
      <c r="F799" s="3"/>
      <c r="I799" s="3"/>
    </row>
    <row r="800" spans="6:9" ht="15" customHeight="1">
      <c r="F800" s="3"/>
    </row>
    <row r="801" spans="6:27" ht="15" customHeight="1">
      <c r="F801" s="3"/>
      <c r="I801" s="3"/>
    </row>
    <row r="802" spans="6:27" ht="15" customHeight="1">
      <c r="F802" s="3"/>
    </row>
    <row r="803" spans="6:27" ht="15" customHeight="1">
      <c r="F803" s="3"/>
    </row>
    <row r="804" spans="6:27" ht="15" customHeight="1">
      <c r="F804" s="3"/>
    </row>
    <row r="805" spans="6:27" ht="15" customHeight="1">
      <c r="F805" s="3"/>
    </row>
    <row r="806" spans="6:27" ht="15" customHeight="1">
      <c r="F806" s="3"/>
    </row>
    <row r="807" spans="6:27" ht="15" customHeight="1">
      <c r="F807" s="3"/>
    </row>
    <row r="808" spans="6:27" ht="15" customHeight="1">
      <c r="F808" s="3"/>
      <c r="G808" s="3"/>
      <c r="H808" s="3"/>
      <c r="J808" s="3"/>
      <c r="K808" s="3"/>
      <c r="L808" s="3"/>
      <c r="M808" s="3"/>
      <c r="N808" s="3"/>
      <c r="O808" s="3"/>
      <c r="P808" s="3"/>
      <c r="Q808" s="3"/>
      <c r="R808" s="3"/>
      <c r="S808" s="3"/>
      <c r="T808" s="3"/>
      <c r="U808" s="3"/>
      <c r="V808" s="3"/>
      <c r="W808" s="3"/>
      <c r="X808" s="3"/>
      <c r="Y808" s="3"/>
      <c r="Z808" s="3"/>
      <c r="AA808" s="3"/>
    </row>
    <row r="809" spans="6:27" ht="15" customHeight="1">
      <c r="F809" s="3"/>
    </row>
    <row r="810" spans="6:27" ht="15" customHeight="1">
      <c r="F810" s="3"/>
    </row>
    <row r="811" spans="6:27" ht="15" customHeight="1">
      <c r="F811" s="3"/>
    </row>
    <row r="812" spans="6:27" ht="15" customHeight="1">
      <c r="F812" s="3"/>
    </row>
    <row r="813" spans="6:27" ht="15" customHeight="1">
      <c r="F813" s="3"/>
    </row>
    <row r="814" spans="6:27" ht="15" customHeight="1">
      <c r="F814" s="3"/>
    </row>
    <row r="815" spans="6:27" ht="15" customHeight="1">
      <c r="F815" s="3"/>
    </row>
    <row r="816" spans="6:27"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27" ht="15" customHeight="1">
      <c r="F833" s="3"/>
    </row>
    <row r="834" spans="6:27" ht="15" customHeight="1">
      <c r="F834" s="3"/>
    </row>
    <row r="835" spans="6:27" ht="15" customHeight="1">
      <c r="F835" s="3"/>
    </row>
    <row r="836" spans="6:27" ht="15" customHeight="1">
      <c r="F836" s="3"/>
    </row>
    <row r="837" spans="6:27" ht="15" customHeight="1">
      <c r="F837" s="3"/>
    </row>
    <row r="838" spans="6:27" ht="15" customHeight="1">
      <c r="F838" s="3"/>
    </row>
    <row r="839" spans="6:27" ht="15" customHeight="1">
      <c r="F839" s="3"/>
    </row>
    <row r="840" spans="6:27" ht="15" customHeight="1">
      <c r="F840" s="3"/>
    </row>
    <row r="841" spans="6:27" ht="15" customHeight="1">
      <c r="F841" s="3"/>
    </row>
    <row r="842" spans="6:27" ht="15" customHeight="1">
      <c r="F842" s="3"/>
    </row>
    <row r="843" spans="6:27" ht="15" customHeight="1">
      <c r="F843" s="3"/>
    </row>
    <row r="844" spans="6:27" ht="15" customHeight="1">
      <c r="F844" s="3"/>
      <c r="G844" s="3"/>
      <c r="H844" s="3"/>
      <c r="J844" s="3"/>
      <c r="K844" s="3"/>
      <c r="L844" s="3"/>
      <c r="M844" s="3"/>
      <c r="N844" s="3"/>
      <c r="O844" s="3"/>
      <c r="P844" s="3"/>
      <c r="Q844" s="3"/>
      <c r="R844" s="3"/>
      <c r="S844" s="3"/>
      <c r="T844" s="3"/>
      <c r="U844" s="3"/>
      <c r="V844" s="3"/>
      <c r="W844" s="3"/>
      <c r="X844" s="3"/>
      <c r="Y844" s="3"/>
      <c r="Z844" s="3"/>
      <c r="AA844" s="3"/>
    </row>
    <row r="845" spans="6:27" ht="15" customHeight="1">
      <c r="F845" s="3"/>
    </row>
    <row r="846" spans="6:27" ht="15" customHeight="1">
      <c r="F846" s="3"/>
    </row>
    <row r="847" spans="6:27" ht="15" customHeight="1">
      <c r="F847" s="3"/>
    </row>
    <row r="848" spans="6:27" ht="15" customHeight="1">
      <c r="F848" s="3"/>
    </row>
    <row r="849" spans="6:27" ht="15" customHeight="1">
      <c r="F849" s="3"/>
    </row>
    <row r="850" spans="6:27" ht="15" customHeight="1">
      <c r="F850" s="3"/>
    </row>
    <row r="851" spans="6:27" ht="15" customHeight="1">
      <c r="F851" s="3"/>
      <c r="I851" s="3"/>
    </row>
    <row r="852" spans="6:27" ht="15" customHeight="1">
      <c r="F852" s="3"/>
    </row>
    <row r="853" spans="6:27" ht="15" customHeight="1">
      <c r="F853" s="3"/>
    </row>
    <row r="854" spans="6:27" ht="15" customHeight="1">
      <c r="F854" s="3"/>
    </row>
    <row r="855" spans="6:27" ht="15" customHeight="1">
      <c r="F855" s="3"/>
    </row>
    <row r="856" spans="6:27" ht="15" customHeight="1">
      <c r="F856" s="4"/>
    </row>
    <row r="857" spans="6:27" ht="15" customHeight="1">
      <c r="F857" s="4"/>
    </row>
    <row r="858" spans="6:27" ht="15" customHeight="1">
      <c r="F858" s="3"/>
    </row>
    <row r="859" spans="6:27" ht="15" customHeight="1">
      <c r="F859" s="3"/>
    </row>
    <row r="860" spans="6:27" ht="15" customHeight="1">
      <c r="F860" s="3"/>
      <c r="G860" s="3"/>
      <c r="H860" s="3"/>
      <c r="I860" s="3"/>
      <c r="J860" s="3"/>
      <c r="K860" s="3"/>
      <c r="L860" s="3"/>
      <c r="M860" s="3"/>
      <c r="N860" s="3"/>
      <c r="O860" s="3"/>
      <c r="P860" s="3"/>
      <c r="Q860" s="3"/>
      <c r="R860" s="3"/>
      <c r="S860" s="3"/>
      <c r="T860" s="3"/>
      <c r="U860" s="3"/>
      <c r="V860" s="3"/>
      <c r="W860" s="3"/>
      <c r="X860" s="3"/>
      <c r="Y860" s="3"/>
      <c r="Z860" s="3"/>
      <c r="AA860" s="3"/>
    </row>
    <row r="861" spans="6:27" ht="15" customHeight="1">
      <c r="F861" s="3"/>
      <c r="G861" s="3"/>
      <c r="H861" s="3"/>
      <c r="J861" s="3"/>
      <c r="K861" s="3"/>
      <c r="L861" s="3"/>
      <c r="M861" s="3"/>
      <c r="N861" s="3"/>
      <c r="O861" s="3"/>
      <c r="P861" s="3"/>
      <c r="Q861" s="3"/>
      <c r="R861" s="3"/>
      <c r="S861" s="3"/>
      <c r="T861" s="3"/>
      <c r="U861" s="3"/>
      <c r="V861" s="3"/>
      <c r="W861" s="3"/>
      <c r="X861" s="3"/>
      <c r="Y861" s="3"/>
      <c r="Z861" s="3"/>
      <c r="AA861" s="3"/>
    </row>
    <row r="862" spans="6:27" ht="15" customHeight="1">
      <c r="F862" s="3"/>
    </row>
    <row r="863" spans="6:27" ht="15" customHeight="1">
      <c r="F863" s="3"/>
    </row>
    <row r="864" spans="6:27" ht="15" customHeight="1">
      <c r="F864" s="3"/>
    </row>
    <row r="865" spans="6:27" ht="15" customHeight="1">
      <c r="F865" s="3"/>
    </row>
    <row r="866" spans="6:27" ht="15" customHeight="1">
      <c r="F866" s="33"/>
    </row>
    <row r="867" spans="6:27" ht="15" customHeight="1">
      <c r="F867" s="33"/>
      <c r="G867" s="3"/>
      <c r="H867" s="3"/>
      <c r="J867" s="3"/>
      <c r="K867" s="3"/>
      <c r="L867" s="3"/>
      <c r="M867" s="3"/>
      <c r="N867" s="3"/>
      <c r="O867" s="3"/>
      <c r="P867" s="3"/>
      <c r="Q867" s="3"/>
      <c r="R867" s="3"/>
      <c r="S867" s="3"/>
      <c r="T867" s="3"/>
      <c r="U867" s="3"/>
      <c r="V867" s="3"/>
      <c r="W867" s="3"/>
      <c r="X867" s="3"/>
      <c r="Y867" s="3"/>
      <c r="Z867" s="3"/>
      <c r="AA867" s="3"/>
    </row>
    <row r="868" spans="6:27" ht="15" customHeight="1">
      <c r="F868" s="33"/>
    </row>
    <row r="869" spans="6:27" ht="15" customHeight="1">
      <c r="F869" s="33"/>
    </row>
    <row r="870" spans="6:27" ht="15" customHeight="1">
      <c r="F870" s="33"/>
    </row>
    <row r="871" spans="6:27" ht="15" customHeight="1">
      <c r="F871" s="33"/>
    </row>
    <row r="872" spans="6:27" ht="15" customHeight="1">
      <c r="F872" s="33"/>
    </row>
    <row r="873" spans="6:27" ht="15" customHeight="1">
      <c r="F873" s="33"/>
    </row>
    <row r="874" spans="6:27" ht="15" customHeight="1">
      <c r="F874" s="33"/>
    </row>
    <row r="875" spans="6:27" ht="15" customHeight="1">
      <c r="F875" s="33"/>
    </row>
    <row r="876" spans="6:27" ht="15" customHeight="1">
      <c r="F876" s="33"/>
    </row>
    <row r="877" spans="6:27" ht="15" customHeight="1">
      <c r="F877" s="33"/>
    </row>
    <row r="878" spans="6:27" ht="15" customHeight="1">
      <c r="F878" s="33"/>
    </row>
    <row r="879" spans="6:27" ht="15" customHeight="1">
      <c r="F879" s="3"/>
    </row>
    <row r="880" spans="6:27"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3"/>
    </row>
    <row r="890" spans="6:6" ht="15" customHeight="1">
      <c r="F890" s="33"/>
    </row>
    <row r="891" spans="6:6" ht="15" customHeight="1">
      <c r="F891" s="33"/>
    </row>
    <row r="892" spans="6:6" ht="15" customHeight="1">
      <c r="F892" s="33"/>
    </row>
    <row r="893" spans="6:6" ht="15" customHeight="1">
      <c r="F893" s="33"/>
    </row>
    <row r="894" spans="6:6" ht="15" customHeight="1">
      <c r="F894" s="33"/>
    </row>
    <row r="895" spans="6:6" ht="15" customHeight="1">
      <c r="F895" s="33"/>
    </row>
    <row r="896" spans="6:6" ht="15" customHeight="1">
      <c r="F896" s="33"/>
    </row>
    <row r="897" spans="6:9" ht="15" customHeight="1">
      <c r="F897" s="33"/>
    </row>
    <row r="898" spans="6:9" ht="15" customHeight="1">
      <c r="F898" s="33"/>
    </row>
    <row r="899" spans="6:9" ht="15" customHeight="1">
      <c r="F899" s="33"/>
    </row>
    <row r="900" spans="6:9" ht="15" customHeight="1">
      <c r="F900" s="33"/>
    </row>
    <row r="901" spans="6:9" ht="15" customHeight="1">
      <c r="F901" s="33"/>
    </row>
    <row r="902" spans="6:9" ht="15" customHeight="1">
      <c r="F902" s="33"/>
    </row>
    <row r="903" spans="6:9" ht="15" customHeight="1">
      <c r="F903" s="33"/>
    </row>
    <row r="904" spans="6:9" ht="15" customHeight="1">
      <c r="F904" s="33"/>
    </row>
    <row r="905" spans="6:9" ht="15" customHeight="1">
      <c r="F905" s="33"/>
    </row>
    <row r="906" spans="6:9" ht="15" customHeight="1">
      <c r="F906" s="33"/>
    </row>
    <row r="907" spans="6:9" ht="15" customHeight="1">
      <c r="F907" s="33"/>
    </row>
    <row r="908" spans="6:9" ht="15" customHeight="1">
      <c r="F908" s="33"/>
    </row>
    <row r="909" spans="6:9" ht="15" customHeight="1">
      <c r="F909" s="33"/>
    </row>
    <row r="910" spans="6:9" ht="15" customHeight="1">
      <c r="F910" s="33"/>
    </row>
    <row r="911" spans="6:9" ht="15" customHeight="1">
      <c r="F911" s="33"/>
      <c r="I911" s="3"/>
    </row>
    <row r="912" spans="6:9" ht="15" customHeight="1">
      <c r="F912" s="33"/>
      <c r="I912" s="3"/>
    </row>
    <row r="913" spans="6:27" ht="15" customHeight="1">
      <c r="F913" s="33"/>
    </row>
    <row r="914" spans="6:27" ht="15" customHeight="1">
      <c r="F914" s="33"/>
    </row>
    <row r="915" spans="6:27" ht="15" customHeight="1">
      <c r="F915" s="33"/>
    </row>
    <row r="916" spans="6:27" ht="15" customHeight="1">
      <c r="F916" s="33"/>
      <c r="G916" s="3"/>
      <c r="H916" s="3"/>
      <c r="J916" s="3"/>
      <c r="K916" s="3"/>
      <c r="L916" s="3"/>
      <c r="M916" s="3"/>
      <c r="N916" s="3"/>
      <c r="O916" s="3"/>
      <c r="P916" s="3"/>
      <c r="Q916" s="3"/>
      <c r="R916" s="3"/>
      <c r="S916" s="3"/>
      <c r="T916" s="3"/>
      <c r="U916" s="3"/>
      <c r="V916" s="3"/>
      <c r="W916" s="3"/>
      <c r="X916" s="3"/>
      <c r="Y916" s="3"/>
      <c r="Z916" s="3"/>
      <c r="AA916" s="3"/>
    </row>
    <row r="917" spans="6:27" ht="15" customHeight="1">
      <c r="F917" s="33"/>
    </row>
    <row r="918" spans="6:27" ht="15" customHeight="1">
      <c r="F918" s="33"/>
      <c r="I918" s="3"/>
    </row>
    <row r="919" spans="6:27" ht="15" customHeight="1">
      <c r="F919" s="33"/>
    </row>
    <row r="920" spans="6:27" ht="15" customHeight="1">
      <c r="F920" s="33"/>
    </row>
    <row r="921" spans="6:27" ht="15" customHeight="1">
      <c r="F921" s="33"/>
    </row>
    <row r="922" spans="6:27" ht="15" customHeight="1">
      <c r="F922" s="33"/>
    </row>
    <row r="923" spans="6:27" ht="15" customHeight="1">
      <c r="F923" s="33"/>
      <c r="I923" s="3"/>
    </row>
    <row r="924" spans="6:27" ht="15" customHeight="1">
      <c r="F924" s="33"/>
    </row>
    <row r="925" spans="6:27" ht="15" customHeight="1">
      <c r="F925" s="33"/>
    </row>
    <row r="926" spans="6:27" ht="15" customHeight="1">
      <c r="F926" s="33"/>
    </row>
    <row r="927" spans="6:27" ht="15" customHeight="1">
      <c r="F927" s="33"/>
    </row>
    <row r="928" spans="6:27" ht="15" customHeight="1">
      <c r="F928" s="33"/>
    </row>
    <row r="929" spans="6:6" ht="15" customHeight="1">
      <c r="F929" s="33"/>
    </row>
    <row r="930" spans="6:6" ht="15" customHeight="1">
      <c r="F930" s="33"/>
    </row>
    <row r="931" spans="6:6" ht="15" customHeight="1">
      <c r="F931" s="33"/>
    </row>
    <row r="932" spans="6:6" ht="15" customHeight="1">
      <c r="F932" s="33"/>
    </row>
    <row r="933" spans="6:6" ht="15" customHeight="1">
      <c r="F933" s="33"/>
    </row>
    <row r="934" spans="6:6" ht="15" customHeight="1">
      <c r="F934" s="33"/>
    </row>
    <row r="935" spans="6:6" ht="15" customHeight="1">
      <c r="F935" s="33"/>
    </row>
    <row r="936" spans="6:6" ht="15" customHeight="1">
      <c r="F936" s="33"/>
    </row>
    <row r="937" spans="6:6" ht="15" customHeight="1">
      <c r="F937" s="33"/>
    </row>
    <row r="938" spans="6:6" ht="15" customHeight="1">
      <c r="F938" s="33"/>
    </row>
    <row r="939" spans="6:6" ht="15" customHeight="1">
      <c r="F939" s="33"/>
    </row>
    <row r="940" spans="6:6" ht="15" customHeight="1">
      <c r="F940" s="33"/>
    </row>
    <row r="941" spans="6:6" ht="15" customHeight="1">
      <c r="F941" s="33"/>
    </row>
    <row r="942" spans="6:6" ht="15" customHeight="1">
      <c r="F942" s="33"/>
    </row>
    <row r="943" spans="6:6" ht="15" customHeight="1">
      <c r="F943" s="33"/>
    </row>
    <row r="944" spans="6:6" ht="15" customHeight="1">
      <c r="F944" s="33"/>
    </row>
    <row r="945" spans="6:6" ht="15" customHeight="1">
      <c r="F945" s="33"/>
    </row>
    <row r="946" spans="6:6" ht="15" customHeight="1">
      <c r="F946" s="33"/>
    </row>
    <row r="947" spans="6:6" ht="15" customHeight="1">
      <c r="F947" s="33"/>
    </row>
    <row r="948" spans="6:6" ht="15" customHeight="1">
      <c r="F948" s="33"/>
    </row>
    <row r="949" spans="6:6" ht="15" customHeight="1">
      <c r="F949" s="33"/>
    </row>
    <row r="950" spans="6:6" ht="15" customHeight="1">
      <c r="F950" s="33"/>
    </row>
    <row r="951" spans="6:6" ht="15" customHeight="1">
      <c r="F951" s="33"/>
    </row>
    <row r="952" spans="6:6" ht="15" customHeight="1">
      <c r="F952" s="33"/>
    </row>
    <row r="953" spans="6:6" ht="15" customHeight="1">
      <c r="F953" s="33"/>
    </row>
    <row r="954" spans="6:6" ht="15" customHeight="1">
      <c r="F954" s="33"/>
    </row>
    <row r="955" spans="6:6" ht="15" customHeight="1">
      <c r="F955" s="33"/>
    </row>
    <row r="956" spans="6:6" ht="15" customHeight="1">
      <c r="F956" s="4"/>
    </row>
    <row r="957" spans="6:6" ht="15" customHeight="1">
      <c r="F957" s="4"/>
    </row>
    <row r="958" spans="6:6" ht="15" customHeight="1">
      <c r="F958" s="4"/>
    </row>
    <row r="959" spans="6:6" ht="15" customHeight="1">
      <c r="F959" s="4"/>
    </row>
    <row r="960" spans="6:6" ht="15" customHeight="1">
      <c r="F960" s="4"/>
    </row>
    <row r="961" spans="6:27" ht="15" customHeight="1">
      <c r="F961" s="4"/>
    </row>
    <row r="962" spans="6:27" ht="15" customHeight="1">
      <c r="F962" s="4"/>
    </row>
    <row r="963" spans="6:27" ht="15" customHeight="1">
      <c r="F963" s="4"/>
    </row>
    <row r="964" spans="6:27" ht="15" customHeight="1">
      <c r="F964" s="4"/>
      <c r="G964" s="3"/>
      <c r="H964" s="3"/>
      <c r="J964" s="3"/>
      <c r="K964" s="3"/>
      <c r="L964" s="3"/>
      <c r="M964" s="3"/>
      <c r="N964" s="3"/>
      <c r="O964" s="3"/>
      <c r="P964" s="3"/>
      <c r="Q964" s="3"/>
      <c r="R964" s="3"/>
      <c r="S964" s="3"/>
      <c r="T964" s="3"/>
      <c r="U964" s="3"/>
      <c r="V964" s="3"/>
      <c r="W964" s="3"/>
      <c r="X964" s="3"/>
      <c r="Y964" s="3"/>
      <c r="Z964" s="3"/>
      <c r="AA964" s="3"/>
    </row>
    <row r="965" spans="6:27" ht="15" customHeight="1">
      <c r="F965" s="4"/>
    </row>
    <row r="966" spans="6:27" ht="15" customHeight="1">
      <c r="F966" s="4"/>
    </row>
    <row r="967" spans="6:27" ht="15" customHeight="1">
      <c r="F967" s="4"/>
    </row>
    <row r="968" spans="6:27" ht="15" customHeight="1">
      <c r="F968" s="4"/>
    </row>
    <row r="969" spans="6:27" ht="15" customHeight="1">
      <c r="F969" s="4"/>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row>
    <row r="977" spans="6:27" ht="15" customHeight="1">
      <c r="F977" s="3"/>
    </row>
    <row r="978" spans="6:27" ht="15" customHeight="1">
      <c r="F978" s="3"/>
    </row>
    <row r="979" spans="6:27" ht="15" customHeight="1">
      <c r="F979" s="3"/>
    </row>
    <row r="980" spans="6:27" ht="15" customHeight="1">
      <c r="F980" s="3"/>
    </row>
    <row r="981" spans="6:27" ht="15" customHeight="1">
      <c r="F981" s="3"/>
      <c r="G981" s="3"/>
      <c r="H981" s="3"/>
      <c r="J981" s="3"/>
      <c r="K981" s="3"/>
      <c r="L981" s="3"/>
      <c r="M981" s="3"/>
      <c r="N981" s="3"/>
      <c r="O981" s="3"/>
      <c r="P981" s="3"/>
      <c r="Q981" s="3"/>
      <c r="R981" s="3"/>
      <c r="S981" s="3"/>
      <c r="T981" s="3"/>
      <c r="U981" s="3"/>
      <c r="V981" s="3"/>
      <c r="W981" s="3"/>
      <c r="X981" s="3"/>
      <c r="Y981" s="3"/>
      <c r="Z981" s="3"/>
      <c r="AA981" s="3"/>
    </row>
    <row r="982" spans="6:27" ht="15" customHeight="1">
      <c r="F982" s="3"/>
    </row>
    <row r="983" spans="6:27" ht="15" customHeight="1">
      <c r="F983" s="3"/>
    </row>
    <row r="984" spans="6:27" ht="15" customHeight="1">
      <c r="F984" s="3"/>
      <c r="G984" s="3"/>
      <c r="H984" s="3"/>
      <c r="J984" s="3"/>
      <c r="K984" s="3"/>
      <c r="L984" s="3"/>
      <c r="M984" s="3"/>
      <c r="N984" s="3"/>
      <c r="O984" s="3"/>
      <c r="P984" s="3"/>
      <c r="Q984" s="3"/>
      <c r="R984" s="3"/>
      <c r="S984" s="3"/>
      <c r="T984" s="3"/>
      <c r="U984" s="3"/>
      <c r="V984" s="3"/>
      <c r="W984" s="3"/>
      <c r="X984" s="3"/>
      <c r="Y984" s="3"/>
      <c r="Z984" s="3"/>
      <c r="AA984" s="3"/>
    </row>
    <row r="985" spans="6:27" ht="15" customHeight="1">
      <c r="F985" s="3"/>
    </row>
    <row r="986" spans="6:27" ht="15" customHeight="1">
      <c r="F986" s="3"/>
    </row>
    <row r="987" spans="6:27" ht="15" customHeight="1">
      <c r="F987" s="3"/>
    </row>
    <row r="988" spans="6:27" ht="15" customHeight="1">
      <c r="F988" s="3"/>
    </row>
    <row r="989" spans="6:27" ht="15" customHeight="1">
      <c r="F989" s="3"/>
    </row>
    <row r="990" spans="6:27" ht="15" customHeight="1">
      <c r="F990" s="3"/>
    </row>
    <row r="991" spans="6:27" ht="15" customHeight="1">
      <c r="F991" s="3"/>
    </row>
    <row r="992" spans="6:27" ht="15" customHeight="1">
      <c r="F992" s="3"/>
    </row>
    <row r="993" spans="6:6" ht="15" customHeight="1">
      <c r="F993" s="3"/>
    </row>
    <row r="994" spans="6:6" ht="15" customHeight="1">
      <c r="F994" s="3"/>
    </row>
    <row r="995" spans="6:6" ht="15" customHeight="1">
      <c r="F995" s="3"/>
    </row>
    <row r="996" spans="6:6" ht="15" customHeight="1">
      <c r="F996" s="3"/>
    </row>
    <row r="997" spans="6:6" ht="15" customHeight="1">
      <c r="F997" s="3"/>
    </row>
    <row r="998" spans="6:6" ht="15" customHeight="1">
      <c r="F998" s="3"/>
    </row>
    <row r="999" spans="6:6" ht="15" customHeight="1">
      <c r="F999" s="3"/>
    </row>
    <row r="1000" spans="6:6" ht="15" customHeight="1">
      <c r="F1000" s="3"/>
    </row>
    <row r="1001" spans="6:6" ht="15" customHeight="1">
      <c r="F1001" s="3"/>
    </row>
    <row r="1002" spans="6:6" ht="15" customHeight="1">
      <c r="F1002" s="3"/>
    </row>
    <row r="1003" spans="6:6" ht="15" customHeight="1">
      <c r="F1003" s="3"/>
    </row>
    <row r="1004" spans="6:6" ht="15" customHeight="1">
      <c r="F1004" s="3"/>
    </row>
    <row r="1005" spans="6:6" ht="15" customHeight="1">
      <c r="F1005" s="3"/>
    </row>
    <row r="1006" spans="6:6" ht="15" customHeight="1">
      <c r="F1006" s="3"/>
    </row>
    <row r="1007" spans="6:6" ht="15" customHeight="1">
      <c r="F1007" s="3"/>
    </row>
    <row r="1008" spans="6:6"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c r="I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row>
    <row r="1024" spans="6:9" ht="15" customHeight="1">
      <c r="F1024" s="3"/>
    </row>
    <row r="1025" spans="6:9" ht="15" customHeight="1">
      <c r="F1025" s="3"/>
    </row>
    <row r="1026" spans="6:9" ht="15" customHeight="1">
      <c r="F1026" s="3"/>
      <c r="I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c r="I1032" s="3"/>
    </row>
    <row r="1033" spans="6:9" ht="15" customHeight="1">
      <c r="F1033" s="3"/>
    </row>
    <row r="1034" spans="6:9" ht="15" customHeight="1">
      <c r="F1034" s="3"/>
    </row>
    <row r="1035" spans="6:9" ht="15" customHeight="1">
      <c r="F1035" s="3"/>
      <c r="I1035" s="3"/>
    </row>
    <row r="1036" spans="6:9" ht="15" customHeight="1">
      <c r="F1036" s="3"/>
    </row>
    <row r="1037" spans="6:9" ht="15" customHeight="1">
      <c r="F1037" s="3"/>
    </row>
    <row r="1038" spans="6:9" ht="15" customHeight="1">
      <c r="F1038" s="3"/>
    </row>
    <row r="1039" spans="6:9" ht="15" customHeight="1">
      <c r="F1039" s="3"/>
    </row>
    <row r="1040" spans="6:9" ht="15" customHeight="1">
      <c r="F1040" s="3"/>
    </row>
    <row r="1041" spans="6:27" ht="15" customHeight="1">
      <c r="F1041" s="3"/>
    </row>
    <row r="1042" spans="6:27" ht="15" customHeight="1">
      <c r="F1042" s="3"/>
    </row>
    <row r="1043" spans="6:27" ht="15" customHeight="1">
      <c r="F1043" s="3"/>
    </row>
    <row r="1044" spans="6:27" ht="15" customHeight="1">
      <c r="F1044" s="3"/>
    </row>
    <row r="1045" spans="6:27" ht="15" customHeight="1">
      <c r="F1045" s="3"/>
      <c r="G1045" s="3"/>
      <c r="H1045" s="3"/>
      <c r="J1045" s="3"/>
      <c r="K1045" s="3"/>
      <c r="L1045" s="3"/>
      <c r="M1045" s="3"/>
      <c r="N1045" s="3"/>
      <c r="O1045" s="3"/>
      <c r="P1045" s="3"/>
      <c r="Q1045" s="3"/>
      <c r="R1045" s="3"/>
      <c r="S1045" s="3"/>
      <c r="T1045" s="3"/>
      <c r="U1045" s="3"/>
      <c r="V1045" s="3"/>
      <c r="W1045" s="3"/>
      <c r="X1045" s="3"/>
      <c r="Y1045" s="3"/>
      <c r="Z1045" s="3"/>
      <c r="AA1045" s="3"/>
    </row>
    <row r="1046" spans="6:27" ht="15" customHeight="1">
      <c r="F1046" s="3"/>
    </row>
    <row r="1047" spans="6:27" ht="15" customHeight="1">
      <c r="F1047" s="3"/>
    </row>
    <row r="1048" spans="6:27" ht="15" customHeight="1">
      <c r="F1048" s="3"/>
    </row>
    <row r="1049" spans="6:27" ht="15" customHeight="1">
      <c r="F1049" s="3"/>
    </row>
    <row r="1050" spans="6:27" ht="15" customHeight="1">
      <c r="F1050" s="3"/>
    </row>
    <row r="1051" spans="6:27" ht="15" customHeight="1">
      <c r="F1051" s="3"/>
    </row>
    <row r="1052" spans="6:27" ht="15" customHeight="1">
      <c r="F1052" s="3"/>
    </row>
    <row r="1053" spans="6:27" ht="15" customHeight="1">
      <c r="F1053" s="3"/>
    </row>
    <row r="1054" spans="6:27" ht="15" customHeight="1">
      <c r="F1054" s="3"/>
    </row>
    <row r="1055" spans="6:27" ht="15" customHeight="1">
      <c r="F1055" s="3"/>
    </row>
    <row r="1056" spans="6:27" ht="15" customHeight="1">
      <c r="F1056" s="3"/>
      <c r="K1056" s="3"/>
      <c r="L1056" s="3"/>
      <c r="M1056" s="3"/>
    </row>
    <row r="1057" spans="6:6" ht="15" customHeight="1">
      <c r="F1057" s="3"/>
    </row>
    <row r="1058" spans="6:6" ht="15" customHeight="1">
      <c r="F1058" s="3"/>
    </row>
    <row r="1059" spans="6:6" ht="15" customHeight="1">
      <c r="F1059" s="3"/>
    </row>
    <row r="1060" spans="6:6" ht="15" customHeight="1">
      <c r="F1060" s="3"/>
    </row>
    <row r="1061" spans="6:6" ht="15" customHeight="1">
      <c r="F1061" s="3"/>
    </row>
    <row r="1062" spans="6:6" ht="15" customHeight="1">
      <c r="F1062" s="3"/>
    </row>
    <row r="1063" spans="6:6" ht="15" customHeight="1">
      <c r="F1063" s="3"/>
    </row>
    <row r="1064" spans="6:6" ht="15" customHeight="1">
      <c r="F1064" s="3"/>
    </row>
    <row r="1065" spans="6:6" ht="15" customHeight="1">
      <c r="F1065" s="3"/>
    </row>
    <row r="1066" spans="6:6" ht="15" customHeight="1">
      <c r="F1066" s="3"/>
    </row>
    <row r="1067" spans="6:6" ht="15" customHeight="1">
      <c r="F1067" s="3"/>
    </row>
    <row r="1068" spans="6:6" ht="15" customHeight="1">
      <c r="F1068" s="3"/>
    </row>
    <row r="1069" spans="6:6" ht="15" customHeight="1">
      <c r="F1069" s="3"/>
    </row>
    <row r="1070" spans="6:6" ht="15" customHeight="1">
      <c r="F1070" s="3"/>
    </row>
    <row r="1071" spans="6:6" ht="15" customHeight="1">
      <c r="F1071" s="3"/>
    </row>
    <row r="1072" spans="6:6" ht="15" customHeight="1">
      <c r="F1072" s="3"/>
    </row>
    <row r="1073" spans="6:27" ht="15" customHeight="1">
      <c r="F1073" s="3"/>
    </row>
    <row r="1074" spans="6:27" ht="15" customHeight="1">
      <c r="F1074" s="3"/>
    </row>
    <row r="1075" spans="6:27" ht="15" customHeight="1">
      <c r="F1075" s="3"/>
    </row>
    <row r="1076" spans="6:27" ht="15" customHeight="1">
      <c r="F1076" s="3"/>
    </row>
    <row r="1077" spans="6:27" ht="15" customHeight="1">
      <c r="F1077" s="3"/>
    </row>
    <row r="1078" spans="6:27" ht="15" customHeight="1">
      <c r="F1078" s="3"/>
    </row>
    <row r="1079" spans="6:27" ht="15" customHeight="1">
      <c r="F1079" s="3"/>
    </row>
    <row r="1080" spans="6:27" ht="15" customHeight="1">
      <c r="F1080" s="3"/>
    </row>
    <row r="1081" spans="6:27" ht="15" customHeight="1">
      <c r="F1081" s="3"/>
      <c r="G1081" s="3"/>
      <c r="H1081" s="3"/>
      <c r="J1081" s="3"/>
      <c r="K1081" s="3"/>
      <c r="L1081" s="3"/>
      <c r="M1081" s="3"/>
      <c r="N1081" s="3"/>
      <c r="O1081" s="3"/>
      <c r="P1081" s="3"/>
      <c r="Q1081" s="3"/>
      <c r="R1081" s="3"/>
      <c r="S1081" s="3"/>
      <c r="T1081" s="3"/>
      <c r="U1081" s="3"/>
      <c r="V1081" s="3"/>
      <c r="W1081" s="3"/>
      <c r="X1081" s="3"/>
      <c r="Y1081" s="3"/>
      <c r="Z1081" s="3"/>
      <c r="AA1081" s="3"/>
    </row>
    <row r="1082" spans="6:27" ht="15" customHeight="1">
      <c r="F1082" s="3"/>
    </row>
    <row r="1083" spans="6:27" ht="15" customHeight="1">
      <c r="F1083" s="3"/>
    </row>
    <row r="1084" spans="6:27" ht="15" customHeight="1">
      <c r="F1084" s="3"/>
      <c r="G1084" s="3"/>
      <c r="H1084" s="3"/>
      <c r="J1084" s="3"/>
      <c r="K1084" s="3"/>
      <c r="L1084" s="3"/>
      <c r="M1084" s="3"/>
      <c r="N1084" s="3"/>
      <c r="O1084" s="3"/>
      <c r="P1084" s="3"/>
      <c r="Q1084" s="3"/>
      <c r="R1084" s="3"/>
      <c r="S1084" s="3"/>
      <c r="T1084" s="3"/>
      <c r="U1084" s="3"/>
      <c r="V1084" s="3"/>
      <c r="W1084" s="3"/>
      <c r="X1084" s="3"/>
      <c r="Y1084" s="3"/>
      <c r="Z1084" s="3"/>
      <c r="AA1084" s="3"/>
    </row>
    <row r="1085" spans="6:27" ht="15" customHeight="1">
      <c r="F1085" s="3"/>
      <c r="G1085" s="3"/>
      <c r="H1085" s="3"/>
      <c r="J1085" s="3"/>
      <c r="K1085" s="3"/>
      <c r="L1085" s="3"/>
      <c r="M1085" s="3"/>
      <c r="N1085" s="3"/>
      <c r="O1085" s="3"/>
      <c r="P1085" s="3"/>
      <c r="Q1085" s="3"/>
      <c r="R1085" s="3"/>
      <c r="S1085" s="3"/>
      <c r="T1085" s="3"/>
      <c r="U1085" s="3"/>
      <c r="V1085" s="3"/>
      <c r="W1085" s="3"/>
      <c r="X1085" s="3"/>
      <c r="Y1085" s="3"/>
      <c r="Z1085" s="3"/>
      <c r="AA1085" s="3"/>
    </row>
    <row r="1086" spans="6:27" ht="15" customHeight="1">
      <c r="F1086" s="3"/>
    </row>
    <row r="1087" spans="6:27" ht="15" customHeight="1">
      <c r="F1087" s="3"/>
    </row>
    <row r="1088" spans="6:27" ht="15" customHeight="1">
      <c r="F1088" s="3"/>
      <c r="I1088" s="3"/>
    </row>
    <row r="1089" spans="6:27" ht="15" customHeight="1">
      <c r="F1089" s="3"/>
    </row>
    <row r="1090" spans="6:27" ht="15" customHeight="1">
      <c r="F1090" s="3"/>
    </row>
    <row r="1091" spans="6:27" ht="15" customHeight="1">
      <c r="F1091" s="3"/>
      <c r="G1091" s="3"/>
      <c r="H1091" s="3"/>
      <c r="J1091" s="3"/>
      <c r="K1091" s="3"/>
      <c r="L1091" s="3"/>
      <c r="M1091" s="3"/>
      <c r="N1091" s="3"/>
      <c r="O1091" s="3"/>
      <c r="P1091" s="3"/>
      <c r="Q1091" s="3"/>
      <c r="R1091" s="3"/>
      <c r="S1091" s="3"/>
      <c r="T1091" s="3"/>
      <c r="U1091" s="3"/>
      <c r="V1091" s="3"/>
      <c r="W1091" s="3"/>
      <c r="X1091" s="3"/>
      <c r="Y1091" s="3"/>
      <c r="Z1091" s="3"/>
      <c r="AA1091" s="3"/>
    </row>
    <row r="1092" spans="6:27" ht="15" customHeight="1">
      <c r="F1092" s="3"/>
    </row>
    <row r="1093" spans="6:27" ht="15" customHeight="1">
      <c r="F1093" s="3"/>
    </row>
    <row r="1094" spans="6:27" ht="15" customHeight="1">
      <c r="F1094" s="3"/>
    </row>
    <row r="1095" spans="6:27" ht="15" customHeight="1">
      <c r="F1095" s="3"/>
    </row>
    <row r="1096" spans="6:27" ht="15" customHeight="1">
      <c r="F1096" s="3"/>
      <c r="I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9" ht="15" customHeight="1">
      <c r="F1121" s="3"/>
    </row>
    <row r="1122" spans="6:9" ht="15" customHeight="1">
      <c r="F1122" s="3"/>
    </row>
    <row r="1123" spans="6:9" ht="15" customHeight="1">
      <c r="F1123" s="3"/>
    </row>
    <row r="1124" spans="6:9" ht="15" customHeight="1">
      <c r="F1124" s="3"/>
    </row>
    <row r="1125" spans="6:9" ht="15" customHeight="1">
      <c r="F1125" s="3"/>
    </row>
    <row r="1126" spans="6:9" ht="15" customHeight="1">
      <c r="F1126" s="3"/>
    </row>
    <row r="1127" spans="6:9" ht="15" customHeight="1">
      <c r="F1127" s="3"/>
    </row>
    <row r="1128" spans="6:9" ht="15" customHeight="1">
      <c r="F1128" s="3"/>
    </row>
    <row r="1129" spans="6:9" ht="15" customHeight="1">
      <c r="F1129" s="3"/>
    </row>
    <row r="1130" spans="6:9" ht="15" customHeight="1">
      <c r="F1130" s="3"/>
    </row>
    <row r="1131" spans="6:9" ht="15" customHeight="1">
      <c r="F1131" s="3"/>
    </row>
    <row r="1132" spans="6:9" ht="15" customHeight="1">
      <c r="F1132" s="3"/>
    </row>
    <row r="1133" spans="6:9" ht="15" customHeight="1">
      <c r="F1133" s="3"/>
    </row>
    <row r="1134" spans="6:9" ht="15" customHeight="1">
      <c r="F1134" s="3"/>
    </row>
    <row r="1135" spans="6:9" ht="15" customHeight="1">
      <c r="F1135" s="3"/>
      <c r="I1135" s="3"/>
    </row>
    <row r="1136" spans="6:9" ht="15" customHeight="1">
      <c r="F1136" s="3"/>
      <c r="I1136" s="3"/>
    </row>
    <row r="1137" spans="6:27" ht="15" customHeight="1">
      <c r="F1137" s="3"/>
    </row>
    <row r="1138" spans="6:27" ht="15" customHeight="1">
      <c r="F1138" s="3"/>
    </row>
    <row r="1139" spans="6:27" ht="15" customHeight="1">
      <c r="F1139" s="3"/>
    </row>
    <row r="1140" spans="6:27" ht="15" customHeight="1">
      <c r="F1140" s="3"/>
    </row>
    <row r="1141" spans="6:27" ht="15.75" customHeight="1">
      <c r="F1141" s="3"/>
    </row>
    <row r="1142" spans="6:27" ht="15.75" customHeight="1">
      <c r="F1142" s="3"/>
      <c r="I1142" s="3"/>
    </row>
    <row r="1143" spans="6:27" ht="15.75" customHeight="1">
      <c r="F1143" s="3"/>
    </row>
    <row r="1144" spans="6:27" ht="15.75" customHeight="1">
      <c r="F1144" s="3"/>
    </row>
    <row r="1145" spans="6:27" ht="15.75" customHeight="1">
      <c r="F1145" s="3"/>
    </row>
    <row r="1146" spans="6:27" ht="15.75" customHeight="1">
      <c r="F1146" s="3"/>
    </row>
    <row r="1147" spans="6:27" ht="15.75" customHeight="1">
      <c r="F1147" s="3"/>
    </row>
    <row r="1148" spans="6:27" ht="15.75" customHeight="1">
      <c r="F1148" s="3"/>
      <c r="G1148" s="3"/>
      <c r="H1148" s="3"/>
      <c r="J1148" s="3"/>
      <c r="K1148" s="3"/>
      <c r="L1148" s="3"/>
      <c r="M1148" s="3"/>
      <c r="N1148" s="3"/>
      <c r="O1148" s="3"/>
      <c r="P1148" s="3"/>
      <c r="Q1148" s="3"/>
      <c r="R1148" s="3"/>
      <c r="S1148" s="3"/>
      <c r="T1148" s="3"/>
      <c r="U1148" s="3"/>
      <c r="V1148" s="3"/>
      <c r="W1148" s="3"/>
      <c r="X1148" s="3"/>
      <c r="Y1148" s="3"/>
      <c r="Z1148" s="3"/>
      <c r="AA1148" s="3"/>
    </row>
    <row r="1149" spans="6:27" ht="15.75" customHeight="1">
      <c r="F1149" s="3"/>
    </row>
    <row r="1150" spans="6:27" ht="15.75" customHeight="1">
      <c r="F1150" s="3"/>
    </row>
    <row r="1151" spans="6:27" ht="15.75" customHeight="1">
      <c r="F1151" s="3"/>
    </row>
    <row r="1152" spans="6:27" ht="15.75" customHeight="1">
      <c r="F1152" s="3"/>
    </row>
    <row r="1153" spans="6:9" ht="15.75" customHeight="1">
      <c r="F1153" s="3"/>
    </row>
    <row r="1154" spans="6:9" ht="15.75" customHeight="1">
      <c r="F1154" s="3"/>
    </row>
    <row r="1155" spans="6:9" ht="15.75" customHeight="1">
      <c r="F1155" s="3"/>
      <c r="I1155" s="3"/>
    </row>
    <row r="1156" spans="6:9" ht="15.75" customHeight="1">
      <c r="F1156" s="3"/>
    </row>
    <row r="1157" spans="6:9" ht="15.75" customHeight="1">
      <c r="F1157" s="3"/>
    </row>
    <row r="1158" spans="6:9" ht="15.75" customHeight="1">
      <c r="F1158" s="3"/>
    </row>
    <row r="1159" spans="6:9" ht="15.75" customHeight="1">
      <c r="F1159" s="3"/>
    </row>
    <row r="1160" spans="6:9" ht="15.75" customHeight="1">
      <c r="F1160" s="3"/>
    </row>
    <row r="1161" spans="6:9" ht="15.75" customHeight="1">
      <c r="F1161" s="3"/>
    </row>
    <row r="1162" spans="6:9" ht="15.75" customHeight="1">
      <c r="F1162" s="3"/>
    </row>
    <row r="1163" spans="6:9" ht="15.75" customHeight="1">
      <c r="F1163" s="3"/>
    </row>
    <row r="1164" spans="6:9" ht="15.75" customHeight="1">
      <c r="F1164" s="3"/>
    </row>
    <row r="1165" spans="6:9" ht="15.75" customHeight="1">
      <c r="F1165" s="3"/>
    </row>
    <row r="1166" spans="6:9" ht="15.75" customHeight="1">
      <c r="F1166" s="3"/>
    </row>
    <row r="1167" spans="6:9" ht="15.75" customHeight="1">
      <c r="F1167" s="3"/>
    </row>
    <row r="1168" spans="6:9" ht="15.75" customHeight="1">
      <c r="F1168" s="3"/>
    </row>
    <row r="1169" spans="6:6" ht="15" customHeight="1">
      <c r="F1169" s="4"/>
    </row>
    <row r="1170" spans="6:6" ht="15" customHeight="1">
      <c r="F1170" s="4"/>
    </row>
    <row r="1171" spans="6:6" ht="15" customHeight="1">
      <c r="F1171" s="4"/>
    </row>
    <row r="1172" spans="6:6" ht="15" customHeight="1">
      <c r="F1172" s="4"/>
    </row>
    <row r="1173" spans="6:6" ht="15" customHeight="1">
      <c r="F1173" s="4"/>
    </row>
    <row r="1174" spans="6:6" ht="15" customHeight="1">
      <c r="F1174" s="4"/>
    </row>
    <row r="1175" spans="6:6" ht="15" customHeight="1">
      <c r="F1175" s="4"/>
    </row>
    <row r="1176" spans="6:6" ht="15" customHeight="1">
      <c r="F1176" s="4"/>
    </row>
    <row r="1177" spans="6:6" ht="15" customHeight="1">
      <c r="F1177" s="4"/>
    </row>
    <row r="1178" spans="6:6" ht="15" customHeight="1">
      <c r="F1178" s="4"/>
    </row>
    <row r="1179" spans="6:6" ht="15" customHeight="1">
      <c r="F1179" s="4"/>
    </row>
    <row r="1180" spans="6:6" ht="15" customHeight="1">
      <c r="F1180" s="4"/>
    </row>
    <row r="1181" spans="6:6" ht="15" customHeight="1">
      <c r="F1181" s="4"/>
    </row>
    <row r="1182" spans="6:6" ht="15" customHeight="1">
      <c r="F1182" s="4"/>
    </row>
  </sheetData>
  <autoFilter ref="A1:E986" xr:uid="{00000000-0009-0000-0000-00000F000000}">
    <sortState xmlns:xlrd2="http://schemas.microsoft.com/office/spreadsheetml/2017/richdata2" ref="A2:E986">
      <sortCondition ref="A1:A986"/>
    </sortState>
  </autoFilter>
  <dataValidations count="2">
    <dataValidation type="list" allowBlank="1" showErrorMessage="1" sqref="D1" xr:uid="{0FC73AF7-9B2F-44ED-BEB3-31E6363A2D0E}">
      <formula1>$F$1:$F$180</formula1>
    </dataValidation>
    <dataValidation type="list" allowBlank="1" showErrorMessage="1" sqref="D2:D5 D69 D7:D8 D37:D40 D42" xr:uid="{B92DDC5D-EC3A-41DF-90FF-4824EA5B1495}">
      <formula1>$F$3:$F$180</formula1>
    </dataValidation>
  </dataValidations>
  <pageMargins left="0.7" right="0.7" top="0.75" bottom="0.75" header="0" footer="0"/>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794"/>
  <sheetViews>
    <sheetView topLeftCell="AF1" zoomScale="80" zoomScaleNormal="80" workbookViewId="0">
      <selection activeCell="AL38" sqref="AL38"/>
    </sheetView>
  </sheetViews>
  <sheetFormatPr baseColWidth="10" defaultColWidth="12.625" defaultRowHeight="15" customHeight="1"/>
  <cols>
    <col min="1" max="1" width="3.75" style="832" bestFit="1" customWidth="1"/>
    <col min="2" max="2" width="6.5" style="832" bestFit="1" customWidth="1"/>
    <col min="3" max="3" width="9.375" style="832" bestFit="1" customWidth="1"/>
    <col min="4" max="4" width="32.375" style="832" bestFit="1" customWidth="1"/>
    <col min="5" max="5" width="2.75" style="832" bestFit="1" customWidth="1"/>
    <col min="6" max="6" width="5.125" style="832" bestFit="1" customWidth="1"/>
    <col min="7" max="7" width="18" style="832" bestFit="1" customWidth="1"/>
    <col min="8" max="8" width="17.625" style="832" bestFit="1" customWidth="1"/>
    <col min="9" max="9" width="15.875" style="832" bestFit="1" customWidth="1"/>
    <col min="10" max="10" width="15.125" style="832" bestFit="1" customWidth="1"/>
    <col min="11" max="11" width="14.625" style="832" bestFit="1" customWidth="1"/>
    <col min="12" max="12" width="15.25" style="832" bestFit="1" customWidth="1"/>
    <col min="13" max="13" width="16.75" style="832" bestFit="1" customWidth="1"/>
    <col min="14" max="14" width="15.5" style="832" bestFit="1" customWidth="1"/>
    <col min="15" max="15" width="21.375" style="832" bestFit="1" customWidth="1"/>
    <col min="16" max="16" width="18.625" style="832" bestFit="1" customWidth="1"/>
    <col min="17" max="17" width="20.75" style="832" bestFit="1" customWidth="1"/>
    <col min="18" max="18" width="20.875" style="832" bestFit="1" customWidth="1"/>
    <col min="19" max="19" width="22.375" style="832" bestFit="1" customWidth="1"/>
    <col min="20" max="20" width="25.25" style="832" bestFit="1" customWidth="1"/>
    <col min="21" max="21" width="15" style="832" bestFit="1" customWidth="1"/>
    <col min="22" max="22" width="18.625" style="832" bestFit="1" customWidth="1"/>
    <col min="23" max="23" width="18.25" style="832" bestFit="1" customWidth="1"/>
    <col min="24" max="24" width="16.5" style="832" bestFit="1" customWidth="1"/>
    <col min="25" max="25" width="15.75" style="832" bestFit="1" customWidth="1"/>
    <col min="26" max="26" width="15.25" style="832" bestFit="1" customWidth="1"/>
    <col min="27" max="27" width="15.875" style="832" bestFit="1" customWidth="1"/>
    <col min="28" max="28" width="17.375" style="832" bestFit="1" customWidth="1"/>
    <col min="29" max="29" width="16.125" style="832" bestFit="1" customWidth="1"/>
    <col min="30" max="30" width="22" style="832" bestFit="1" customWidth="1"/>
    <col min="31" max="31" width="19.25" style="832" bestFit="1" customWidth="1"/>
    <col min="32" max="32" width="21.375" style="832" bestFit="1" customWidth="1"/>
    <col min="33" max="33" width="21.5" style="832" bestFit="1" customWidth="1"/>
    <col min="34" max="34" width="23" style="832" bestFit="1" customWidth="1"/>
    <col min="35" max="35" width="25.875" style="832" bestFit="1" customWidth="1"/>
    <col min="36" max="36" width="12.875" customWidth="1"/>
    <col min="37" max="37" width="39.75" customWidth="1"/>
    <col min="38" max="38" width="19.625" style="1030" bestFit="1" customWidth="1"/>
    <col min="39" max="39" width="19.375" style="1030" customWidth="1"/>
    <col min="40" max="40" width="16.375" style="1030" bestFit="1" customWidth="1"/>
    <col min="41" max="41" width="13" customWidth="1"/>
    <col min="42" max="42" width="42.75" customWidth="1"/>
    <col min="43" max="43" width="25.375" customWidth="1"/>
    <col min="44" max="44" width="16.875" customWidth="1"/>
    <col min="45" max="45" width="11.5" customWidth="1"/>
    <col min="46" max="46" width="13" bestFit="1" customWidth="1"/>
    <col min="47" max="47" width="32.375" bestFit="1" customWidth="1"/>
    <col min="48" max="48" width="16.25" bestFit="1" customWidth="1"/>
    <col min="49" max="49" width="12.75" bestFit="1" customWidth="1"/>
    <col min="50" max="50" width="11.375" bestFit="1" customWidth="1"/>
  </cols>
  <sheetData>
    <row r="1" spans="1:52" ht="30" customHeight="1">
      <c r="A1"/>
      <c r="B1"/>
      <c r="C1"/>
      <c r="D1"/>
      <c r="E1"/>
      <c r="F1"/>
      <c r="G1" t="s">
        <v>6</v>
      </c>
      <c r="H1" t="s">
        <v>8</v>
      </c>
      <c r="I1" t="s">
        <v>9</v>
      </c>
      <c r="J1" t="s">
        <v>10</v>
      </c>
      <c r="K1" t="s">
        <v>11</v>
      </c>
      <c r="L1" t="s">
        <v>12</v>
      </c>
      <c r="M1" t="s">
        <v>14</v>
      </c>
      <c r="N1" t="s">
        <v>2717</v>
      </c>
      <c r="O1" t="s">
        <v>17</v>
      </c>
      <c r="P1" t="s">
        <v>18</v>
      </c>
      <c r="Q1" t="s">
        <v>19</v>
      </c>
      <c r="R1" t="s">
        <v>5</v>
      </c>
      <c r="S1"/>
      <c r="T1"/>
      <c r="U1"/>
      <c r="V1" t="s">
        <v>6</v>
      </c>
      <c r="W1" t="s">
        <v>8</v>
      </c>
      <c r="X1" t="s">
        <v>9</v>
      </c>
      <c r="Y1" t="s">
        <v>10</v>
      </c>
      <c r="Z1" t="s">
        <v>11</v>
      </c>
      <c r="AA1" t="s">
        <v>12</v>
      </c>
      <c r="AB1" t="s">
        <v>14</v>
      </c>
      <c r="AC1" t="s">
        <v>2717</v>
      </c>
      <c r="AD1" t="s">
        <v>17</v>
      </c>
      <c r="AE1" t="s">
        <v>18</v>
      </c>
      <c r="AF1" t="s">
        <v>19</v>
      </c>
      <c r="AG1" t="s">
        <v>5</v>
      </c>
      <c r="AH1"/>
      <c r="AI1"/>
      <c r="AL1" s="1037"/>
      <c r="AM1" s="1037"/>
      <c r="AN1" s="1037"/>
      <c r="AU1" s="4"/>
    </row>
    <row r="2" spans="1:52" ht="15" customHeight="1">
      <c r="AJ2" s="596" t="s">
        <v>639</v>
      </c>
      <c r="AK2" s="596" t="s">
        <v>247</v>
      </c>
      <c r="AL2" s="1033" t="s">
        <v>640</v>
      </c>
      <c r="AM2" s="1034" t="s">
        <v>641</v>
      </c>
      <c r="AN2" s="1033" t="s">
        <v>642</v>
      </c>
      <c r="AO2" s="597" t="s">
        <v>643</v>
      </c>
      <c r="AP2" s="597" t="s">
        <v>644</v>
      </c>
      <c r="AQ2" s="597" t="s">
        <v>645</v>
      </c>
      <c r="AR2" s="597" t="s">
        <v>646</v>
      </c>
      <c r="AS2" s="597" t="s">
        <v>636</v>
      </c>
      <c r="AT2" s="596" t="s">
        <v>639</v>
      </c>
      <c r="AU2" s="596" t="s">
        <v>247</v>
      </c>
      <c r="AV2" s="1033" t="s">
        <v>640</v>
      </c>
      <c r="AW2" s="1034" t="s">
        <v>641</v>
      </c>
      <c r="AX2" s="1033" t="s">
        <v>642</v>
      </c>
      <c r="AY2" s="597" t="s">
        <v>646</v>
      </c>
      <c r="AZ2" s="597" t="s">
        <v>636</v>
      </c>
    </row>
    <row r="3" spans="1:52" ht="15" customHeight="1">
      <c r="AJ3" s="1030">
        <f>C3</f>
        <v>0</v>
      </c>
      <c r="AK3" s="1030">
        <f>D3</f>
        <v>0</v>
      </c>
      <c r="AL3" s="1030">
        <f>IFERROR(INDEX(G3:R3,1,MATCH(Parametres!$B$3,G$1:R$1,0)-1)*IF(OR(F3="L",F3="S",F3="I"),-1,1),"")</f>
        <v>0</v>
      </c>
      <c r="AM3" s="1030">
        <f>AN3-N(AL3)</f>
        <v>0</v>
      </c>
      <c r="AN3" s="1030">
        <f>INDEX(G3:R3,1,MATCH(Parametres!$B$3,G$1:R$1,0))*IF(OR(F3="L",F3="S",F3="I"),-1,1)</f>
        <v>0</v>
      </c>
      <c r="AO3" s="598" t="e">
        <f>+VLOOKUP($AJ3,Data_Validation!$A:$D,1,0)</f>
        <v>#N/A</v>
      </c>
      <c r="AP3" s="598" t="e">
        <f>+VLOOKUP($AJ3,Data_Validation!$A:$D,3,0)</f>
        <v>#N/A</v>
      </c>
      <c r="AQ3" s="598" t="e">
        <f>+VLOOKUP($AJ3,Data_Validation!$A:$D,4,0)</f>
        <v>#N/A</v>
      </c>
      <c r="AR3" s="598" t="s">
        <v>299</v>
      </c>
      <c r="AS3" s="598" t="e">
        <f>+VLOOKUP($AJ3,Data_Validation!$A:$E,5,0)</f>
        <v>#N/A</v>
      </c>
      <c r="AT3" s="1036">
        <f>C3</f>
        <v>0</v>
      </c>
      <c r="AU3" s="599">
        <f>D3</f>
        <v>0</v>
      </c>
      <c r="AV3" s="1030">
        <f>IFERROR(INDEX(V3:AG3,1,MATCH(Parametres!$B$3,V$1:AG$1,0)-1)*IF(OR(C3="L",C3="S",C3="I"),-1,1),"")</f>
        <v>0</v>
      </c>
      <c r="AW3" s="1030">
        <f>AX3-AV3</f>
        <v>0</v>
      </c>
      <c r="AX3" s="1030">
        <f>INDEX(V3:AG3,1,MATCH(Parametres!$B$3,V$1:AG$1,0))*IF(OR(C3="L",C3="S",C3="I"),-1,1)</f>
        <v>0</v>
      </c>
      <c r="AY3" s="598" t="s">
        <v>337</v>
      </c>
      <c r="AZ3" s="598" t="e">
        <f>+VLOOKUP($AJ3,Data_Validation!$A:$E,5,0)</f>
        <v>#N/A</v>
      </c>
    </row>
    <row r="4" spans="1:52" ht="15" customHeight="1">
      <c r="AJ4" s="1030">
        <f t="shared" ref="AJ4:AK67" si="0">C4</f>
        <v>0</v>
      </c>
      <c r="AK4" s="1030">
        <f t="shared" si="0"/>
        <v>0</v>
      </c>
      <c r="AL4" s="1030">
        <f>IFERROR(INDEX(G4:R4,1,MATCH(Parametres!$B$3,G$1:R$1,0)-1)*IF(OR(F4="L",F4="S",F4="I"),-1,1),"")</f>
        <v>0</v>
      </c>
      <c r="AM4" s="1030">
        <f t="shared" ref="AM4:AM67" si="1">AN4-N(AL4)</f>
        <v>0</v>
      </c>
      <c r="AN4" s="1030">
        <f>INDEX(G4:R4,1,MATCH(Parametres!$B$3,G$1:R$1,0))*IF(OR(F4="L",F4="S",F4="I"),-1,1)</f>
        <v>0</v>
      </c>
      <c r="AO4" s="598" t="e">
        <f>+VLOOKUP($AJ4,Data_Validation!$A:$D,1,0)</f>
        <v>#N/A</v>
      </c>
      <c r="AP4" s="598" t="e">
        <f>+VLOOKUP($AJ4,Data_Validation!$A:$D,3,0)</f>
        <v>#N/A</v>
      </c>
      <c r="AQ4" s="598" t="e">
        <f>+VLOOKUP($AJ4,Data_Validation!$A:$D,4,0)</f>
        <v>#N/A</v>
      </c>
      <c r="AR4" s="598" t="s">
        <v>299</v>
      </c>
      <c r="AS4" s="598" t="e">
        <f>+VLOOKUP($AJ4,Data_Validation!$A:$E,5,0)</f>
        <v>#N/A</v>
      </c>
      <c r="AT4" s="1036">
        <f t="shared" ref="AT4:AU67" si="2">C4</f>
        <v>0</v>
      </c>
      <c r="AU4" s="599">
        <f t="shared" si="2"/>
        <v>0</v>
      </c>
      <c r="AV4" s="1030">
        <f>IFERROR(INDEX(V4:AG4,1,MATCH(Parametres!$B$3,V$1:AG$1,0)-1)*IF(OR(C4="L",C4="S",C4="I"),-1,1),"")</f>
        <v>0</v>
      </c>
      <c r="AW4" s="1030">
        <f t="shared" ref="AW4:AW67" si="3">AX4-AV4</f>
        <v>0</v>
      </c>
      <c r="AX4" s="1030">
        <f>INDEX(V4:AG4,1,MATCH(Parametres!$B$3,V$1:AG$1,0))*IF(OR(C4="L",C4="S",C4="I"),-1,1)</f>
        <v>0</v>
      </c>
      <c r="AY4" s="598" t="s">
        <v>337</v>
      </c>
      <c r="AZ4" s="598" t="e">
        <f>+VLOOKUP($AJ4,Data_Validation!$A:$E,5,0)</f>
        <v>#N/A</v>
      </c>
    </row>
    <row r="5" spans="1:52" ht="15.75" customHeight="1">
      <c r="AJ5" s="1030">
        <f t="shared" si="0"/>
        <v>0</v>
      </c>
      <c r="AK5" s="1030">
        <f t="shared" si="0"/>
        <v>0</v>
      </c>
      <c r="AL5" s="1030">
        <f>IFERROR(INDEX(G5:R5,1,MATCH(Parametres!$B$3,G$1:R$1,0)-1)*IF(OR(F5="L",F5="S",F5="I"),-1,1),"")</f>
        <v>0</v>
      </c>
      <c r="AM5" s="1030">
        <f t="shared" si="1"/>
        <v>0</v>
      </c>
      <c r="AN5" s="1030">
        <f>INDEX(G5:R5,1,MATCH(Parametres!$B$3,G$1:R$1,0))*IF(OR(F5="L",F5="S",F5="I"),-1,1)</f>
        <v>0</v>
      </c>
      <c r="AO5" s="598" t="e">
        <f>+VLOOKUP($AJ5,Data_Validation!$A:$D,1,0)</f>
        <v>#N/A</v>
      </c>
      <c r="AP5" s="598" t="e">
        <f>+VLOOKUP($AJ5,Data_Validation!$A:$D,3,0)</f>
        <v>#N/A</v>
      </c>
      <c r="AQ5" s="598" t="e">
        <f>+VLOOKUP($AJ5,Data_Validation!$A:$D,4,0)</f>
        <v>#N/A</v>
      </c>
      <c r="AR5" s="598" t="s">
        <v>299</v>
      </c>
      <c r="AS5" s="598" t="e">
        <f>+VLOOKUP($AJ5,Data_Validation!$A:$E,5,0)</f>
        <v>#N/A</v>
      </c>
      <c r="AT5" s="1036">
        <f t="shared" si="2"/>
        <v>0</v>
      </c>
      <c r="AU5" s="599">
        <f t="shared" si="2"/>
        <v>0</v>
      </c>
      <c r="AV5" s="1030">
        <f>IFERROR(INDEX(V5:AG5,1,MATCH(Parametres!$B$3,V$1:AG$1,0)-1)*IF(OR(C5="L",C5="S",C5="I"),-1,1),"")</f>
        <v>0</v>
      </c>
      <c r="AW5" s="1030">
        <f t="shared" si="3"/>
        <v>0</v>
      </c>
      <c r="AX5" s="1030">
        <f>INDEX(V5:AG5,1,MATCH(Parametres!$B$3,V$1:AG$1,0))*IF(OR(C5="L",C5="S",C5="I"),-1,1)</f>
        <v>0</v>
      </c>
      <c r="AY5" s="598" t="s">
        <v>337</v>
      </c>
      <c r="AZ5" s="598" t="e">
        <f>+VLOOKUP($AJ5,Data_Validation!$A:$E,5,0)</f>
        <v>#N/A</v>
      </c>
    </row>
    <row r="6" spans="1:52" ht="15.75" customHeight="1">
      <c r="AJ6" s="1030">
        <f t="shared" si="0"/>
        <v>0</v>
      </c>
      <c r="AK6" s="1030">
        <f t="shared" si="0"/>
        <v>0</v>
      </c>
      <c r="AL6" s="1030">
        <f>IFERROR(INDEX(G6:R6,1,MATCH(Parametres!$B$3,G$1:R$1,0)-1)*IF(OR(F6="L",F6="S",F6="I"),-1,1),"")</f>
        <v>0</v>
      </c>
      <c r="AM6" s="1030">
        <f t="shared" si="1"/>
        <v>0</v>
      </c>
      <c r="AN6" s="1030">
        <f>INDEX(G6:R6,1,MATCH(Parametres!$B$3,G$1:R$1,0))*IF(OR(F6="L",F6="S",F6="I"),-1,1)</f>
        <v>0</v>
      </c>
      <c r="AO6" s="598" t="e">
        <f>+VLOOKUP($AJ6,Data_Validation!$A:$D,1,0)</f>
        <v>#N/A</v>
      </c>
      <c r="AP6" s="598" t="e">
        <f>+VLOOKUP($AJ6,Data_Validation!$A:$D,3,0)</f>
        <v>#N/A</v>
      </c>
      <c r="AQ6" s="598" t="e">
        <f>+VLOOKUP($AJ6,Data_Validation!$A:$D,4,0)</f>
        <v>#N/A</v>
      </c>
      <c r="AR6" s="598" t="s">
        <v>299</v>
      </c>
      <c r="AS6" s="598" t="e">
        <f>+VLOOKUP($AJ6,Data_Validation!$A:$E,5,0)</f>
        <v>#N/A</v>
      </c>
      <c r="AT6" s="1036">
        <f t="shared" si="2"/>
        <v>0</v>
      </c>
      <c r="AU6" s="599">
        <f t="shared" si="2"/>
        <v>0</v>
      </c>
      <c r="AV6" s="1030">
        <f>IFERROR(INDEX(V6:AG6,1,MATCH(Parametres!$B$3,V$1:AG$1,0)-1)*IF(OR(C6="L",C6="S",C6="I"),-1,1),"")</f>
        <v>0</v>
      </c>
      <c r="AW6" s="1030">
        <f t="shared" si="3"/>
        <v>0</v>
      </c>
      <c r="AX6" s="1030">
        <f>INDEX(V6:AG6,1,MATCH(Parametres!$B$3,V$1:AG$1,0))*IF(OR(C6="L",C6="S",C6="I"),-1,1)</f>
        <v>0</v>
      </c>
      <c r="AY6" s="598" t="s">
        <v>337</v>
      </c>
      <c r="AZ6" s="598" t="e">
        <f>+VLOOKUP($AJ6,Data_Validation!$A:$E,5,0)</f>
        <v>#N/A</v>
      </c>
    </row>
    <row r="7" spans="1:52" ht="15" customHeight="1">
      <c r="AJ7" s="1030">
        <f t="shared" si="0"/>
        <v>0</v>
      </c>
      <c r="AK7" s="1030">
        <f t="shared" si="0"/>
        <v>0</v>
      </c>
      <c r="AL7" s="1030">
        <f>IFERROR(INDEX(G7:R7,1,MATCH(Parametres!$B$3,G$1:R$1,0)-1)*IF(OR(F7="L",F7="S",F7="I"),-1,1),"")</f>
        <v>0</v>
      </c>
      <c r="AM7" s="1030">
        <f t="shared" si="1"/>
        <v>0</v>
      </c>
      <c r="AN7" s="1030">
        <f>INDEX(G7:R7,1,MATCH(Parametres!$B$3,G$1:R$1,0))*IF(OR(F7="L",F7="S",F7="I"),-1,1)</f>
        <v>0</v>
      </c>
      <c r="AO7" s="598" t="e">
        <f>+VLOOKUP($AJ7,Data_Validation!$A:$D,1,0)</f>
        <v>#N/A</v>
      </c>
      <c r="AP7" s="598" t="e">
        <f>+VLOOKUP($AJ7,Data_Validation!$A:$D,3,0)</f>
        <v>#N/A</v>
      </c>
      <c r="AQ7" s="598" t="e">
        <f>+VLOOKUP($AJ7,Data_Validation!$A:$D,4,0)</f>
        <v>#N/A</v>
      </c>
      <c r="AR7" s="598" t="s">
        <v>299</v>
      </c>
      <c r="AS7" s="598" t="e">
        <f>+VLOOKUP($AJ7,Data_Validation!$A:$E,5,0)</f>
        <v>#N/A</v>
      </c>
      <c r="AT7" s="1036">
        <f t="shared" si="2"/>
        <v>0</v>
      </c>
      <c r="AU7" s="599">
        <f t="shared" si="2"/>
        <v>0</v>
      </c>
      <c r="AV7" s="1030">
        <f>IFERROR(INDEX(V7:AG7,1,MATCH(Parametres!$B$3,V$1:AG$1,0)-1)*IF(OR(C7="L",C7="S",C7="I"),-1,1),"")</f>
        <v>0</v>
      </c>
      <c r="AW7" s="1030">
        <f t="shared" si="3"/>
        <v>0</v>
      </c>
      <c r="AX7" s="1030">
        <f>INDEX(V7:AG7,1,MATCH(Parametres!$B$3,V$1:AG$1,0))*IF(OR(C7="L",C7="S",C7="I"),-1,1)</f>
        <v>0</v>
      </c>
      <c r="AY7" s="598" t="s">
        <v>337</v>
      </c>
      <c r="AZ7" s="598" t="e">
        <f>+VLOOKUP($AJ7,Data_Validation!$A:$E,5,0)</f>
        <v>#N/A</v>
      </c>
    </row>
    <row r="8" spans="1:52" ht="15" customHeight="1">
      <c r="AJ8" s="1030">
        <f t="shared" si="0"/>
        <v>0</v>
      </c>
      <c r="AK8" s="1030">
        <f t="shared" si="0"/>
        <v>0</v>
      </c>
      <c r="AL8" s="1030">
        <f>IFERROR(INDEX(G8:R8,1,MATCH(Parametres!$B$3,G$1:R$1,0)-1)*IF(OR(F8="L",F8="S",F8="I"),-1,1),"")</f>
        <v>0</v>
      </c>
      <c r="AM8" s="1030">
        <f t="shared" si="1"/>
        <v>0</v>
      </c>
      <c r="AN8" s="1030">
        <f>INDEX(G8:R8,1,MATCH(Parametres!$B$3,G$1:R$1,0))*IF(OR(F8="L",F8="S",F8="I"),-1,1)</f>
        <v>0</v>
      </c>
      <c r="AO8" s="598" t="e">
        <f>+VLOOKUP($AJ8,Data_Validation!$A:$D,1,0)</f>
        <v>#N/A</v>
      </c>
      <c r="AP8" s="598" t="e">
        <f>+VLOOKUP($AJ8,Data_Validation!$A:$D,3,0)</f>
        <v>#N/A</v>
      </c>
      <c r="AQ8" s="598" t="e">
        <f>+VLOOKUP($AJ8,Data_Validation!$A:$D,4,0)</f>
        <v>#N/A</v>
      </c>
      <c r="AR8" s="598" t="s">
        <v>299</v>
      </c>
      <c r="AS8" s="598" t="e">
        <f>+VLOOKUP($AJ8,Data_Validation!$A:$E,5,0)</f>
        <v>#N/A</v>
      </c>
      <c r="AT8" s="1036">
        <f t="shared" si="2"/>
        <v>0</v>
      </c>
      <c r="AU8" s="599">
        <f t="shared" si="2"/>
        <v>0</v>
      </c>
      <c r="AV8" s="1030">
        <f>IFERROR(INDEX(V8:AG8,1,MATCH(Parametres!$B$3,V$1:AG$1,0)-1)*IF(OR(C8="L",C8="S",C8="I"),-1,1),"")</f>
        <v>0</v>
      </c>
      <c r="AW8" s="1030">
        <f t="shared" si="3"/>
        <v>0</v>
      </c>
      <c r="AX8" s="1030">
        <f>INDEX(V8:AG8,1,MATCH(Parametres!$B$3,V$1:AG$1,0))*IF(OR(C8="L",C8="S",C8="I"),-1,1)</f>
        <v>0</v>
      </c>
      <c r="AY8" s="598" t="s">
        <v>337</v>
      </c>
      <c r="AZ8" s="598" t="e">
        <f>+VLOOKUP($AJ8,Data_Validation!$A:$E,5,0)</f>
        <v>#N/A</v>
      </c>
    </row>
    <row r="9" spans="1:52" ht="15" customHeight="1">
      <c r="AJ9" s="1030">
        <f t="shared" si="0"/>
        <v>0</v>
      </c>
      <c r="AK9" s="1030">
        <f t="shared" si="0"/>
        <v>0</v>
      </c>
      <c r="AL9" s="1030">
        <f>IFERROR(INDEX(G9:R9,1,MATCH(Parametres!$B$3,G$1:R$1,0)-1)*IF(OR(F9="L",F9="S",F9="I"),-1,1),"")</f>
        <v>0</v>
      </c>
      <c r="AM9" s="1030">
        <f t="shared" si="1"/>
        <v>0</v>
      </c>
      <c r="AN9" s="1030">
        <f>INDEX(G9:R9,1,MATCH(Parametres!$B$3,G$1:R$1,0))*IF(OR(F9="L",F9="S",F9="I"),-1,1)</f>
        <v>0</v>
      </c>
      <c r="AO9" s="598" t="e">
        <f>+VLOOKUP($AJ9,Data_Validation!$A:$D,1,0)</f>
        <v>#N/A</v>
      </c>
      <c r="AP9" s="598" t="e">
        <f>+VLOOKUP($AJ9,Data_Validation!$A:$D,3,0)</f>
        <v>#N/A</v>
      </c>
      <c r="AQ9" s="598" t="e">
        <f>+VLOOKUP($AJ9,Data_Validation!$A:$D,4,0)</f>
        <v>#N/A</v>
      </c>
      <c r="AR9" s="598" t="s">
        <v>299</v>
      </c>
      <c r="AS9" s="598" t="e">
        <f>+VLOOKUP($AJ9,Data_Validation!$A:$E,5,0)</f>
        <v>#N/A</v>
      </c>
      <c r="AT9" s="1036">
        <f t="shared" si="2"/>
        <v>0</v>
      </c>
      <c r="AU9" s="599">
        <f t="shared" si="2"/>
        <v>0</v>
      </c>
      <c r="AV9" s="1030">
        <f>IFERROR(INDEX(V9:AG9,1,MATCH(Parametres!$B$3,V$1:AG$1,0)-1)*IF(OR(C9="L",C9="S",C9="I"),-1,1),"")</f>
        <v>0</v>
      </c>
      <c r="AW9" s="1030">
        <f t="shared" si="3"/>
        <v>0</v>
      </c>
      <c r="AX9" s="1030">
        <f>INDEX(V9:AG9,1,MATCH(Parametres!$B$3,V$1:AG$1,0))*IF(OR(C9="L",C9="S",C9="I"),-1,1)</f>
        <v>0</v>
      </c>
      <c r="AY9" s="598" t="s">
        <v>337</v>
      </c>
      <c r="AZ9" s="598" t="e">
        <f>+VLOOKUP($AJ9,Data_Validation!$A:$E,5,0)</f>
        <v>#N/A</v>
      </c>
    </row>
    <row r="10" spans="1:52" ht="15" customHeight="1">
      <c r="AJ10" s="1030">
        <f t="shared" si="0"/>
        <v>0</v>
      </c>
      <c r="AK10" s="1030">
        <f t="shared" si="0"/>
        <v>0</v>
      </c>
      <c r="AL10" s="1030">
        <f>IFERROR(INDEX(G10:R10,1,MATCH(Parametres!$B$3,G$1:R$1,0)-1)*IF(OR(F10="L",F10="S",F10="I"),-1,1),"")</f>
        <v>0</v>
      </c>
      <c r="AM10" s="1030">
        <f t="shared" si="1"/>
        <v>0</v>
      </c>
      <c r="AN10" s="1030">
        <f>INDEX(G10:R10,1,MATCH(Parametres!$B$3,G$1:R$1,0))*IF(OR(F10="L",F10="S",F10="I"),-1,1)</f>
        <v>0</v>
      </c>
      <c r="AO10" s="598" t="e">
        <f>+VLOOKUP($AJ10,Data_Validation!$A:$D,1,0)</f>
        <v>#N/A</v>
      </c>
      <c r="AP10" s="598" t="e">
        <f>+VLOOKUP($AJ10,Data_Validation!$A:$D,3,0)</f>
        <v>#N/A</v>
      </c>
      <c r="AQ10" s="598" t="e">
        <f>+VLOOKUP($AJ10,Data_Validation!$A:$D,4,0)</f>
        <v>#N/A</v>
      </c>
      <c r="AR10" s="598" t="s">
        <v>299</v>
      </c>
      <c r="AS10" s="598" t="e">
        <f>+VLOOKUP($AJ10,Data_Validation!$A:$E,5,0)</f>
        <v>#N/A</v>
      </c>
      <c r="AT10" s="1036">
        <f t="shared" si="2"/>
        <v>0</v>
      </c>
      <c r="AU10" s="599">
        <f t="shared" si="2"/>
        <v>0</v>
      </c>
      <c r="AV10" s="1030">
        <f>IFERROR(INDEX(V10:AG10,1,MATCH(Parametres!$B$3,V$1:AG$1,0)-1)*IF(OR(C10="L",C10="S",C10="I"),-1,1),"")</f>
        <v>0</v>
      </c>
      <c r="AW10" s="1030">
        <f t="shared" si="3"/>
        <v>0</v>
      </c>
      <c r="AX10" s="1030">
        <f>INDEX(V10:AG10,1,MATCH(Parametres!$B$3,V$1:AG$1,0))*IF(OR(C10="L",C10="S",C10="I"),-1,1)</f>
        <v>0</v>
      </c>
      <c r="AY10" s="598" t="s">
        <v>337</v>
      </c>
      <c r="AZ10" s="598" t="e">
        <f>+VLOOKUP($AJ10,Data_Validation!$A:$E,5,0)</f>
        <v>#N/A</v>
      </c>
    </row>
    <row r="11" spans="1:52" ht="15" customHeight="1">
      <c r="AJ11" s="1030">
        <f t="shared" si="0"/>
        <v>0</v>
      </c>
      <c r="AK11" s="1030">
        <f t="shared" si="0"/>
        <v>0</v>
      </c>
      <c r="AL11" s="1030">
        <f>IFERROR(INDEX(G11:R11,1,MATCH(Parametres!$B$3,G$1:R$1,0)-1)*IF(OR(F11="L",F11="S",F11="I"),-1,1),"")</f>
        <v>0</v>
      </c>
      <c r="AM11" s="1030">
        <f t="shared" si="1"/>
        <v>0</v>
      </c>
      <c r="AN11" s="1030">
        <f>INDEX(G11:R11,1,MATCH(Parametres!$B$3,G$1:R$1,0))*IF(OR(F11="L",F11="S",F11="I"),-1,1)</f>
        <v>0</v>
      </c>
      <c r="AO11" s="598" t="e">
        <f>+VLOOKUP($AJ11,Data_Validation!$A:$D,1,0)</f>
        <v>#N/A</v>
      </c>
      <c r="AP11" s="598" t="e">
        <f>+VLOOKUP($AJ11,Data_Validation!$A:$D,3,0)</f>
        <v>#N/A</v>
      </c>
      <c r="AQ11" s="598" t="e">
        <f>+VLOOKUP($AJ11,Data_Validation!$A:$D,4,0)</f>
        <v>#N/A</v>
      </c>
      <c r="AR11" s="598" t="s">
        <v>299</v>
      </c>
      <c r="AS11" s="598" t="e">
        <f>+VLOOKUP($AJ11,Data_Validation!$A:$E,5,0)</f>
        <v>#N/A</v>
      </c>
      <c r="AT11" s="1036">
        <f t="shared" si="2"/>
        <v>0</v>
      </c>
      <c r="AU11" s="599">
        <f t="shared" si="2"/>
        <v>0</v>
      </c>
      <c r="AV11" s="1030">
        <f>IFERROR(INDEX(V11:AG11,1,MATCH(Parametres!$B$3,V$1:AG$1,0)-1)*IF(OR(C11="L",C11="S",C11="I"),-1,1),"")</f>
        <v>0</v>
      </c>
      <c r="AW11" s="1030">
        <f t="shared" si="3"/>
        <v>0</v>
      </c>
      <c r="AX11" s="1030">
        <f>INDEX(V11:AG11,1,MATCH(Parametres!$B$3,V$1:AG$1,0))*IF(OR(C11="L",C11="S",C11="I"),-1,1)</f>
        <v>0</v>
      </c>
      <c r="AY11" s="598" t="s">
        <v>337</v>
      </c>
      <c r="AZ11" s="598" t="e">
        <f>+VLOOKUP($AJ11,Data_Validation!$A:$E,5,0)</f>
        <v>#N/A</v>
      </c>
    </row>
    <row r="12" spans="1:52" ht="15" customHeight="1">
      <c r="AJ12" s="1030">
        <f t="shared" si="0"/>
        <v>0</v>
      </c>
      <c r="AK12" s="1030">
        <f t="shared" si="0"/>
        <v>0</v>
      </c>
      <c r="AL12" s="1030">
        <f>IFERROR(INDEX(G12:R12,1,MATCH(Parametres!$B$3,G$1:R$1,0)-1)*IF(OR(F12="L",F12="S",F12="I"),-1,1),"")</f>
        <v>0</v>
      </c>
      <c r="AM12" s="1030">
        <f t="shared" si="1"/>
        <v>0</v>
      </c>
      <c r="AN12" s="1030">
        <f>INDEX(G12:R12,1,MATCH(Parametres!$B$3,G$1:R$1,0))*IF(OR(F12="L",F12="S",F12="I"),-1,1)</f>
        <v>0</v>
      </c>
      <c r="AO12" s="598" t="e">
        <f>+VLOOKUP($AJ12,Data_Validation!$A:$D,1,0)</f>
        <v>#N/A</v>
      </c>
      <c r="AP12" s="598" t="e">
        <f>+VLOOKUP($AJ12,Data_Validation!$A:$D,3,0)</f>
        <v>#N/A</v>
      </c>
      <c r="AQ12" s="598" t="e">
        <f>+VLOOKUP($AJ12,Data_Validation!$A:$D,4,0)</f>
        <v>#N/A</v>
      </c>
      <c r="AR12" s="598" t="s">
        <v>299</v>
      </c>
      <c r="AS12" s="598" t="e">
        <f>+VLOOKUP($AJ12,Data_Validation!$A:$E,5,0)</f>
        <v>#N/A</v>
      </c>
      <c r="AT12" s="1036">
        <f t="shared" si="2"/>
        <v>0</v>
      </c>
      <c r="AU12" s="599">
        <f t="shared" si="2"/>
        <v>0</v>
      </c>
      <c r="AV12" s="1030">
        <f>IFERROR(INDEX(V12:AG12,1,MATCH(Parametres!$B$3,V$1:AG$1,0)-1)*IF(OR(C12="L",C12="S",C12="I"),-1,1),"")</f>
        <v>0</v>
      </c>
      <c r="AW12" s="1030">
        <f t="shared" si="3"/>
        <v>0</v>
      </c>
      <c r="AX12" s="1030">
        <f>INDEX(V12:AG12,1,MATCH(Parametres!$B$3,V$1:AG$1,0))*IF(OR(C12="L",C12="S",C12="I"),-1,1)</f>
        <v>0</v>
      </c>
      <c r="AY12" s="598" t="s">
        <v>337</v>
      </c>
      <c r="AZ12" s="598" t="e">
        <f>+VLOOKUP($AJ12,Data_Validation!$A:$E,5,0)</f>
        <v>#N/A</v>
      </c>
    </row>
    <row r="13" spans="1:52" ht="15" customHeight="1">
      <c r="AJ13" s="1030">
        <f t="shared" si="0"/>
        <v>0</v>
      </c>
      <c r="AK13" s="1030">
        <f t="shared" si="0"/>
        <v>0</v>
      </c>
      <c r="AL13" s="1030">
        <f>IFERROR(INDEX(G13:R13,1,MATCH(Parametres!$B$3,G$1:R$1,0)-1)*IF(OR(F13="L",F13="S",F13="I"),-1,1),"")</f>
        <v>0</v>
      </c>
      <c r="AM13" s="1030">
        <f t="shared" si="1"/>
        <v>0</v>
      </c>
      <c r="AN13" s="1030">
        <f>INDEX(G13:R13,1,MATCH(Parametres!$B$3,G$1:R$1,0))*IF(OR(F13="L",F13="S",F13="I"),-1,1)</f>
        <v>0</v>
      </c>
      <c r="AO13" s="598" t="e">
        <f>+VLOOKUP($AJ13,Data_Validation!$A:$D,1,0)</f>
        <v>#N/A</v>
      </c>
      <c r="AP13" s="598" t="e">
        <f>+VLOOKUP($AJ13,Data_Validation!$A:$D,3,0)</f>
        <v>#N/A</v>
      </c>
      <c r="AQ13" s="598" t="e">
        <f>+VLOOKUP($AJ13,Data_Validation!$A:$D,4,0)</f>
        <v>#N/A</v>
      </c>
      <c r="AR13" s="598" t="s">
        <v>299</v>
      </c>
      <c r="AS13" s="598" t="e">
        <f>+VLOOKUP($AJ13,Data_Validation!$A:$E,5,0)</f>
        <v>#N/A</v>
      </c>
      <c r="AT13" s="1036">
        <f t="shared" si="2"/>
        <v>0</v>
      </c>
      <c r="AU13" s="599">
        <f t="shared" si="2"/>
        <v>0</v>
      </c>
      <c r="AV13" s="1030">
        <f>IFERROR(INDEX(V13:AG13,1,MATCH(Parametres!$B$3,V$1:AG$1,0)-1)*IF(OR(C13="L",C13="S",C13="I"),-1,1),"")</f>
        <v>0</v>
      </c>
      <c r="AW13" s="1030">
        <f t="shared" si="3"/>
        <v>0</v>
      </c>
      <c r="AX13" s="1030">
        <f>INDEX(V13:AG13,1,MATCH(Parametres!$B$3,V$1:AG$1,0))*IF(OR(C13="L",C13="S",C13="I"),-1,1)</f>
        <v>0</v>
      </c>
      <c r="AY13" s="598" t="s">
        <v>337</v>
      </c>
      <c r="AZ13" s="598" t="e">
        <f>+VLOOKUP($AJ13,Data_Validation!$A:$E,5,0)</f>
        <v>#N/A</v>
      </c>
    </row>
    <row r="14" spans="1:52" ht="15" customHeight="1">
      <c r="AJ14" s="1030">
        <f t="shared" si="0"/>
        <v>0</v>
      </c>
      <c r="AK14" s="1030">
        <f t="shared" si="0"/>
        <v>0</v>
      </c>
      <c r="AL14" s="1030">
        <f>IFERROR(INDEX(G14:R14,1,MATCH(Parametres!$B$3,G$1:R$1,0)-1)*IF(OR(F14="L",F14="S",F14="I"),-1,1),"")</f>
        <v>0</v>
      </c>
      <c r="AM14" s="1030">
        <f t="shared" si="1"/>
        <v>0</v>
      </c>
      <c r="AN14" s="1030">
        <f>INDEX(G14:R14,1,MATCH(Parametres!$B$3,G$1:R$1,0))*IF(OR(F14="L",F14="S",F14="I"),-1,1)</f>
        <v>0</v>
      </c>
      <c r="AO14" s="598" t="e">
        <f>+VLOOKUP($AJ14,Data_Validation!$A:$D,1,0)</f>
        <v>#N/A</v>
      </c>
      <c r="AP14" s="598" t="e">
        <f>+VLOOKUP($AJ14,Data_Validation!$A:$D,3,0)</f>
        <v>#N/A</v>
      </c>
      <c r="AQ14" s="598" t="e">
        <f>+VLOOKUP($AJ14,Data_Validation!$A:$D,4,0)</f>
        <v>#N/A</v>
      </c>
      <c r="AR14" s="598" t="s">
        <v>299</v>
      </c>
      <c r="AS14" s="598" t="e">
        <f>+VLOOKUP($AJ14,Data_Validation!$A:$E,5,0)</f>
        <v>#N/A</v>
      </c>
      <c r="AT14" s="1036">
        <f t="shared" si="2"/>
        <v>0</v>
      </c>
      <c r="AU14" s="599">
        <f t="shared" si="2"/>
        <v>0</v>
      </c>
      <c r="AV14" s="1030">
        <f>IFERROR(INDEX(V14:AG14,1,MATCH(Parametres!$B$3,V$1:AG$1,0)-1)*IF(OR(C14="L",C14="S",C14="I"),-1,1),"")</f>
        <v>0</v>
      </c>
      <c r="AW14" s="1030">
        <f t="shared" si="3"/>
        <v>0</v>
      </c>
      <c r="AX14" s="1030">
        <f>INDEX(V14:AG14,1,MATCH(Parametres!$B$3,V$1:AG$1,0))*IF(OR(C14="L",C14="S",C14="I"),-1,1)</f>
        <v>0</v>
      </c>
      <c r="AY14" s="598" t="s">
        <v>337</v>
      </c>
      <c r="AZ14" s="598" t="e">
        <f>+VLOOKUP($AJ14,Data_Validation!$A:$E,5,0)</f>
        <v>#N/A</v>
      </c>
    </row>
    <row r="15" spans="1:52" ht="15" customHeight="1">
      <c r="AJ15" s="1030">
        <f t="shared" si="0"/>
        <v>0</v>
      </c>
      <c r="AK15" s="1030">
        <f t="shared" si="0"/>
        <v>0</v>
      </c>
      <c r="AL15" s="1030">
        <f>IFERROR(INDEX(G15:R15,1,MATCH(Parametres!$B$3,G$1:R$1,0)-1)*IF(OR(F15="L",F15="S",F15="I"),-1,1),"")</f>
        <v>0</v>
      </c>
      <c r="AM15" s="1030">
        <f t="shared" si="1"/>
        <v>0</v>
      </c>
      <c r="AN15" s="1030">
        <f>INDEX(G15:R15,1,MATCH(Parametres!$B$3,G$1:R$1,0))*IF(OR(F15="L",F15="S",F15="I"),-1,1)</f>
        <v>0</v>
      </c>
      <c r="AO15" s="598" t="e">
        <f>+VLOOKUP($AJ15,Data_Validation!$A:$D,1,0)</f>
        <v>#N/A</v>
      </c>
      <c r="AP15" s="598" t="e">
        <f>+VLOOKUP($AJ15,Data_Validation!$A:$D,3,0)</f>
        <v>#N/A</v>
      </c>
      <c r="AQ15" s="598" t="e">
        <f>+VLOOKUP($AJ15,Data_Validation!$A:$D,4,0)</f>
        <v>#N/A</v>
      </c>
      <c r="AR15" s="598" t="s">
        <v>299</v>
      </c>
      <c r="AS15" s="598" t="e">
        <f>+VLOOKUP($AJ15,Data_Validation!$A:$E,5,0)</f>
        <v>#N/A</v>
      </c>
      <c r="AT15" s="1036">
        <f t="shared" si="2"/>
        <v>0</v>
      </c>
      <c r="AU15" s="599">
        <f t="shared" si="2"/>
        <v>0</v>
      </c>
      <c r="AV15" s="1030">
        <f>IFERROR(INDEX(V15:AG15,1,MATCH(Parametres!$B$3,V$1:AG$1,0)-1)*IF(OR(C15="L",C15="S",C15="I"),-1,1),"")</f>
        <v>0</v>
      </c>
      <c r="AW15" s="1030">
        <f t="shared" si="3"/>
        <v>0</v>
      </c>
      <c r="AX15" s="1030">
        <f>INDEX(V15:AG15,1,MATCH(Parametres!$B$3,V$1:AG$1,0))*IF(OR(C15="L",C15="S",C15="I"),-1,1)</f>
        <v>0</v>
      </c>
      <c r="AY15" s="598" t="s">
        <v>337</v>
      </c>
      <c r="AZ15" s="598" t="e">
        <f>+VLOOKUP($AJ15,Data_Validation!$A:$E,5,0)</f>
        <v>#N/A</v>
      </c>
    </row>
    <row r="16" spans="1:52" ht="15" customHeight="1">
      <c r="AJ16" s="1030">
        <f t="shared" si="0"/>
        <v>0</v>
      </c>
      <c r="AK16" s="1030">
        <f t="shared" si="0"/>
        <v>0</v>
      </c>
      <c r="AL16" s="1030">
        <f>IFERROR(INDEX(G16:R16,1,MATCH(Parametres!$B$3,G$1:R$1,0)-1)*IF(OR(F16="L",F16="S",F16="I"),-1,1),"")</f>
        <v>0</v>
      </c>
      <c r="AM16" s="1030">
        <f t="shared" si="1"/>
        <v>0</v>
      </c>
      <c r="AN16" s="1030">
        <f>INDEX(G16:R16,1,MATCH(Parametres!$B$3,G$1:R$1,0))*IF(OR(F16="L",F16="S",F16="I"),-1,1)</f>
        <v>0</v>
      </c>
      <c r="AO16" s="598" t="e">
        <f>+VLOOKUP($AJ16,Data_Validation!$A:$D,1,0)</f>
        <v>#N/A</v>
      </c>
      <c r="AP16" s="598" t="e">
        <f>+VLOOKUP($AJ16,Data_Validation!$A:$D,3,0)</f>
        <v>#N/A</v>
      </c>
      <c r="AQ16" s="598" t="e">
        <f>+VLOOKUP($AJ16,Data_Validation!$A:$D,4,0)</f>
        <v>#N/A</v>
      </c>
      <c r="AR16" s="598" t="s">
        <v>299</v>
      </c>
      <c r="AS16" s="598" t="e">
        <f>+VLOOKUP($AJ16,Data_Validation!$A:$E,5,0)</f>
        <v>#N/A</v>
      </c>
      <c r="AT16" s="1036">
        <f t="shared" si="2"/>
        <v>0</v>
      </c>
      <c r="AU16" s="599">
        <f t="shared" si="2"/>
        <v>0</v>
      </c>
      <c r="AV16" s="1030">
        <f>IFERROR(INDEX(V16:AG16,1,MATCH(Parametres!$B$3,V$1:AG$1,0)-1)*IF(OR(C16="L",C16="S",C16="I"),-1,1),"")</f>
        <v>0</v>
      </c>
      <c r="AW16" s="1030">
        <f t="shared" si="3"/>
        <v>0</v>
      </c>
      <c r="AX16" s="1030">
        <f>INDEX(V16:AG16,1,MATCH(Parametres!$B$3,V$1:AG$1,0))*IF(OR(C16="L",C16="S",C16="I"),-1,1)</f>
        <v>0</v>
      </c>
      <c r="AY16" s="598" t="s">
        <v>337</v>
      </c>
      <c r="AZ16" s="598" t="e">
        <f>+VLOOKUP($AJ16,Data_Validation!$A:$E,5,0)</f>
        <v>#N/A</v>
      </c>
    </row>
    <row r="17" spans="36:52" ht="15" customHeight="1">
      <c r="AJ17" s="1030">
        <f t="shared" si="0"/>
        <v>0</v>
      </c>
      <c r="AK17" s="1030">
        <f t="shared" si="0"/>
        <v>0</v>
      </c>
      <c r="AL17" s="1030">
        <f>IFERROR(INDEX(G17:R17,1,MATCH(Parametres!$B$3,G$1:R$1,0)-1)*IF(OR(F17="L",F17="S",F17="I"),-1,1),"")</f>
        <v>0</v>
      </c>
      <c r="AM17" s="1030">
        <f t="shared" si="1"/>
        <v>0</v>
      </c>
      <c r="AN17" s="1030">
        <f>INDEX(G17:R17,1,MATCH(Parametres!$B$3,G$1:R$1,0))*IF(OR(F17="L",F17="S",F17="I"),-1,1)</f>
        <v>0</v>
      </c>
      <c r="AO17" s="598" t="e">
        <f>+VLOOKUP($AJ17,Data_Validation!$A:$D,1,0)</f>
        <v>#N/A</v>
      </c>
      <c r="AP17" s="598" t="e">
        <f>+VLOOKUP($AJ17,Data_Validation!$A:$D,3,0)</f>
        <v>#N/A</v>
      </c>
      <c r="AQ17" s="598" t="e">
        <f>+VLOOKUP($AJ17,Data_Validation!$A:$D,4,0)</f>
        <v>#N/A</v>
      </c>
      <c r="AR17" s="598" t="s">
        <v>299</v>
      </c>
      <c r="AS17" s="598" t="e">
        <f>+VLOOKUP($AJ17,Data_Validation!$A:$E,5,0)</f>
        <v>#N/A</v>
      </c>
      <c r="AT17" s="1036">
        <f t="shared" si="2"/>
        <v>0</v>
      </c>
      <c r="AU17" s="599">
        <f t="shared" si="2"/>
        <v>0</v>
      </c>
      <c r="AV17" s="1030">
        <f>IFERROR(INDEX(V17:AG17,1,MATCH(Parametres!$B$3,V$1:AG$1,0)-1)*IF(OR(C17="L",C17="S",C17="I"),-1,1),"")</f>
        <v>0</v>
      </c>
      <c r="AW17" s="1030">
        <f t="shared" si="3"/>
        <v>0</v>
      </c>
      <c r="AX17" s="1030">
        <f>INDEX(V17:AG17,1,MATCH(Parametres!$B$3,V$1:AG$1,0))*IF(OR(C17="L",C17="S",C17="I"),-1,1)</f>
        <v>0</v>
      </c>
      <c r="AY17" s="598" t="s">
        <v>337</v>
      </c>
      <c r="AZ17" s="598" t="e">
        <f>+VLOOKUP($AJ17,Data_Validation!$A:$E,5,0)</f>
        <v>#N/A</v>
      </c>
    </row>
    <row r="18" spans="36:52" ht="15" customHeight="1">
      <c r="AJ18" s="1030">
        <f t="shared" si="0"/>
        <v>0</v>
      </c>
      <c r="AK18" s="1030">
        <f t="shared" si="0"/>
        <v>0</v>
      </c>
      <c r="AL18" s="1030">
        <f>IFERROR(INDEX(G18:R18,1,MATCH(Parametres!$B$3,G$1:R$1,0)-1)*IF(OR(F18="L",F18="S",F18="I"),-1,1),"")</f>
        <v>0</v>
      </c>
      <c r="AM18" s="1030">
        <f t="shared" si="1"/>
        <v>0</v>
      </c>
      <c r="AN18" s="1030">
        <f>INDEX(G18:R18,1,MATCH(Parametres!$B$3,G$1:R$1,0))*IF(OR(F18="L",F18="S",F18="I"),-1,1)</f>
        <v>0</v>
      </c>
      <c r="AO18" s="598" t="e">
        <f>+VLOOKUP($AJ18,Data_Validation!$A:$D,1,0)</f>
        <v>#N/A</v>
      </c>
      <c r="AP18" s="598" t="e">
        <f>+VLOOKUP($AJ18,Data_Validation!$A:$D,3,0)</f>
        <v>#N/A</v>
      </c>
      <c r="AQ18" s="598" t="e">
        <f>+VLOOKUP($AJ18,Data_Validation!$A:$D,4,0)</f>
        <v>#N/A</v>
      </c>
      <c r="AR18" s="598" t="s">
        <v>299</v>
      </c>
      <c r="AS18" s="598" t="e">
        <f>+VLOOKUP($AJ18,Data_Validation!$A:$E,5,0)</f>
        <v>#N/A</v>
      </c>
      <c r="AT18" s="1036">
        <f t="shared" si="2"/>
        <v>0</v>
      </c>
      <c r="AU18" s="599">
        <f t="shared" si="2"/>
        <v>0</v>
      </c>
      <c r="AV18" s="1030">
        <f>IFERROR(INDEX(V18:AG18,1,MATCH(Parametres!$B$3,V$1:AG$1,0)-1)*IF(OR(C18="L",C18="S",C18="I"),-1,1),"")</f>
        <v>0</v>
      </c>
      <c r="AW18" s="1030">
        <f t="shared" si="3"/>
        <v>0</v>
      </c>
      <c r="AX18" s="1030">
        <f>INDEX(V18:AG18,1,MATCH(Parametres!$B$3,V$1:AG$1,0))*IF(OR(C18="L",C18="S",C18="I"),-1,1)</f>
        <v>0</v>
      </c>
      <c r="AY18" s="598" t="s">
        <v>337</v>
      </c>
      <c r="AZ18" s="598" t="e">
        <f>+VLOOKUP($AJ18,Data_Validation!$A:$E,5,0)</f>
        <v>#N/A</v>
      </c>
    </row>
    <row r="19" spans="36:52" ht="15" customHeight="1">
      <c r="AJ19" s="1030">
        <f t="shared" si="0"/>
        <v>0</v>
      </c>
      <c r="AK19" s="1030">
        <f t="shared" si="0"/>
        <v>0</v>
      </c>
      <c r="AL19" s="1030">
        <f>IFERROR(INDEX(G19:R19,1,MATCH(Parametres!$B$3,G$1:R$1,0)-1)*IF(OR(F19="L",F19="S",F19="I"),-1,1),"")</f>
        <v>0</v>
      </c>
      <c r="AM19" s="1030">
        <f t="shared" si="1"/>
        <v>0</v>
      </c>
      <c r="AN19" s="1030">
        <f>INDEX(G19:R19,1,MATCH(Parametres!$B$3,G$1:R$1,0))*IF(OR(F19="L",F19="S",F19="I"),-1,1)</f>
        <v>0</v>
      </c>
      <c r="AO19" s="598" t="e">
        <f>+VLOOKUP($AJ19,Data_Validation!$A:$D,1,0)</f>
        <v>#N/A</v>
      </c>
      <c r="AP19" s="598" t="e">
        <f>+VLOOKUP($AJ19,Data_Validation!$A:$D,3,0)</f>
        <v>#N/A</v>
      </c>
      <c r="AQ19" s="598" t="e">
        <f>+VLOOKUP($AJ19,Data_Validation!$A:$D,4,0)</f>
        <v>#N/A</v>
      </c>
      <c r="AR19" s="598" t="s">
        <v>299</v>
      </c>
      <c r="AS19" s="598" t="e">
        <f>+VLOOKUP($AJ19,Data_Validation!$A:$E,5,0)</f>
        <v>#N/A</v>
      </c>
      <c r="AT19" s="1036">
        <f t="shared" si="2"/>
        <v>0</v>
      </c>
      <c r="AU19" s="599">
        <f t="shared" si="2"/>
        <v>0</v>
      </c>
      <c r="AV19" s="1030">
        <f>IFERROR(INDEX(V19:AG19,1,MATCH(Parametres!$B$3,V$1:AG$1,0)-1)*IF(OR(C19="L",C19="S",C19="I"),-1,1),"")</f>
        <v>0</v>
      </c>
      <c r="AW19" s="1030">
        <f t="shared" si="3"/>
        <v>0</v>
      </c>
      <c r="AX19" s="1030">
        <f>INDEX(V19:AG19,1,MATCH(Parametres!$B$3,V$1:AG$1,0))*IF(OR(C19="L",C19="S",C19="I"),-1,1)</f>
        <v>0</v>
      </c>
      <c r="AY19" s="598" t="s">
        <v>337</v>
      </c>
      <c r="AZ19" s="598" t="e">
        <f>+VLOOKUP($AJ19,Data_Validation!$A:$E,5,0)</f>
        <v>#N/A</v>
      </c>
    </row>
    <row r="20" spans="36:52" ht="15" customHeight="1">
      <c r="AJ20" s="1030">
        <f t="shared" si="0"/>
        <v>0</v>
      </c>
      <c r="AK20" s="1030">
        <f t="shared" si="0"/>
        <v>0</v>
      </c>
      <c r="AL20" s="1030">
        <f>IFERROR(INDEX(G20:R20,1,MATCH(Parametres!$B$3,G$1:R$1,0)-1)*IF(OR(F20="L",F20="S",F20="I"),-1,1),"")</f>
        <v>0</v>
      </c>
      <c r="AM20" s="1030">
        <f t="shared" si="1"/>
        <v>0</v>
      </c>
      <c r="AN20" s="1030">
        <f>INDEX(G20:R20,1,MATCH(Parametres!$B$3,G$1:R$1,0))*IF(OR(F20="L",F20="S",F20="I"),-1,1)</f>
        <v>0</v>
      </c>
      <c r="AO20" s="598" t="e">
        <f>+VLOOKUP($AJ20,Data_Validation!$A:$D,1,0)</f>
        <v>#N/A</v>
      </c>
      <c r="AP20" s="598" t="e">
        <f>+VLOOKUP($AJ20,Data_Validation!$A:$D,3,0)</f>
        <v>#N/A</v>
      </c>
      <c r="AQ20" s="598" t="e">
        <f>+VLOOKUP($AJ20,Data_Validation!$A:$D,4,0)</f>
        <v>#N/A</v>
      </c>
      <c r="AR20" s="598" t="s">
        <v>299</v>
      </c>
      <c r="AS20" s="598" t="e">
        <f>+VLOOKUP($AJ20,Data_Validation!$A:$E,5,0)</f>
        <v>#N/A</v>
      </c>
      <c r="AT20" s="1036">
        <f t="shared" si="2"/>
        <v>0</v>
      </c>
      <c r="AU20" s="599">
        <f t="shared" si="2"/>
        <v>0</v>
      </c>
      <c r="AV20" s="1030">
        <f>IFERROR(INDEX(V20:AG20,1,MATCH(Parametres!$B$3,V$1:AG$1,0)-1)*IF(OR(C20="L",C20="S",C20="I"),-1,1),"")</f>
        <v>0</v>
      </c>
      <c r="AW20" s="1030">
        <f t="shared" si="3"/>
        <v>0</v>
      </c>
      <c r="AX20" s="1030">
        <f>INDEX(V20:AG20,1,MATCH(Parametres!$B$3,V$1:AG$1,0))*IF(OR(C20="L",C20="S",C20="I"),-1,1)</f>
        <v>0</v>
      </c>
      <c r="AY20" s="598" t="s">
        <v>337</v>
      </c>
      <c r="AZ20" s="598" t="e">
        <f>+VLOOKUP($AJ20,Data_Validation!$A:$E,5,0)</f>
        <v>#N/A</v>
      </c>
    </row>
    <row r="21" spans="36:52" ht="15" customHeight="1">
      <c r="AJ21" s="1030">
        <f t="shared" si="0"/>
        <v>0</v>
      </c>
      <c r="AK21" s="1030">
        <f t="shared" si="0"/>
        <v>0</v>
      </c>
      <c r="AL21" s="1030">
        <f>IFERROR(INDEX(G21:R21,1,MATCH(Parametres!$B$3,G$1:R$1,0)-1)*IF(OR(F21="L",F21="S",F21="I"),-1,1),"")</f>
        <v>0</v>
      </c>
      <c r="AM21" s="1030">
        <f t="shared" si="1"/>
        <v>0</v>
      </c>
      <c r="AN21" s="1030">
        <f>INDEX(G21:R21,1,MATCH(Parametres!$B$3,G$1:R$1,0))*IF(OR(F21="L",F21="S",F21="I"),-1,1)</f>
        <v>0</v>
      </c>
      <c r="AO21" s="598" t="e">
        <f>+VLOOKUP($AJ21,Data_Validation!$A:$D,1,0)</f>
        <v>#N/A</v>
      </c>
      <c r="AP21" s="598" t="e">
        <f>+VLOOKUP($AJ21,Data_Validation!$A:$D,3,0)</f>
        <v>#N/A</v>
      </c>
      <c r="AQ21" s="598" t="e">
        <f>+VLOOKUP($AJ21,Data_Validation!$A:$D,4,0)</f>
        <v>#N/A</v>
      </c>
      <c r="AR21" s="598" t="s">
        <v>299</v>
      </c>
      <c r="AS21" s="598" t="e">
        <f>+VLOOKUP($AJ21,Data_Validation!$A:$E,5,0)</f>
        <v>#N/A</v>
      </c>
      <c r="AT21" s="1036">
        <f t="shared" si="2"/>
        <v>0</v>
      </c>
      <c r="AU21" s="599">
        <f t="shared" si="2"/>
        <v>0</v>
      </c>
      <c r="AV21" s="1030">
        <f>IFERROR(INDEX(V21:AG21,1,MATCH(Parametres!$B$3,V$1:AG$1,0)-1)*IF(OR(C21="L",C21="S",C21="I"),-1,1),"")</f>
        <v>0</v>
      </c>
      <c r="AW21" s="1030">
        <f t="shared" si="3"/>
        <v>0</v>
      </c>
      <c r="AX21" s="1030">
        <f>INDEX(V21:AG21,1,MATCH(Parametres!$B$3,V$1:AG$1,0))*IF(OR(C21="L",C21="S",C21="I"),-1,1)</f>
        <v>0</v>
      </c>
      <c r="AY21" s="598" t="s">
        <v>337</v>
      </c>
      <c r="AZ21" s="598" t="e">
        <f>+VLOOKUP($AJ21,Data_Validation!$A:$E,5,0)</f>
        <v>#N/A</v>
      </c>
    </row>
    <row r="22" spans="36:52" ht="15" customHeight="1">
      <c r="AJ22" s="1030">
        <f t="shared" si="0"/>
        <v>0</v>
      </c>
      <c r="AK22" s="1030">
        <f t="shared" si="0"/>
        <v>0</v>
      </c>
      <c r="AL22" s="1030">
        <f>IFERROR(INDEX(G22:R22,1,MATCH(Parametres!$B$3,G$1:R$1,0)-1)*IF(OR(F22="L",F22="S",F22="I"),-1,1),"")</f>
        <v>0</v>
      </c>
      <c r="AM22" s="1030">
        <f t="shared" si="1"/>
        <v>0</v>
      </c>
      <c r="AN22" s="1030">
        <f>INDEX(G22:R22,1,MATCH(Parametres!$B$3,G$1:R$1,0))*IF(OR(F22="L",F22="S",F22="I"),-1,1)</f>
        <v>0</v>
      </c>
      <c r="AO22" s="598" t="e">
        <f>+VLOOKUP($AJ22,Data_Validation!$A:$D,1,0)</f>
        <v>#N/A</v>
      </c>
      <c r="AP22" s="598" t="e">
        <f>+VLOOKUP($AJ22,Data_Validation!$A:$D,3,0)</f>
        <v>#N/A</v>
      </c>
      <c r="AQ22" s="598" t="e">
        <f>+VLOOKUP($AJ22,Data_Validation!$A:$D,4,0)</f>
        <v>#N/A</v>
      </c>
      <c r="AR22" s="598" t="s">
        <v>299</v>
      </c>
      <c r="AS22" s="598" t="e">
        <f>+VLOOKUP($AJ22,Data_Validation!$A:$E,5,0)</f>
        <v>#N/A</v>
      </c>
      <c r="AT22" s="1036">
        <f t="shared" si="2"/>
        <v>0</v>
      </c>
      <c r="AU22" s="599">
        <f t="shared" si="2"/>
        <v>0</v>
      </c>
      <c r="AV22" s="1030">
        <f>IFERROR(INDEX(V22:AG22,1,MATCH(Parametres!$B$3,V$1:AG$1,0)-1)*IF(OR(C22="L",C22="S",C22="I"),-1,1),"")</f>
        <v>0</v>
      </c>
      <c r="AW22" s="1030">
        <f t="shared" si="3"/>
        <v>0</v>
      </c>
      <c r="AX22" s="1030">
        <f>INDEX(V22:AG22,1,MATCH(Parametres!$B$3,V$1:AG$1,0))*IF(OR(C22="L",C22="S",C22="I"),-1,1)</f>
        <v>0</v>
      </c>
      <c r="AY22" s="598" t="s">
        <v>337</v>
      </c>
      <c r="AZ22" s="598" t="e">
        <f>+VLOOKUP($AJ22,Data_Validation!$A:$E,5,0)</f>
        <v>#N/A</v>
      </c>
    </row>
    <row r="23" spans="36:52" ht="15" customHeight="1">
      <c r="AJ23" s="1030">
        <f t="shared" si="0"/>
        <v>0</v>
      </c>
      <c r="AK23" s="1030">
        <f t="shared" si="0"/>
        <v>0</v>
      </c>
      <c r="AL23" s="1030">
        <f>IFERROR(INDEX(G23:R23,1,MATCH(Parametres!$B$3,G$1:R$1,0)-1)*IF(OR(F23="L",F23="S",F23="I"),-1,1),"")</f>
        <v>0</v>
      </c>
      <c r="AM23" s="1030">
        <f t="shared" si="1"/>
        <v>0</v>
      </c>
      <c r="AN23" s="1030">
        <f>INDEX(G23:R23,1,MATCH(Parametres!$B$3,G$1:R$1,0))*IF(OR(F23="L",F23="S",F23="I"),-1,1)</f>
        <v>0</v>
      </c>
      <c r="AO23" s="598" t="e">
        <f>+VLOOKUP($AJ23,Data_Validation!$A:$D,1,0)</f>
        <v>#N/A</v>
      </c>
      <c r="AP23" s="598" t="e">
        <f>+VLOOKUP($AJ23,Data_Validation!$A:$D,3,0)</f>
        <v>#N/A</v>
      </c>
      <c r="AQ23" s="598" t="e">
        <f>+VLOOKUP($AJ23,Data_Validation!$A:$D,4,0)</f>
        <v>#N/A</v>
      </c>
      <c r="AR23" s="598" t="s">
        <v>299</v>
      </c>
      <c r="AS23" s="598" t="e">
        <f>+VLOOKUP($AJ23,Data_Validation!$A:$E,5,0)</f>
        <v>#N/A</v>
      </c>
      <c r="AT23" s="1036">
        <f t="shared" si="2"/>
        <v>0</v>
      </c>
      <c r="AU23" s="599">
        <f t="shared" si="2"/>
        <v>0</v>
      </c>
      <c r="AV23" s="1030">
        <f>IFERROR(INDEX(V23:AG23,1,MATCH(Parametres!$B$3,V$1:AG$1,0)-1)*IF(OR(C23="L",C23="S",C23="I"),-1,1),"")</f>
        <v>0</v>
      </c>
      <c r="AW23" s="1030">
        <f t="shared" si="3"/>
        <v>0</v>
      </c>
      <c r="AX23" s="1030">
        <f>INDEX(V23:AG23,1,MATCH(Parametres!$B$3,V$1:AG$1,0))*IF(OR(C23="L",C23="S",C23="I"),-1,1)</f>
        <v>0</v>
      </c>
      <c r="AY23" s="598" t="s">
        <v>337</v>
      </c>
      <c r="AZ23" s="598" t="e">
        <f>+VLOOKUP($AJ23,Data_Validation!$A:$E,5,0)</f>
        <v>#N/A</v>
      </c>
    </row>
    <row r="24" spans="36:52" ht="15" customHeight="1">
      <c r="AJ24" s="1030">
        <f t="shared" si="0"/>
        <v>0</v>
      </c>
      <c r="AK24" s="1030">
        <f t="shared" si="0"/>
        <v>0</v>
      </c>
      <c r="AL24" s="1030">
        <f>IFERROR(INDEX(G24:R24,1,MATCH(Parametres!$B$3,G$1:R$1,0)-1)*IF(OR(F24="L",F24="S",F24="I"),-1,1),"")</f>
        <v>0</v>
      </c>
      <c r="AM24" s="1030">
        <f t="shared" si="1"/>
        <v>0</v>
      </c>
      <c r="AN24" s="1030">
        <f>INDEX(G24:R24,1,MATCH(Parametres!$B$3,G$1:R$1,0))*IF(OR(F24="L",F24="S",F24="I"),-1,1)</f>
        <v>0</v>
      </c>
      <c r="AO24" s="598" t="e">
        <f>+VLOOKUP($AJ24,Data_Validation!$A:$D,1,0)</f>
        <v>#N/A</v>
      </c>
      <c r="AP24" s="598" t="e">
        <f>+VLOOKUP($AJ24,Data_Validation!$A:$D,3,0)</f>
        <v>#N/A</v>
      </c>
      <c r="AQ24" s="598" t="e">
        <f>+VLOOKUP($AJ24,Data_Validation!$A:$D,4,0)</f>
        <v>#N/A</v>
      </c>
      <c r="AR24" s="598" t="s">
        <v>299</v>
      </c>
      <c r="AS24" s="598" t="e">
        <f>+VLOOKUP($AJ24,Data_Validation!$A:$E,5,0)</f>
        <v>#N/A</v>
      </c>
      <c r="AT24" s="1036">
        <f t="shared" si="2"/>
        <v>0</v>
      </c>
      <c r="AU24" s="599">
        <f t="shared" si="2"/>
        <v>0</v>
      </c>
      <c r="AV24" s="1030">
        <f>IFERROR(INDEX(V24:AG24,1,MATCH(Parametres!$B$3,V$1:AG$1,0)-1)*IF(OR(C24="L",C24="S",C24="I"),-1,1),"")</f>
        <v>0</v>
      </c>
      <c r="AW24" s="1030">
        <f t="shared" si="3"/>
        <v>0</v>
      </c>
      <c r="AX24" s="1030">
        <f>INDEX(V24:AG24,1,MATCH(Parametres!$B$3,V$1:AG$1,0))*IF(OR(C24="L",C24="S",C24="I"),-1,1)</f>
        <v>0</v>
      </c>
      <c r="AY24" s="598" t="s">
        <v>337</v>
      </c>
      <c r="AZ24" s="598" t="e">
        <f>+VLOOKUP($AJ24,Data_Validation!$A:$E,5,0)</f>
        <v>#N/A</v>
      </c>
    </row>
    <row r="25" spans="36:52" ht="15" customHeight="1">
      <c r="AJ25" s="1030">
        <f t="shared" si="0"/>
        <v>0</v>
      </c>
      <c r="AK25" s="1030">
        <f t="shared" si="0"/>
        <v>0</v>
      </c>
      <c r="AL25" s="1030">
        <f>IFERROR(INDEX(G25:R25,1,MATCH(Parametres!$B$3,G$1:R$1,0)-1)*IF(OR(F25="L",F25="S",F25="I"),-1,1),"")</f>
        <v>0</v>
      </c>
      <c r="AM25" s="1030">
        <f t="shared" si="1"/>
        <v>0</v>
      </c>
      <c r="AN25" s="1030">
        <f>INDEX(G25:R25,1,MATCH(Parametres!$B$3,G$1:R$1,0))*IF(OR(F25="L",F25="S",F25="I"),-1,1)</f>
        <v>0</v>
      </c>
      <c r="AO25" s="598" t="e">
        <f>+VLOOKUP($AJ25,Data_Validation!$A:$D,1,0)</f>
        <v>#N/A</v>
      </c>
      <c r="AP25" s="598" t="e">
        <f>+VLOOKUP($AJ25,Data_Validation!$A:$D,3,0)</f>
        <v>#N/A</v>
      </c>
      <c r="AQ25" s="598" t="e">
        <f>+VLOOKUP($AJ25,Data_Validation!$A:$D,4,0)</f>
        <v>#N/A</v>
      </c>
      <c r="AR25" s="598" t="s">
        <v>299</v>
      </c>
      <c r="AS25" s="598" t="e">
        <f>+VLOOKUP($AJ25,Data_Validation!$A:$E,5,0)</f>
        <v>#N/A</v>
      </c>
      <c r="AT25" s="1036">
        <f t="shared" si="2"/>
        <v>0</v>
      </c>
      <c r="AU25" s="599">
        <f t="shared" si="2"/>
        <v>0</v>
      </c>
      <c r="AV25" s="1030">
        <f>IFERROR(INDEX(V25:AG25,1,MATCH(Parametres!$B$3,V$1:AG$1,0)-1)*IF(OR(C25="L",C25="S",C25="I"),-1,1),"")</f>
        <v>0</v>
      </c>
      <c r="AW25" s="1030">
        <f t="shared" si="3"/>
        <v>0</v>
      </c>
      <c r="AX25" s="1030">
        <f>INDEX(V25:AG25,1,MATCH(Parametres!$B$3,V$1:AG$1,0))*IF(OR(C25="L",C25="S",C25="I"),-1,1)</f>
        <v>0</v>
      </c>
      <c r="AY25" s="598" t="s">
        <v>337</v>
      </c>
      <c r="AZ25" s="598" t="e">
        <f>+VLOOKUP($AJ25,Data_Validation!$A:$E,5,0)</f>
        <v>#N/A</v>
      </c>
    </row>
    <row r="26" spans="36:52" ht="15.75" customHeight="1">
      <c r="AJ26" s="1030">
        <f t="shared" si="0"/>
        <v>0</v>
      </c>
      <c r="AK26" s="1030">
        <f t="shared" si="0"/>
        <v>0</v>
      </c>
      <c r="AL26" s="1030">
        <f>IFERROR(INDEX(G26:R26,1,MATCH(Parametres!$B$3,G$1:R$1,0)-1)*IF(OR(F26="L",F26="S",F26="I"),-1,1),"")</f>
        <v>0</v>
      </c>
      <c r="AM26" s="1030">
        <f t="shared" si="1"/>
        <v>0</v>
      </c>
      <c r="AN26" s="1030">
        <f>INDEX(G26:R26,1,MATCH(Parametres!$B$3,G$1:R$1,0))*IF(OR(F26="L",F26="S",F26="I"),-1,1)</f>
        <v>0</v>
      </c>
      <c r="AO26" s="598" t="e">
        <f>+VLOOKUP($AJ26,Data_Validation!$A:$D,1,0)</f>
        <v>#N/A</v>
      </c>
      <c r="AP26" s="598" t="e">
        <f>+VLOOKUP($AJ26,Data_Validation!$A:$D,3,0)</f>
        <v>#N/A</v>
      </c>
      <c r="AQ26" s="598" t="e">
        <f>+VLOOKUP($AJ26,Data_Validation!$A:$D,4,0)</f>
        <v>#N/A</v>
      </c>
      <c r="AR26" s="598" t="s">
        <v>299</v>
      </c>
      <c r="AS26" s="598" t="e">
        <f>+VLOOKUP($AJ26,Data_Validation!$A:$E,5,0)</f>
        <v>#N/A</v>
      </c>
      <c r="AT26" s="1036">
        <f t="shared" si="2"/>
        <v>0</v>
      </c>
      <c r="AU26" s="599">
        <f t="shared" si="2"/>
        <v>0</v>
      </c>
      <c r="AV26" s="1030">
        <f>IFERROR(INDEX(V26:AG26,1,MATCH(Parametres!$B$3,V$1:AG$1,0)-1)*IF(OR(C26="L",C26="S",C26="I"),-1,1),"")</f>
        <v>0</v>
      </c>
      <c r="AW26" s="1030">
        <f t="shared" si="3"/>
        <v>0</v>
      </c>
      <c r="AX26" s="1030">
        <f>INDEX(V26:AG26,1,MATCH(Parametres!$B$3,V$1:AG$1,0))*IF(OR(C26="L",C26="S",C26="I"),-1,1)</f>
        <v>0</v>
      </c>
      <c r="AY26" s="598" t="s">
        <v>337</v>
      </c>
      <c r="AZ26" s="598" t="e">
        <f>+VLOOKUP($AJ26,Data_Validation!$A:$E,5,0)</f>
        <v>#N/A</v>
      </c>
    </row>
    <row r="27" spans="36:52" ht="15" customHeight="1">
      <c r="AJ27" s="1030">
        <f t="shared" si="0"/>
        <v>0</v>
      </c>
      <c r="AK27" s="1030">
        <f t="shared" si="0"/>
        <v>0</v>
      </c>
      <c r="AL27" s="1030">
        <f>IFERROR(INDEX(G27:R27,1,MATCH(Parametres!$B$3,G$1:R$1,0)-1)*IF(OR(F27="L",F27="S",F27="I"),-1,1),"")</f>
        <v>0</v>
      </c>
      <c r="AM27" s="1030">
        <f t="shared" si="1"/>
        <v>0</v>
      </c>
      <c r="AN27" s="1030">
        <f>INDEX(G27:R27,1,MATCH(Parametres!$B$3,G$1:R$1,0))*IF(OR(F27="L",F27="S",F27="I"),-1,1)</f>
        <v>0</v>
      </c>
      <c r="AO27" s="598" t="e">
        <f>+VLOOKUP($AJ27,Data_Validation!$A:$D,1,0)</f>
        <v>#N/A</v>
      </c>
      <c r="AP27" s="598" t="e">
        <f>+VLOOKUP($AJ27,Data_Validation!$A:$D,3,0)</f>
        <v>#N/A</v>
      </c>
      <c r="AQ27" s="598" t="e">
        <f>+VLOOKUP($AJ27,Data_Validation!$A:$D,4,0)</f>
        <v>#N/A</v>
      </c>
      <c r="AR27" s="598" t="s">
        <v>299</v>
      </c>
      <c r="AS27" s="598" t="e">
        <f>+VLOOKUP($AJ27,Data_Validation!$A:$E,5,0)</f>
        <v>#N/A</v>
      </c>
      <c r="AT27" s="1036">
        <f t="shared" si="2"/>
        <v>0</v>
      </c>
      <c r="AU27" s="599">
        <f t="shared" si="2"/>
        <v>0</v>
      </c>
      <c r="AV27" s="1030">
        <f>IFERROR(INDEX(V27:AG27,1,MATCH(Parametres!$B$3,V$1:AG$1,0)-1)*IF(OR(C27="L",C27="S",C27="I"),-1,1),"")</f>
        <v>0</v>
      </c>
      <c r="AW27" s="1030">
        <f t="shared" si="3"/>
        <v>0</v>
      </c>
      <c r="AX27" s="1030">
        <f>INDEX(V27:AG27,1,MATCH(Parametres!$B$3,V$1:AG$1,0))*IF(OR(C27="L",C27="S",C27="I"),-1,1)</f>
        <v>0</v>
      </c>
      <c r="AY27" s="598" t="s">
        <v>337</v>
      </c>
      <c r="AZ27" s="598" t="e">
        <f>+VLOOKUP($AJ27,Data_Validation!$A:$E,5,0)</f>
        <v>#N/A</v>
      </c>
    </row>
    <row r="28" spans="36:52" ht="15" customHeight="1">
      <c r="AJ28" s="1030">
        <f t="shared" si="0"/>
        <v>0</v>
      </c>
      <c r="AK28" s="1030">
        <f t="shared" si="0"/>
        <v>0</v>
      </c>
      <c r="AL28" s="1030">
        <f>IFERROR(INDEX(G28:R28,1,MATCH(Parametres!$B$3,G$1:R$1,0)-1)*IF(OR(F28="L",F28="S",F28="I"),-1,1),"")</f>
        <v>0</v>
      </c>
      <c r="AM28" s="1030">
        <f t="shared" si="1"/>
        <v>0</v>
      </c>
      <c r="AN28" s="1030">
        <f>INDEX(G28:R28,1,MATCH(Parametres!$B$3,G$1:R$1,0))*IF(OR(F28="L",F28="S",F28="I"),-1,1)</f>
        <v>0</v>
      </c>
      <c r="AO28" s="598" t="e">
        <f>+VLOOKUP($AJ28,Data_Validation!$A:$D,1,0)</f>
        <v>#N/A</v>
      </c>
      <c r="AP28" s="598" t="e">
        <f>+VLOOKUP($AJ28,Data_Validation!$A:$D,3,0)</f>
        <v>#N/A</v>
      </c>
      <c r="AQ28" s="598" t="e">
        <f>+VLOOKUP($AJ28,Data_Validation!$A:$D,4,0)</f>
        <v>#N/A</v>
      </c>
      <c r="AR28" s="598" t="s">
        <v>299</v>
      </c>
      <c r="AS28" s="598" t="e">
        <f>+VLOOKUP($AJ28,Data_Validation!$A:$E,5,0)</f>
        <v>#N/A</v>
      </c>
      <c r="AT28" s="1036">
        <f t="shared" si="2"/>
        <v>0</v>
      </c>
      <c r="AU28" s="599">
        <f t="shared" si="2"/>
        <v>0</v>
      </c>
      <c r="AV28" s="1030">
        <f>IFERROR(INDEX(V28:AG28,1,MATCH(Parametres!$B$3,V$1:AG$1,0)-1)*IF(OR(C28="L",C28="S",C28="I"),-1,1),"")</f>
        <v>0</v>
      </c>
      <c r="AW28" s="1030">
        <f t="shared" si="3"/>
        <v>0</v>
      </c>
      <c r="AX28" s="1030">
        <f>INDEX(V28:AG28,1,MATCH(Parametres!$B$3,V$1:AG$1,0))*IF(OR(C28="L",C28="S",C28="I"),-1,1)</f>
        <v>0</v>
      </c>
      <c r="AY28" s="598" t="s">
        <v>337</v>
      </c>
      <c r="AZ28" s="598" t="e">
        <f>+VLOOKUP($AJ28,Data_Validation!$A:$E,5,0)</f>
        <v>#N/A</v>
      </c>
    </row>
    <row r="29" spans="36:52" ht="15" customHeight="1">
      <c r="AJ29" s="1030">
        <f t="shared" si="0"/>
        <v>0</v>
      </c>
      <c r="AK29" s="1030">
        <f t="shared" si="0"/>
        <v>0</v>
      </c>
      <c r="AL29" s="1030">
        <f>IFERROR(INDEX(G29:R29,1,MATCH(Parametres!$B$3,G$1:R$1,0)-1)*IF(OR(F29="L",F29="S",F29="I"),-1,1),"")</f>
        <v>0</v>
      </c>
      <c r="AM29" s="1030">
        <f t="shared" si="1"/>
        <v>0</v>
      </c>
      <c r="AN29" s="1030">
        <f>INDEX(G29:R29,1,MATCH(Parametres!$B$3,G$1:R$1,0))*IF(OR(F29="L",F29="S",F29="I"),-1,1)</f>
        <v>0</v>
      </c>
      <c r="AO29" s="598" t="e">
        <f>+VLOOKUP($AJ29,Data_Validation!$A:$D,1,0)</f>
        <v>#N/A</v>
      </c>
      <c r="AP29" s="598" t="e">
        <f>+VLOOKUP($AJ29,Data_Validation!$A:$D,3,0)</f>
        <v>#N/A</v>
      </c>
      <c r="AQ29" s="598" t="e">
        <f>+VLOOKUP($AJ29,Data_Validation!$A:$D,4,0)</f>
        <v>#N/A</v>
      </c>
      <c r="AR29" s="598" t="s">
        <v>299</v>
      </c>
      <c r="AS29" s="598" t="e">
        <f>+VLOOKUP($AJ29,Data_Validation!$A:$E,5,0)</f>
        <v>#N/A</v>
      </c>
      <c r="AT29" s="1036">
        <f t="shared" si="2"/>
        <v>0</v>
      </c>
      <c r="AU29" s="599">
        <f t="shared" si="2"/>
        <v>0</v>
      </c>
      <c r="AV29" s="1030">
        <f>IFERROR(INDEX(V29:AG29,1,MATCH(Parametres!$B$3,V$1:AG$1,0)-1)*IF(OR(C29="L",C29="S",C29="I"),-1,1),"")</f>
        <v>0</v>
      </c>
      <c r="AW29" s="1030">
        <f t="shared" si="3"/>
        <v>0</v>
      </c>
      <c r="AX29" s="1030">
        <f>INDEX(V29:AG29,1,MATCH(Parametres!$B$3,V$1:AG$1,0))*IF(OR(C29="L",C29="S",C29="I"),-1,1)</f>
        <v>0</v>
      </c>
      <c r="AY29" s="598" t="s">
        <v>337</v>
      </c>
      <c r="AZ29" s="598" t="e">
        <f>+VLOOKUP($AJ29,Data_Validation!$A:$E,5,0)</f>
        <v>#N/A</v>
      </c>
    </row>
    <row r="30" spans="36:52" ht="15" customHeight="1">
      <c r="AJ30" s="1030">
        <f t="shared" si="0"/>
        <v>0</v>
      </c>
      <c r="AK30" s="1030">
        <f t="shared" si="0"/>
        <v>0</v>
      </c>
      <c r="AL30" s="1030">
        <f>IFERROR(INDEX(G30:R30,1,MATCH(Parametres!$B$3,G$1:R$1,0)-1)*IF(OR(F30="L",F30="S",F30="I"),-1,1),"")</f>
        <v>0</v>
      </c>
      <c r="AM30" s="1030">
        <f t="shared" si="1"/>
        <v>0</v>
      </c>
      <c r="AN30" s="1030">
        <f>INDEX(G30:R30,1,MATCH(Parametres!$B$3,G$1:R$1,0))*IF(OR(F30="L",F30="S",F30="I"),-1,1)</f>
        <v>0</v>
      </c>
      <c r="AO30" s="598" t="e">
        <f>+VLOOKUP($AJ30,Data_Validation!$A:$D,1,0)</f>
        <v>#N/A</v>
      </c>
      <c r="AP30" s="598" t="e">
        <f>+VLOOKUP($AJ30,Data_Validation!$A:$D,3,0)</f>
        <v>#N/A</v>
      </c>
      <c r="AQ30" s="598" t="e">
        <f>+VLOOKUP($AJ30,Data_Validation!$A:$D,4,0)</f>
        <v>#N/A</v>
      </c>
      <c r="AR30" s="598" t="s">
        <v>299</v>
      </c>
      <c r="AS30" s="598" t="e">
        <f>+VLOOKUP($AJ30,Data_Validation!$A:$E,5,0)</f>
        <v>#N/A</v>
      </c>
      <c r="AT30" s="1036">
        <f t="shared" si="2"/>
        <v>0</v>
      </c>
      <c r="AU30" s="599">
        <f t="shared" si="2"/>
        <v>0</v>
      </c>
      <c r="AV30" s="1030">
        <f>IFERROR(INDEX(V30:AG30,1,MATCH(Parametres!$B$3,V$1:AG$1,0)-1)*IF(OR(C30="L",C30="S",C30="I"),-1,1),"")</f>
        <v>0</v>
      </c>
      <c r="AW30" s="1030">
        <f t="shared" si="3"/>
        <v>0</v>
      </c>
      <c r="AX30" s="1030">
        <f>INDEX(V30:AG30,1,MATCH(Parametres!$B$3,V$1:AG$1,0))*IF(OR(C30="L",C30="S",C30="I"),-1,1)</f>
        <v>0</v>
      </c>
      <c r="AY30" s="598" t="s">
        <v>337</v>
      </c>
      <c r="AZ30" s="598" t="e">
        <f>+VLOOKUP($AJ30,Data_Validation!$A:$E,5,0)</f>
        <v>#N/A</v>
      </c>
    </row>
    <row r="31" spans="36:52" ht="15" customHeight="1">
      <c r="AJ31" s="1030">
        <f t="shared" si="0"/>
        <v>0</v>
      </c>
      <c r="AK31" s="1030">
        <f t="shared" si="0"/>
        <v>0</v>
      </c>
      <c r="AL31" s="1030">
        <f>IFERROR(INDEX(G31:R31,1,MATCH(Parametres!$B$3,G$1:R$1,0)-1)*IF(OR(F31="L",F31="S",F31="I"),-1,1),"")</f>
        <v>0</v>
      </c>
      <c r="AM31" s="1030">
        <f t="shared" si="1"/>
        <v>0</v>
      </c>
      <c r="AN31" s="1030">
        <f>INDEX(G31:R31,1,MATCH(Parametres!$B$3,G$1:R$1,0))*IF(OR(F31="L",F31="S",F31="I"),-1,1)</f>
        <v>0</v>
      </c>
      <c r="AO31" s="598" t="e">
        <f>+VLOOKUP($AJ31,Data_Validation!$A:$D,1,0)</f>
        <v>#N/A</v>
      </c>
      <c r="AP31" s="598" t="e">
        <f>+VLOOKUP($AJ31,Data_Validation!$A:$D,3,0)</f>
        <v>#N/A</v>
      </c>
      <c r="AQ31" s="598" t="e">
        <f>+VLOOKUP($AJ31,Data_Validation!$A:$D,4,0)</f>
        <v>#N/A</v>
      </c>
      <c r="AR31" s="598" t="s">
        <v>299</v>
      </c>
      <c r="AS31" s="598" t="e">
        <f>+VLOOKUP($AJ31,Data_Validation!$A:$E,5,0)</f>
        <v>#N/A</v>
      </c>
      <c r="AT31" s="1036">
        <f t="shared" si="2"/>
        <v>0</v>
      </c>
      <c r="AU31" s="599">
        <f t="shared" si="2"/>
        <v>0</v>
      </c>
      <c r="AV31" s="1030">
        <f>IFERROR(INDEX(V31:AG31,1,MATCH(Parametres!$B$3,V$1:AG$1,0)-1)*IF(OR(C31="L",C31="S",C31="I"),-1,1),"")</f>
        <v>0</v>
      </c>
      <c r="AW31" s="1030">
        <f t="shared" si="3"/>
        <v>0</v>
      </c>
      <c r="AX31" s="1030">
        <f>INDEX(V31:AG31,1,MATCH(Parametres!$B$3,V$1:AG$1,0))*IF(OR(C31="L",C31="S",C31="I"),-1,1)</f>
        <v>0</v>
      </c>
      <c r="AY31" s="598" t="s">
        <v>337</v>
      </c>
      <c r="AZ31" s="598" t="e">
        <f>+VLOOKUP($AJ31,Data_Validation!$A:$E,5,0)</f>
        <v>#N/A</v>
      </c>
    </row>
    <row r="32" spans="36:52" ht="15" customHeight="1">
      <c r="AJ32" s="1030">
        <f t="shared" si="0"/>
        <v>0</v>
      </c>
      <c r="AK32" s="1030">
        <f t="shared" si="0"/>
        <v>0</v>
      </c>
      <c r="AL32" s="1030">
        <f>IFERROR(INDEX(G32:R32,1,MATCH(Parametres!$B$3,G$1:R$1,0)-1)*IF(OR(F32="L",F32="S",F32="I"),-1,1),"")</f>
        <v>0</v>
      </c>
      <c r="AM32" s="1030">
        <f t="shared" si="1"/>
        <v>0</v>
      </c>
      <c r="AN32" s="1030">
        <f>INDEX(G32:R32,1,MATCH(Parametres!$B$3,G$1:R$1,0))*IF(OR(F32="L",F32="S",F32="I"),-1,1)</f>
        <v>0</v>
      </c>
      <c r="AO32" s="598" t="e">
        <f>+VLOOKUP($AJ32,Data_Validation!$A:$D,1,0)</f>
        <v>#N/A</v>
      </c>
      <c r="AP32" s="598" t="e">
        <f>+VLOOKUP($AJ32,Data_Validation!$A:$D,3,0)</f>
        <v>#N/A</v>
      </c>
      <c r="AQ32" s="598" t="e">
        <f>+VLOOKUP($AJ32,Data_Validation!$A:$D,4,0)</f>
        <v>#N/A</v>
      </c>
      <c r="AR32" s="598" t="s">
        <v>299</v>
      </c>
      <c r="AS32" s="598" t="e">
        <f>+VLOOKUP($AJ32,Data_Validation!$A:$E,5,0)</f>
        <v>#N/A</v>
      </c>
      <c r="AT32" s="1036">
        <f t="shared" si="2"/>
        <v>0</v>
      </c>
      <c r="AU32" s="599">
        <f t="shared" si="2"/>
        <v>0</v>
      </c>
      <c r="AV32" s="1030">
        <f>IFERROR(INDEX(V32:AG32,1,MATCH(Parametres!$B$3,V$1:AG$1,0)-1)*IF(OR(C32="L",C32="S",C32="I"),-1,1),"")</f>
        <v>0</v>
      </c>
      <c r="AW32" s="1030">
        <f t="shared" si="3"/>
        <v>0</v>
      </c>
      <c r="AX32" s="1030">
        <f>INDEX(V32:AG32,1,MATCH(Parametres!$B$3,V$1:AG$1,0))*IF(OR(C32="L",C32="S",C32="I"),-1,1)</f>
        <v>0</v>
      </c>
      <c r="AY32" s="598" t="s">
        <v>337</v>
      </c>
      <c r="AZ32" s="598" t="e">
        <f>+VLOOKUP($AJ32,Data_Validation!$A:$E,5,0)</f>
        <v>#N/A</v>
      </c>
    </row>
    <row r="33" spans="36:52" ht="15" customHeight="1">
      <c r="AJ33" s="1030">
        <f t="shared" si="0"/>
        <v>0</v>
      </c>
      <c r="AK33" s="1030">
        <f t="shared" si="0"/>
        <v>0</v>
      </c>
      <c r="AL33" s="1030">
        <f>IFERROR(INDEX(G33:R33,1,MATCH(Parametres!$B$3,G$1:R$1,0)-1)*IF(OR(F33="L",F33="S",F33="I"),-1,1),"")</f>
        <v>0</v>
      </c>
      <c r="AM33" s="1030">
        <f t="shared" si="1"/>
        <v>0</v>
      </c>
      <c r="AN33" s="1030">
        <f>INDEX(G33:R33,1,MATCH(Parametres!$B$3,G$1:R$1,0))*IF(OR(F33="L",F33="S",F33="I"),-1,1)</f>
        <v>0</v>
      </c>
      <c r="AO33" s="598" t="e">
        <f>+VLOOKUP($AJ33,Data_Validation!$A:$D,1,0)</f>
        <v>#N/A</v>
      </c>
      <c r="AP33" s="598" t="e">
        <f>+VLOOKUP($AJ33,Data_Validation!$A:$D,3,0)</f>
        <v>#N/A</v>
      </c>
      <c r="AQ33" s="598" t="e">
        <f>+VLOOKUP($AJ33,Data_Validation!$A:$D,4,0)</f>
        <v>#N/A</v>
      </c>
      <c r="AR33" s="598" t="s">
        <v>299</v>
      </c>
      <c r="AS33" s="598" t="e">
        <f>+VLOOKUP($AJ33,Data_Validation!$A:$E,5,0)</f>
        <v>#N/A</v>
      </c>
      <c r="AT33" s="1036">
        <f t="shared" si="2"/>
        <v>0</v>
      </c>
      <c r="AU33" s="599">
        <f t="shared" si="2"/>
        <v>0</v>
      </c>
      <c r="AV33" s="1030">
        <f>IFERROR(INDEX(V33:AG33,1,MATCH(Parametres!$B$3,V$1:AG$1,0)-1)*IF(OR(C33="L",C33="S",C33="I"),-1,1),"")</f>
        <v>0</v>
      </c>
      <c r="AW33" s="1030">
        <f t="shared" si="3"/>
        <v>0</v>
      </c>
      <c r="AX33" s="1030">
        <f>INDEX(V33:AG33,1,MATCH(Parametres!$B$3,V$1:AG$1,0))*IF(OR(C33="L",C33="S",C33="I"),-1,1)</f>
        <v>0</v>
      </c>
      <c r="AY33" s="598" t="s">
        <v>337</v>
      </c>
      <c r="AZ33" s="598" t="e">
        <f>+VLOOKUP($AJ33,Data_Validation!$A:$E,5,0)</f>
        <v>#N/A</v>
      </c>
    </row>
    <row r="34" spans="36:52" ht="15.75" customHeight="1">
      <c r="AJ34" s="1030">
        <f t="shared" si="0"/>
        <v>0</v>
      </c>
      <c r="AK34" s="1030">
        <f t="shared" si="0"/>
        <v>0</v>
      </c>
      <c r="AL34" s="1030">
        <f>IFERROR(INDEX(G34:R34,1,MATCH(Parametres!$B$3,G$1:R$1,0)-1)*IF(OR(F34="L",F34="S",F34="I"),-1,1),"")</f>
        <v>0</v>
      </c>
      <c r="AM34" s="1030">
        <f t="shared" si="1"/>
        <v>0</v>
      </c>
      <c r="AN34" s="1030">
        <f>INDEX(G34:R34,1,MATCH(Parametres!$B$3,G$1:R$1,0))*IF(OR(F34="L",F34="S",F34="I"),-1,1)</f>
        <v>0</v>
      </c>
      <c r="AO34" s="598" t="e">
        <f>+VLOOKUP($AJ34,Data_Validation!$A:$D,1,0)</f>
        <v>#N/A</v>
      </c>
      <c r="AP34" s="598" t="e">
        <f>+VLOOKUP($AJ34,Data_Validation!$A:$D,3,0)</f>
        <v>#N/A</v>
      </c>
      <c r="AQ34" s="598" t="e">
        <f>+VLOOKUP($AJ34,Data_Validation!$A:$D,4,0)</f>
        <v>#N/A</v>
      </c>
      <c r="AR34" s="598" t="s">
        <v>299</v>
      </c>
      <c r="AS34" s="598" t="e">
        <f>+VLOOKUP($AJ34,Data_Validation!$A:$E,5,0)</f>
        <v>#N/A</v>
      </c>
      <c r="AT34" s="1036">
        <f t="shared" si="2"/>
        <v>0</v>
      </c>
      <c r="AU34" s="599">
        <f t="shared" si="2"/>
        <v>0</v>
      </c>
      <c r="AV34" s="1030">
        <f>IFERROR(INDEX(V34:AG34,1,MATCH(Parametres!$B$3,V$1:AG$1,0)-1)*IF(OR(C34="L",C34="S",C34="I"),-1,1),"")</f>
        <v>0</v>
      </c>
      <c r="AW34" s="1030">
        <f t="shared" si="3"/>
        <v>0</v>
      </c>
      <c r="AX34" s="1030">
        <f>INDEX(V34:AG34,1,MATCH(Parametres!$B$3,V$1:AG$1,0))*IF(OR(C34="L",C34="S",C34="I"),-1,1)</f>
        <v>0</v>
      </c>
      <c r="AY34" s="598" t="s">
        <v>337</v>
      </c>
      <c r="AZ34" s="598" t="e">
        <f>+VLOOKUP($AJ34,Data_Validation!$A:$E,5,0)</f>
        <v>#N/A</v>
      </c>
    </row>
    <row r="35" spans="36:52" ht="15" customHeight="1">
      <c r="AJ35" s="1030">
        <f t="shared" si="0"/>
        <v>0</v>
      </c>
      <c r="AK35" s="1030">
        <f t="shared" si="0"/>
        <v>0</v>
      </c>
      <c r="AL35" s="1030">
        <f>IFERROR(INDEX(G35:R35,1,MATCH(Parametres!$B$3,G$1:R$1,0)-1)*IF(OR(F35="L",F35="S",F35="I"),-1,1),"")</f>
        <v>0</v>
      </c>
      <c r="AM35" s="1030">
        <f t="shared" si="1"/>
        <v>0</v>
      </c>
      <c r="AN35" s="1030">
        <f>INDEX(G35:R35,1,MATCH(Parametres!$B$3,G$1:R$1,0))*IF(OR(F35="L",F35="S",F35="I"),-1,1)</f>
        <v>0</v>
      </c>
      <c r="AO35" s="598" t="e">
        <f>+VLOOKUP($AJ35,Data_Validation!$A:$D,1,0)</f>
        <v>#N/A</v>
      </c>
      <c r="AP35" s="598" t="e">
        <f>+VLOOKUP($AJ35,Data_Validation!$A:$D,3,0)</f>
        <v>#N/A</v>
      </c>
      <c r="AQ35" s="598" t="e">
        <f>+VLOOKUP($AJ35,Data_Validation!$A:$D,4,0)</f>
        <v>#N/A</v>
      </c>
      <c r="AR35" s="598" t="s">
        <v>299</v>
      </c>
      <c r="AS35" s="598" t="e">
        <f>+VLOOKUP($AJ35,Data_Validation!$A:$E,5,0)</f>
        <v>#N/A</v>
      </c>
      <c r="AT35" s="1036">
        <f t="shared" si="2"/>
        <v>0</v>
      </c>
      <c r="AU35" s="599">
        <f t="shared" si="2"/>
        <v>0</v>
      </c>
      <c r="AV35" s="1030">
        <f>IFERROR(INDEX(V35:AG35,1,MATCH(Parametres!$B$3,V$1:AG$1,0)-1)*IF(OR(C35="L",C35="S",C35="I"),-1,1),"")</f>
        <v>0</v>
      </c>
      <c r="AW35" s="1030">
        <f t="shared" si="3"/>
        <v>0</v>
      </c>
      <c r="AX35" s="1030">
        <f>INDEX(V35:AG35,1,MATCH(Parametres!$B$3,V$1:AG$1,0))*IF(OR(C35="L",C35="S",C35="I"),-1,1)</f>
        <v>0</v>
      </c>
      <c r="AY35" s="598" t="s">
        <v>337</v>
      </c>
      <c r="AZ35" s="598" t="e">
        <f>+VLOOKUP($AJ35,Data_Validation!$A:$E,5,0)</f>
        <v>#N/A</v>
      </c>
    </row>
    <row r="36" spans="36:52" ht="15" customHeight="1">
      <c r="AJ36" s="1030">
        <f t="shared" si="0"/>
        <v>0</v>
      </c>
      <c r="AK36" s="1030">
        <f t="shared" si="0"/>
        <v>0</v>
      </c>
      <c r="AL36" s="1030">
        <f>IFERROR(INDEX(G36:R36,1,MATCH(Parametres!$B$3,G$1:R$1,0)-1)*IF(OR(F36="L",F36="S",F36="I"),-1,1),"")</f>
        <v>0</v>
      </c>
      <c r="AM36" s="1030">
        <f t="shared" si="1"/>
        <v>0</v>
      </c>
      <c r="AN36" s="1030">
        <f>INDEX(G36:R36,1,MATCH(Parametres!$B$3,G$1:R$1,0))*IF(OR(F36="L",F36="S",F36="I"),-1,1)</f>
        <v>0</v>
      </c>
      <c r="AO36" s="598" t="e">
        <f>+VLOOKUP($AJ36,Data_Validation!$A:$D,1,0)</f>
        <v>#N/A</v>
      </c>
      <c r="AP36" s="598" t="e">
        <f>+VLOOKUP($AJ36,Data_Validation!$A:$D,3,0)</f>
        <v>#N/A</v>
      </c>
      <c r="AQ36" s="598" t="e">
        <f>+VLOOKUP($AJ36,Data_Validation!$A:$D,4,0)</f>
        <v>#N/A</v>
      </c>
      <c r="AR36" s="598" t="s">
        <v>299</v>
      </c>
      <c r="AS36" s="598" t="e">
        <f>+VLOOKUP($AJ36,Data_Validation!$A:$E,5,0)</f>
        <v>#N/A</v>
      </c>
      <c r="AT36" s="1036">
        <f t="shared" si="2"/>
        <v>0</v>
      </c>
      <c r="AU36" s="599">
        <f t="shared" si="2"/>
        <v>0</v>
      </c>
      <c r="AV36" s="1030">
        <f>IFERROR(INDEX(V36:AG36,1,MATCH(Parametres!$B$3,V$1:AG$1,0)-1)*IF(OR(C36="L",C36="S",C36="I"),-1,1),"")</f>
        <v>0</v>
      </c>
      <c r="AW36" s="1030">
        <f t="shared" si="3"/>
        <v>0</v>
      </c>
      <c r="AX36" s="1030">
        <f>INDEX(V36:AG36,1,MATCH(Parametres!$B$3,V$1:AG$1,0))*IF(OR(C36="L",C36="S",C36="I"),-1,1)</f>
        <v>0</v>
      </c>
      <c r="AY36" s="598" t="s">
        <v>337</v>
      </c>
      <c r="AZ36" s="598" t="e">
        <f>+VLOOKUP($AJ36,Data_Validation!$A:$E,5,0)</f>
        <v>#N/A</v>
      </c>
    </row>
    <row r="37" spans="36:52" ht="15" customHeight="1">
      <c r="AJ37" s="1030">
        <f t="shared" si="0"/>
        <v>0</v>
      </c>
      <c r="AK37" s="1030">
        <f t="shared" si="0"/>
        <v>0</v>
      </c>
      <c r="AL37" s="1030">
        <f>IFERROR(INDEX(G37:R37,1,MATCH(Parametres!$B$3,G$1:R$1,0)-1)*IF(OR(F37="L",F37="S",F37="I"),-1,1),"")</f>
        <v>0</v>
      </c>
      <c r="AM37" s="1030">
        <f t="shared" si="1"/>
        <v>0</v>
      </c>
      <c r="AN37" s="1030">
        <f>INDEX(G37:R37,1,MATCH(Parametres!$B$3,G$1:R$1,0))*IF(OR(F37="L",F37="S",F37="I"),-1,1)</f>
        <v>0</v>
      </c>
      <c r="AO37" s="598" t="e">
        <f>+VLOOKUP($AJ37,Data_Validation!$A:$D,1,0)</f>
        <v>#N/A</v>
      </c>
      <c r="AP37" s="598" t="e">
        <f>+VLOOKUP($AJ37,Data_Validation!$A:$D,3,0)</f>
        <v>#N/A</v>
      </c>
      <c r="AQ37" s="598" t="e">
        <f>+VLOOKUP($AJ37,Data_Validation!$A:$D,4,0)</f>
        <v>#N/A</v>
      </c>
      <c r="AR37" s="598" t="s">
        <v>299</v>
      </c>
      <c r="AS37" s="598" t="e">
        <f>+VLOOKUP($AJ37,Data_Validation!$A:$E,5,0)</f>
        <v>#N/A</v>
      </c>
      <c r="AT37" s="1036">
        <f t="shared" si="2"/>
        <v>0</v>
      </c>
      <c r="AU37" s="599">
        <f t="shared" si="2"/>
        <v>0</v>
      </c>
      <c r="AV37" s="1030">
        <f>IFERROR(INDEX(V37:AG37,1,MATCH(Parametres!$B$3,V$1:AG$1,0)-1)*IF(OR(C37="L",C37="S",C37="I"),-1,1),"")</f>
        <v>0</v>
      </c>
      <c r="AW37" s="1030">
        <f t="shared" si="3"/>
        <v>0</v>
      </c>
      <c r="AX37" s="1030">
        <f>INDEX(V37:AG37,1,MATCH(Parametres!$B$3,V$1:AG$1,0))*IF(OR(C37="L",C37="S",C37="I"),-1,1)</f>
        <v>0</v>
      </c>
      <c r="AY37" s="598" t="s">
        <v>337</v>
      </c>
      <c r="AZ37" s="598" t="e">
        <f>+VLOOKUP($AJ37,Data_Validation!$A:$E,5,0)</f>
        <v>#N/A</v>
      </c>
    </row>
    <row r="38" spans="36:52" ht="15" customHeight="1">
      <c r="AJ38" s="1030">
        <f t="shared" si="0"/>
        <v>0</v>
      </c>
      <c r="AK38" s="1030">
        <f t="shared" si="0"/>
        <v>0</v>
      </c>
      <c r="AL38" s="1030">
        <f>IFERROR(INDEX(G38:R38,1,MATCH(Parametres!$B$3,G$1:R$1,0)-1)*IF(OR(F38="L",F38="S",F38="I"),-1,1),"")</f>
        <v>0</v>
      </c>
      <c r="AM38" s="1030">
        <f t="shared" si="1"/>
        <v>0</v>
      </c>
      <c r="AN38" s="1030">
        <f>INDEX(G38:R38,1,MATCH(Parametres!$B$3,G$1:R$1,0))*IF(OR(F38="L",F38="S",F38="I"),-1,1)</f>
        <v>0</v>
      </c>
      <c r="AO38" s="598" t="e">
        <f>+VLOOKUP($AJ38,Data_Validation!$A:$D,1,0)</f>
        <v>#N/A</v>
      </c>
      <c r="AP38" s="598" t="e">
        <f>+VLOOKUP($AJ38,Data_Validation!$A:$D,3,0)</f>
        <v>#N/A</v>
      </c>
      <c r="AQ38" s="598" t="e">
        <f>+VLOOKUP($AJ38,Data_Validation!$A:$D,4,0)</f>
        <v>#N/A</v>
      </c>
      <c r="AR38" s="598" t="s">
        <v>299</v>
      </c>
      <c r="AS38" s="598" t="e">
        <f>+VLOOKUP($AJ38,Data_Validation!$A:$E,5,0)</f>
        <v>#N/A</v>
      </c>
      <c r="AT38" s="1036">
        <f t="shared" si="2"/>
        <v>0</v>
      </c>
      <c r="AU38" s="599">
        <f t="shared" si="2"/>
        <v>0</v>
      </c>
      <c r="AV38" s="1030">
        <f>IFERROR(INDEX(V38:AG38,1,MATCH(Parametres!$B$3,V$1:AG$1,0)-1)*IF(OR(C38="L",C38="S",C38="I"),-1,1),"")</f>
        <v>0</v>
      </c>
      <c r="AW38" s="1030">
        <f t="shared" si="3"/>
        <v>0</v>
      </c>
      <c r="AX38" s="1030">
        <f>INDEX(V38:AG38,1,MATCH(Parametres!$B$3,V$1:AG$1,0))*IF(OR(C38="L",C38="S",C38="I"),-1,1)</f>
        <v>0</v>
      </c>
      <c r="AY38" s="598" t="s">
        <v>337</v>
      </c>
      <c r="AZ38" s="598" t="e">
        <f>+VLOOKUP($AJ38,Data_Validation!$A:$E,5,0)</f>
        <v>#N/A</v>
      </c>
    </row>
    <row r="39" spans="36:52" ht="15" customHeight="1">
      <c r="AJ39" s="1030">
        <f t="shared" si="0"/>
        <v>0</v>
      </c>
      <c r="AK39" s="1030">
        <f t="shared" si="0"/>
        <v>0</v>
      </c>
      <c r="AL39" s="1030">
        <f>IFERROR(INDEX(G39:R39,1,MATCH(Parametres!$B$3,G$1:R$1,0)-1)*IF(OR(F39="L",F39="S",F39="I"),-1,1),"")</f>
        <v>0</v>
      </c>
      <c r="AM39" s="1030">
        <f t="shared" si="1"/>
        <v>0</v>
      </c>
      <c r="AN39" s="1030">
        <f>INDEX(G39:R39,1,MATCH(Parametres!$B$3,G$1:R$1,0))*IF(OR(F39="L",F39="S",F39="I"),-1,1)</f>
        <v>0</v>
      </c>
      <c r="AO39" s="598" t="e">
        <f>+VLOOKUP($AJ39,Data_Validation!$A:$D,1,0)</f>
        <v>#N/A</v>
      </c>
      <c r="AP39" s="598" t="e">
        <f>+VLOOKUP($AJ39,Data_Validation!$A:$D,3,0)</f>
        <v>#N/A</v>
      </c>
      <c r="AQ39" s="598" t="e">
        <f>+VLOOKUP($AJ39,Data_Validation!$A:$D,4,0)</f>
        <v>#N/A</v>
      </c>
      <c r="AR39" s="598" t="s">
        <v>299</v>
      </c>
      <c r="AS39" s="598" t="e">
        <f>+VLOOKUP($AJ39,Data_Validation!$A:$E,5,0)</f>
        <v>#N/A</v>
      </c>
      <c r="AT39" s="1036">
        <f t="shared" si="2"/>
        <v>0</v>
      </c>
      <c r="AU39" s="599">
        <f t="shared" si="2"/>
        <v>0</v>
      </c>
      <c r="AV39" s="1030">
        <f>IFERROR(INDEX(V39:AG39,1,MATCH(Parametres!$B$3,V$1:AG$1,0)-1)*IF(OR(C39="L",C39="S",C39="I"),-1,1),"")</f>
        <v>0</v>
      </c>
      <c r="AW39" s="1030">
        <f t="shared" si="3"/>
        <v>0</v>
      </c>
      <c r="AX39" s="1030">
        <f>INDEX(V39:AG39,1,MATCH(Parametres!$B$3,V$1:AG$1,0))*IF(OR(C39="L",C39="S",C39="I"),-1,1)</f>
        <v>0</v>
      </c>
      <c r="AY39" s="598" t="s">
        <v>337</v>
      </c>
      <c r="AZ39" s="598" t="e">
        <f>+VLOOKUP($AJ39,Data_Validation!$A:$E,5,0)</f>
        <v>#N/A</v>
      </c>
    </row>
    <row r="40" spans="36:52" ht="15.75" customHeight="1">
      <c r="AJ40" s="1030">
        <f t="shared" si="0"/>
        <v>0</v>
      </c>
      <c r="AK40" s="1030">
        <f t="shared" si="0"/>
        <v>0</v>
      </c>
      <c r="AL40" s="1030">
        <f>IFERROR(INDEX(G40:R40,1,MATCH(Parametres!$B$3,G$1:R$1,0)-1)*IF(OR(F40="L",F40="S",F40="I"),-1,1),"")</f>
        <v>0</v>
      </c>
      <c r="AM40" s="1030">
        <f t="shared" si="1"/>
        <v>0</v>
      </c>
      <c r="AN40" s="1030">
        <f>INDEX(G40:R40,1,MATCH(Parametres!$B$3,G$1:R$1,0))*IF(OR(F40="L",F40="S",F40="I"),-1,1)</f>
        <v>0</v>
      </c>
      <c r="AO40" s="598" t="e">
        <f>+VLOOKUP($AJ40,Data_Validation!$A:$D,1,0)</f>
        <v>#N/A</v>
      </c>
      <c r="AP40" s="598" t="e">
        <f>+VLOOKUP($AJ40,Data_Validation!$A:$D,3,0)</f>
        <v>#N/A</v>
      </c>
      <c r="AQ40" s="598" t="e">
        <f>+VLOOKUP($AJ40,Data_Validation!$A:$D,4,0)</f>
        <v>#N/A</v>
      </c>
      <c r="AR40" s="598" t="s">
        <v>299</v>
      </c>
      <c r="AS40" s="598" t="e">
        <f>+VLOOKUP($AJ40,Data_Validation!$A:$E,5,0)</f>
        <v>#N/A</v>
      </c>
      <c r="AT40" s="1036">
        <f t="shared" si="2"/>
        <v>0</v>
      </c>
      <c r="AU40" s="599">
        <f t="shared" si="2"/>
        <v>0</v>
      </c>
      <c r="AV40" s="1030">
        <f>IFERROR(INDEX(V40:AG40,1,MATCH(Parametres!$B$3,V$1:AG$1,0)-1)*IF(OR(C40="L",C40="S",C40="I"),-1,1),"")</f>
        <v>0</v>
      </c>
      <c r="AW40" s="1030">
        <f t="shared" si="3"/>
        <v>0</v>
      </c>
      <c r="AX40" s="1030">
        <f>INDEX(V40:AG40,1,MATCH(Parametres!$B$3,V$1:AG$1,0))*IF(OR(C40="L",C40="S",C40="I"),-1,1)</f>
        <v>0</v>
      </c>
      <c r="AY40" s="598" t="s">
        <v>337</v>
      </c>
      <c r="AZ40" s="598" t="e">
        <f>+VLOOKUP($AJ40,Data_Validation!$A:$E,5,0)</f>
        <v>#N/A</v>
      </c>
    </row>
    <row r="41" spans="36:52" ht="15" customHeight="1">
      <c r="AJ41" s="1030">
        <f t="shared" si="0"/>
        <v>0</v>
      </c>
      <c r="AK41" s="1030">
        <f t="shared" si="0"/>
        <v>0</v>
      </c>
      <c r="AL41" s="1030">
        <f>IFERROR(INDEX(G41:R41,1,MATCH(Parametres!$B$3,G$1:R$1,0)-1)*IF(OR(F41="L",F41="S",F41="I"),-1,1),"")</f>
        <v>0</v>
      </c>
      <c r="AM41" s="1030">
        <f t="shared" si="1"/>
        <v>0</v>
      </c>
      <c r="AN41" s="1030">
        <f>INDEX(G41:R41,1,MATCH(Parametres!$B$3,G$1:R$1,0))*IF(OR(F41="L",F41="S",F41="I"),-1,1)</f>
        <v>0</v>
      </c>
      <c r="AO41" s="598" t="e">
        <f>+VLOOKUP($AJ41,Data_Validation!$A:$D,1,0)</f>
        <v>#N/A</v>
      </c>
      <c r="AP41" s="598" t="e">
        <f>+VLOOKUP($AJ41,Data_Validation!$A:$D,3,0)</f>
        <v>#N/A</v>
      </c>
      <c r="AQ41" s="598" t="e">
        <f>+VLOOKUP($AJ41,Data_Validation!$A:$D,4,0)</f>
        <v>#N/A</v>
      </c>
      <c r="AR41" s="598" t="s">
        <v>299</v>
      </c>
      <c r="AS41" s="598" t="e">
        <f>+VLOOKUP($AJ41,Data_Validation!$A:$E,5,0)</f>
        <v>#N/A</v>
      </c>
      <c r="AT41" s="1036">
        <f t="shared" si="2"/>
        <v>0</v>
      </c>
      <c r="AU41" s="599">
        <f t="shared" si="2"/>
        <v>0</v>
      </c>
      <c r="AV41" s="1030">
        <f>IFERROR(INDEX(V41:AG41,1,MATCH(Parametres!$B$3,V$1:AG$1,0)-1)*IF(OR(C41="L",C41="S",C41="I"),-1,1),"")</f>
        <v>0</v>
      </c>
      <c r="AW41" s="1030">
        <f t="shared" si="3"/>
        <v>0</v>
      </c>
      <c r="AX41" s="1030">
        <f>INDEX(V41:AG41,1,MATCH(Parametres!$B$3,V$1:AG$1,0))*IF(OR(C41="L",C41="S",C41="I"),-1,1)</f>
        <v>0</v>
      </c>
      <c r="AY41" s="598" t="s">
        <v>337</v>
      </c>
      <c r="AZ41" s="598" t="e">
        <f>+VLOOKUP($AJ41,Data_Validation!$A:$E,5,0)</f>
        <v>#N/A</v>
      </c>
    </row>
    <row r="42" spans="36:52" ht="15" customHeight="1">
      <c r="AJ42" s="1030">
        <f t="shared" si="0"/>
        <v>0</v>
      </c>
      <c r="AK42" s="1030">
        <f t="shared" si="0"/>
        <v>0</v>
      </c>
      <c r="AL42" s="1030">
        <f>IFERROR(INDEX(G42:R42,1,MATCH(Parametres!$B$3,G$1:R$1,0)-1)*IF(OR(F42="L",F42="S",F42="I"),-1,1),"")</f>
        <v>0</v>
      </c>
      <c r="AM42" s="1030">
        <f t="shared" si="1"/>
        <v>0</v>
      </c>
      <c r="AN42" s="1030">
        <f>INDEX(G42:R42,1,MATCH(Parametres!$B$3,G$1:R$1,0))*IF(OR(F42="L",F42="S",F42="I"),-1,1)</f>
        <v>0</v>
      </c>
      <c r="AO42" s="598" t="e">
        <f>+VLOOKUP($AJ42,Data_Validation!$A:$D,1,0)</f>
        <v>#N/A</v>
      </c>
      <c r="AP42" s="598" t="e">
        <f>+VLOOKUP($AJ42,Data_Validation!$A:$D,3,0)</f>
        <v>#N/A</v>
      </c>
      <c r="AQ42" s="598" t="e">
        <f>+VLOOKUP($AJ42,Data_Validation!$A:$D,4,0)</f>
        <v>#N/A</v>
      </c>
      <c r="AR42" s="598" t="s">
        <v>299</v>
      </c>
      <c r="AS42" s="598" t="e">
        <f>+VLOOKUP($AJ42,Data_Validation!$A:$E,5,0)</f>
        <v>#N/A</v>
      </c>
      <c r="AT42" s="1036">
        <f t="shared" si="2"/>
        <v>0</v>
      </c>
      <c r="AU42" s="599">
        <f t="shared" si="2"/>
        <v>0</v>
      </c>
      <c r="AV42" s="1030">
        <f>IFERROR(INDEX(V42:AG42,1,MATCH(Parametres!$B$3,V$1:AG$1,0)-1)*IF(OR(C42="L",C42="S",C42="I"),-1,1),"")</f>
        <v>0</v>
      </c>
      <c r="AW42" s="1030">
        <f t="shared" si="3"/>
        <v>0</v>
      </c>
      <c r="AX42" s="1030">
        <f>INDEX(V42:AG42,1,MATCH(Parametres!$B$3,V$1:AG$1,0))*IF(OR(C42="L",C42="S",C42="I"),-1,1)</f>
        <v>0</v>
      </c>
      <c r="AY42" s="598" t="s">
        <v>337</v>
      </c>
      <c r="AZ42" s="598" t="e">
        <f>+VLOOKUP($AJ42,Data_Validation!$A:$E,5,0)</f>
        <v>#N/A</v>
      </c>
    </row>
    <row r="43" spans="36:52" ht="15" customHeight="1">
      <c r="AJ43" s="1030">
        <f t="shared" si="0"/>
        <v>0</v>
      </c>
      <c r="AK43" s="1030">
        <f t="shared" si="0"/>
        <v>0</v>
      </c>
      <c r="AL43" s="1030">
        <f>IFERROR(INDEX(G43:R43,1,MATCH(Parametres!$B$3,G$1:R$1,0)-1)*IF(OR(F43="L",F43="S",F43="I"),-1,1),"")</f>
        <v>0</v>
      </c>
      <c r="AM43" s="1030">
        <f t="shared" si="1"/>
        <v>0</v>
      </c>
      <c r="AN43" s="1030">
        <f>INDEX(G43:R43,1,MATCH(Parametres!$B$3,G$1:R$1,0))*IF(OR(F43="L",F43="S",F43="I"),-1,1)</f>
        <v>0</v>
      </c>
      <c r="AO43" s="598" t="e">
        <f>+VLOOKUP($AJ43,Data_Validation!$A:$D,1,0)</f>
        <v>#N/A</v>
      </c>
      <c r="AP43" s="598" t="e">
        <f>+VLOOKUP($AJ43,Data_Validation!$A:$D,3,0)</f>
        <v>#N/A</v>
      </c>
      <c r="AQ43" s="598" t="e">
        <f>+VLOOKUP($AJ43,Data_Validation!$A:$D,4,0)</f>
        <v>#N/A</v>
      </c>
      <c r="AR43" s="598" t="s">
        <v>299</v>
      </c>
      <c r="AS43" s="598" t="e">
        <f>+VLOOKUP($AJ43,Data_Validation!$A:$E,5,0)</f>
        <v>#N/A</v>
      </c>
      <c r="AT43" s="1036">
        <f t="shared" si="2"/>
        <v>0</v>
      </c>
      <c r="AU43" s="599">
        <f t="shared" si="2"/>
        <v>0</v>
      </c>
      <c r="AV43" s="1030">
        <f>IFERROR(INDEX(V43:AG43,1,MATCH(Parametres!$B$3,V$1:AG$1,0)-1)*IF(OR(C43="L",C43="S",C43="I"),-1,1),"")</f>
        <v>0</v>
      </c>
      <c r="AW43" s="1030">
        <f t="shared" si="3"/>
        <v>0</v>
      </c>
      <c r="AX43" s="1030">
        <f>INDEX(V43:AG43,1,MATCH(Parametres!$B$3,V$1:AG$1,0))*IF(OR(C43="L",C43="S",C43="I"),-1,1)</f>
        <v>0</v>
      </c>
      <c r="AY43" s="598" t="s">
        <v>337</v>
      </c>
      <c r="AZ43" s="598" t="e">
        <f>+VLOOKUP($AJ43,Data_Validation!$A:$E,5,0)</f>
        <v>#N/A</v>
      </c>
    </row>
    <row r="44" spans="36:52" ht="15.75" customHeight="1">
      <c r="AJ44" s="1030">
        <f t="shared" si="0"/>
        <v>0</v>
      </c>
      <c r="AK44" s="1030">
        <f t="shared" si="0"/>
        <v>0</v>
      </c>
      <c r="AL44" s="1030">
        <f>IFERROR(INDEX(G44:R44,1,MATCH(Parametres!$B$3,G$1:R$1,0)-1)*IF(OR(F44="L",F44="S",F44="I"),-1,1),"")</f>
        <v>0</v>
      </c>
      <c r="AM44" s="1030">
        <f t="shared" si="1"/>
        <v>0</v>
      </c>
      <c r="AN44" s="1030">
        <f>INDEX(G44:R44,1,MATCH(Parametres!$B$3,G$1:R$1,0))*IF(OR(F44="L",F44="S",F44="I"),-1,1)</f>
        <v>0</v>
      </c>
      <c r="AO44" s="598" t="e">
        <f>+VLOOKUP($AJ44,Data_Validation!$A:$D,1,0)</f>
        <v>#N/A</v>
      </c>
      <c r="AP44" s="598" t="e">
        <f>+VLOOKUP($AJ44,Data_Validation!$A:$D,3,0)</f>
        <v>#N/A</v>
      </c>
      <c r="AQ44" s="598" t="e">
        <f>+VLOOKUP($AJ44,Data_Validation!$A:$D,4,0)</f>
        <v>#N/A</v>
      </c>
      <c r="AR44" s="598" t="s">
        <v>299</v>
      </c>
      <c r="AS44" s="598" t="e">
        <f>+VLOOKUP($AJ44,Data_Validation!$A:$E,5,0)</f>
        <v>#N/A</v>
      </c>
      <c r="AT44" s="1036">
        <f t="shared" si="2"/>
        <v>0</v>
      </c>
      <c r="AU44" s="599">
        <f t="shared" si="2"/>
        <v>0</v>
      </c>
      <c r="AV44" s="1030">
        <f>IFERROR(INDEX(V44:AG44,1,MATCH(Parametres!$B$3,V$1:AG$1,0)-1)*IF(OR(C44="L",C44="S",C44="I"),-1,1),"")</f>
        <v>0</v>
      </c>
      <c r="AW44" s="1030">
        <f t="shared" si="3"/>
        <v>0</v>
      </c>
      <c r="AX44" s="1030">
        <f>INDEX(V44:AG44,1,MATCH(Parametres!$B$3,V$1:AG$1,0))*IF(OR(C44="L",C44="S",C44="I"),-1,1)</f>
        <v>0</v>
      </c>
      <c r="AY44" s="598" t="s">
        <v>337</v>
      </c>
      <c r="AZ44" s="598" t="e">
        <f>+VLOOKUP($AJ44,Data_Validation!$A:$E,5,0)</f>
        <v>#N/A</v>
      </c>
    </row>
    <row r="45" spans="36:52" ht="15" customHeight="1">
      <c r="AJ45" s="1030">
        <f t="shared" si="0"/>
        <v>0</v>
      </c>
      <c r="AK45" s="1030">
        <f t="shared" si="0"/>
        <v>0</v>
      </c>
      <c r="AL45" s="1030">
        <f>IFERROR(INDEX(G45:R45,1,MATCH(Parametres!$B$3,G$1:R$1,0)-1)*IF(OR(F45="L",F45="S",F45="I"),-1,1),"")</f>
        <v>0</v>
      </c>
      <c r="AM45" s="1030">
        <f t="shared" si="1"/>
        <v>0</v>
      </c>
      <c r="AN45" s="1030">
        <f>INDEX(G45:R45,1,MATCH(Parametres!$B$3,G$1:R$1,0))*IF(OR(F45="L",F45="S",F45="I"),-1,1)</f>
        <v>0</v>
      </c>
      <c r="AO45" s="598" t="e">
        <f>+VLOOKUP($AJ45,Data_Validation!$A:$D,1,0)</f>
        <v>#N/A</v>
      </c>
      <c r="AP45" s="598" t="e">
        <f>+VLOOKUP($AJ45,Data_Validation!$A:$D,3,0)</f>
        <v>#N/A</v>
      </c>
      <c r="AQ45" s="598" t="e">
        <f>+VLOOKUP($AJ45,Data_Validation!$A:$D,4,0)</f>
        <v>#N/A</v>
      </c>
      <c r="AR45" s="598" t="s">
        <v>299</v>
      </c>
      <c r="AS45" s="598" t="e">
        <f>+VLOOKUP($AJ45,Data_Validation!$A:$E,5,0)</f>
        <v>#N/A</v>
      </c>
      <c r="AT45" s="1036">
        <f t="shared" si="2"/>
        <v>0</v>
      </c>
      <c r="AU45" s="599">
        <f t="shared" si="2"/>
        <v>0</v>
      </c>
      <c r="AV45" s="1030">
        <f>IFERROR(INDEX(V45:AG45,1,MATCH(Parametres!$B$3,V$1:AG$1,0)-1)*IF(OR(C45="L",C45="S",C45="I"),-1,1),"")</f>
        <v>0</v>
      </c>
      <c r="AW45" s="1030">
        <f t="shared" si="3"/>
        <v>0</v>
      </c>
      <c r="AX45" s="1030">
        <f>INDEX(V45:AG45,1,MATCH(Parametres!$B$3,V$1:AG$1,0))*IF(OR(C45="L",C45="S",C45="I"),-1,1)</f>
        <v>0</v>
      </c>
      <c r="AY45" s="598" t="s">
        <v>337</v>
      </c>
      <c r="AZ45" s="598" t="e">
        <f>+VLOOKUP($AJ45,Data_Validation!$A:$E,5,0)</f>
        <v>#N/A</v>
      </c>
    </row>
    <row r="46" spans="36:52" ht="15" customHeight="1">
      <c r="AJ46" s="1030">
        <f t="shared" si="0"/>
        <v>0</v>
      </c>
      <c r="AK46" s="1030">
        <f t="shared" si="0"/>
        <v>0</v>
      </c>
      <c r="AL46" s="1030">
        <f>IFERROR(INDEX(G46:R46,1,MATCH(Parametres!$B$3,G$1:R$1,0)-1)*IF(OR(F46="L",F46="S",F46="I"),-1,1),"")</f>
        <v>0</v>
      </c>
      <c r="AM46" s="1030">
        <f t="shared" si="1"/>
        <v>0</v>
      </c>
      <c r="AN46" s="1030">
        <f>INDEX(G46:R46,1,MATCH(Parametres!$B$3,G$1:R$1,0))*IF(OR(F46="L",F46="S",F46="I"),-1,1)</f>
        <v>0</v>
      </c>
      <c r="AO46" s="598" t="e">
        <f>+VLOOKUP($AJ46,Data_Validation!$A:$D,1,0)</f>
        <v>#N/A</v>
      </c>
      <c r="AP46" s="598" t="e">
        <f>+VLOOKUP($AJ46,Data_Validation!$A:$D,3,0)</f>
        <v>#N/A</v>
      </c>
      <c r="AQ46" s="598" t="e">
        <f>+VLOOKUP($AJ46,Data_Validation!$A:$D,4,0)</f>
        <v>#N/A</v>
      </c>
      <c r="AR46" s="598" t="s">
        <v>299</v>
      </c>
      <c r="AS46" s="598" t="e">
        <f>+VLOOKUP($AJ46,Data_Validation!$A:$E,5,0)</f>
        <v>#N/A</v>
      </c>
      <c r="AT46" s="1036">
        <f t="shared" si="2"/>
        <v>0</v>
      </c>
      <c r="AU46" s="599">
        <f t="shared" si="2"/>
        <v>0</v>
      </c>
      <c r="AV46" s="1030">
        <f>IFERROR(INDEX(V46:AG46,1,MATCH(Parametres!$B$3,V$1:AG$1,0)-1)*IF(OR(C46="L",C46="S",C46="I"),-1,1),"")</f>
        <v>0</v>
      </c>
      <c r="AW46" s="1030">
        <f t="shared" si="3"/>
        <v>0</v>
      </c>
      <c r="AX46" s="1030">
        <f>INDEX(V46:AG46,1,MATCH(Parametres!$B$3,V$1:AG$1,0))*IF(OR(C46="L",C46="S",C46="I"),-1,1)</f>
        <v>0</v>
      </c>
      <c r="AY46" s="598" t="s">
        <v>337</v>
      </c>
      <c r="AZ46" s="598" t="e">
        <f>+VLOOKUP($AJ46,Data_Validation!$A:$E,5,0)</f>
        <v>#N/A</v>
      </c>
    </row>
    <row r="47" spans="36:52" ht="15" customHeight="1">
      <c r="AJ47" s="1030">
        <f t="shared" si="0"/>
        <v>0</v>
      </c>
      <c r="AK47" s="1030">
        <f t="shared" si="0"/>
        <v>0</v>
      </c>
      <c r="AL47" s="1030">
        <f>IFERROR(INDEX(G47:R47,1,MATCH(Parametres!$B$3,G$1:R$1,0)-1)*IF(OR(F47="L",F47="S",F47="I"),-1,1),"")</f>
        <v>0</v>
      </c>
      <c r="AM47" s="1030">
        <f t="shared" si="1"/>
        <v>0</v>
      </c>
      <c r="AN47" s="1030">
        <f>INDEX(G47:R47,1,MATCH(Parametres!$B$3,G$1:R$1,0))*IF(OR(F47="L",F47="S",F47="I"),-1,1)</f>
        <v>0</v>
      </c>
      <c r="AO47" s="598" t="e">
        <f>+VLOOKUP($AJ47,Data_Validation!$A:$D,1,0)</f>
        <v>#N/A</v>
      </c>
      <c r="AP47" s="598" t="e">
        <f>+VLOOKUP($AJ47,Data_Validation!$A:$D,3,0)</f>
        <v>#N/A</v>
      </c>
      <c r="AQ47" s="598" t="e">
        <f>+VLOOKUP($AJ47,Data_Validation!$A:$D,4,0)</f>
        <v>#N/A</v>
      </c>
      <c r="AR47" s="598" t="s">
        <v>299</v>
      </c>
      <c r="AS47" s="598" t="e">
        <f>+VLOOKUP($AJ47,Data_Validation!$A:$E,5,0)</f>
        <v>#N/A</v>
      </c>
      <c r="AT47" s="1036">
        <f t="shared" si="2"/>
        <v>0</v>
      </c>
      <c r="AU47" s="599">
        <f t="shared" si="2"/>
        <v>0</v>
      </c>
      <c r="AV47" s="1030">
        <f>IFERROR(INDEX(V47:AG47,1,MATCH(Parametres!$B$3,V$1:AG$1,0)-1)*IF(OR(C47="L",C47="S",C47="I"),-1,1),"")</f>
        <v>0</v>
      </c>
      <c r="AW47" s="1030">
        <f t="shared" si="3"/>
        <v>0</v>
      </c>
      <c r="AX47" s="1030">
        <f>INDEX(V47:AG47,1,MATCH(Parametres!$B$3,V$1:AG$1,0))*IF(OR(C47="L",C47="S",C47="I"),-1,1)</f>
        <v>0</v>
      </c>
      <c r="AY47" s="598" t="s">
        <v>337</v>
      </c>
      <c r="AZ47" s="598" t="e">
        <f>+VLOOKUP($AJ47,Data_Validation!$A:$E,5,0)</f>
        <v>#N/A</v>
      </c>
    </row>
    <row r="48" spans="36:52" ht="15.75" customHeight="1">
      <c r="AJ48" s="1030">
        <f t="shared" si="0"/>
        <v>0</v>
      </c>
      <c r="AK48" s="1030">
        <f t="shared" si="0"/>
        <v>0</v>
      </c>
      <c r="AL48" s="1030">
        <f>IFERROR(INDEX(G48:R48,1,MATCH(Parametres!$B$3,G$1:R$1,0)-1)*IF(OR(F48="L",F48="S",F48="I"),-1,1),"")</f>
        <v>0</v>
      </c>
      <c r="AM48" s="1030">
        <f t="shared" si="1"/>
        <v>0</v>
      </c>
      <c r="AN48" s="1030">
        <f>INDEX(G48:R48,1,MATCH(Parametres!$B$3,G$1:R$1,0))*IF(OR(F48="L",F48="S",F48="I"),-1,1)</f>
        <v>0</v>
      </c>
      <c r="AO48" s="598" t="e">
        <f>+VLOOKUP($AJ48,Data_Validation!$A:$D,1,0)</f>
        <v>#N/A</v>
      </c>
      <c r="AP48" s="598" t="e">
        <f>+VLOOKUP($AJ48,Data_Validation!$A:$D,3,0)</f>
        <v>#N/A</v>
      </c>
      <c r="AQ48" s="598" t="e">
        <f>+VLOOKUP($AJ48,Data_Validation!$A:$D,4,0)</f>
        <v>#N/A</v>
      </c>
      <c r="AR48" s="598" t="s">
        <v>299</v>
      </c>
      <c r="AS48" s="598" t="e">
        <f>+VLOOKUP($AJ48,Data_Validation!$A:$E,5,0)</f>
        <v>#N/A</v>
      </c>
      <c r="AT48" s="1036">
        <f t="shared" si="2"/>
        <v>0</v>
      </c>
      <c r="AU48" s="599">
        <f t="shared" si="2"/>
        <v>0</v>
      </c>
      <c r="AV48" s="1030">
        <f>IFERROR(INDEX(V48:AG48,1,MATCH(Parametres!$B$3,V$1:AG$1,0)-1)*IF(OR(C48="L",C48="S",C48="I"),-1,1),"")</f>
        <v>0</v>
      </c>
      <c r="AW48" s="1030">
        <f t="shared" si="3"/>
        <v>0</v>
      </c>
      <c r="AX48" s="1030">
        <f>INDEX(V48:AG48,1,MATCH(Parametres!$B$3,V$1:AG$1,0))*IF(OR(C48="L",C48="S",C48="I"),-1,1)</f>
        <v>0</v>
      </c>
      <c r="AY48" s="598" t="s">
        <v>337</v>
      </c>
      <c r="AZ48" s="598" t="e">
        <f>+VLOOKUP($AJ48,Data_Validation!$A:$E,5,0)</f>
        <v>#N/A</v>
      </c>
    </row>
    <row r="49" spans="36:52" ht="15" customHeight="1">
      <c r="AJ49" s="1030">
        <f t="shared" si="0"/>
        <v>0</v>
      </c>
      <c r="AK49" s="1030">
        <f t="shared" si="0"/>
        <v>0</v>
      </c>
      <c r="AL49" s="1030">
        <f>IFERROR(INDEX(G49:R49,1,MATCH(Parametres!$B$3,G$1:R$1,0)-1)*IF(OR(F49="L",F49="S",F49="I"),-1,1),"")</f>
        <v>0</v>
      </c>
      <c r="AM49" s="1030">
        <f t="shared" si="1"/>
        <v>0</v>
      </c>
      <c r="AN49" s="1030">
        <f>INDEX(G49:R49,1,MATCH(Parametres!$B$3,G$1:R$1,0))*IF(OR(F49="L",F49="S",F49="I"),-1,1)</f>
        <v>0</v>
      </c>
      <c r="AO49" s="598" t="e">
        <f>+VLOOKUP($AJ49,Data_Validation!$A:$D,1,0)</f>
        <v>#N/A</v>
      </c>
      <c r="AP49" s="598" t="e">
        <f>+VLOOKUP($AJ49,Data_Validation!$A:$D,3,0)</f>
        <v>#N/A</v>
      </c>
      <c r="AQ49" s="598" t="e">
        <f>+VLOOKUP($AJ49,Data_Validation!$A:$D,4,0)</f>
        <v>#N/A</v>
      </c>
      <c r="AR49" s="598" t="s">
        <v>299</v>
      </c>
      <c r="AS49" s="598" t="e">
        <f>+VLOOKUP($AJ49,Data_Validation!$A:$E,5,0)</f>
        <v>#N/A</v>
      </c>
      <c r="AT49" s="1036">
        <f t="shared" si="2"/>
        <v>0</v>
      </c>
      <c r="AU49" s="599">
        <f t="shared" si="2"/>
        <v>0</v>
      </c>
      <c r="AV49" s="1030">
        <f>IFERROR(INDEX(V49:AG49,1,MATCH(Parametres!$B$3,V$1:AG$1,0)-1)*IF(OR(C49="L",C49="S",C49="I"),-1,1),"")</f>
        <v>0</v>
      </c>
      <c r="AW49" s="1030">
        <f t="shared" si="3"/>
        <v>0</v>
      </c>
      <c r="AX49" s="1030">
        <f>INDEX(V49:AG49,1,MATCH(Parametres!$B$3,V$1:AG$1,0))*IF(OR(C49="L",C49="S",C49="I"),-1,1)</f>
        <v>0</v>
      </c>
      <c r="AY49" s="598" t="s">
        <v>337</v>
      </c>
      <c r="AZ49" s="598" t="e">
        <f>+VLOOKUP($AJ49,Data_Validation!$A:$E,5,0)</f>
        <v>#N/A</v>
      </c>
    </row>
    <row r="50" spans="36:52" ht="15" customHeight="1">
      <c r="AJ50" s="1030">
        <f t="shared" si="0"/>
        <v>0</v>
      </c>
      <c r="AK50" s="1030">
        <f t="shared" si="0"/>
        <v>0</v>
      </c>
      <c r="AL50" s="1030">
        <f>IFERROR(INDEX(G50:R50,1,MATCH(Parametres!$B$3,G$1:R$1,0)-1)*IF(OR(F50="L",F50="S",F50="I"),-1,1),"")</f>
        <v>0</v>
      </c>
      <c r="AM50" s="1030">
        <f t="shared" si="1"/>
        <v>0</v>
      </c>
      <c r="AN50" s="1030">
        <f>INDEX(G50:R50,1,MATCH(Parametres!$B$3,G$1:R$1,0))*IF(OR(F50="L",F50="S",F50="I"),-1,1)</f>
        <v>0</v>
      </c>
      <c r="AO50" s="598" t="e">
        <f>+VLOOKUP($AJ50,Data_Validation!$A:$D,1,0)</f>
        <v>#N/A</v>
      </c>
      <c r="AP50" s="598" t="e">
        <f>+VLOOKUP($AJ50,Data_Validation!$A:$D,3,0)</f>
        <v>#N/A</v>
      </c>
      <c r="AQ50" s="598" t="e">
        <f>+VLOOKUP($AJ50,Data_Validation!$A:$D,4,0)</f>
        <v>#N/A</v>
      </c>
      <c r="AR50" s="598" t="s">
        <v>299</v>
      </c>
      <c r="AS50" s="598" t="e">
        <f>+VLOOKUP($AJ50,Data_Validation!$A:$E,5,0)</f>
        <v>#N/A</v>
      </c>
      <c r="AT50" s="1036">
        <f t="shared" si="2"/>
        <v>0</v>
      </c>
      <c r="AU50" s="599">
        <f t="shared" si="2"/>
        <v>0</v>
      </c>
      <c r="AV50" s="1030">
        <f>IFERROR(INDEX(V50:AG50,1,MATCH(Parametres!$B$3,V$1:AG$1,0)-1)*IF(OR(C50="L",C50="S",C50="I"),-1,1),"")</f>
        <v>0</v>
      </c>
      <c r="AW50" s="1030">
        <f t="shared" si="3"/>
        <v>0</v>
      </c>
      <c r="AX50" s="1030">
        <f>INDEX(V50:AG50,1,MATCH(Parametres!$B$3,V$1:AG$1,0))*IF(OR(C50="L",C50="S",C50="I"),-1,1)</f>
        <v>0</v>
      </c>
      <c r="AY50" s="598" t="s">
        <v>337</v>
      </c>
      <c r="AZ50" s="598" t="e">
        <f>+VLOOKUP($AJ50,Data_Validation!$A:$E,5,0)</f>
        <v>#N/A</v>
      </c>
    </row>
    <row r="51" spans="36:52" ht="15" customHeight="1">
      <c r="AJ51" s="1030">
        <f t="shared" si="0"/>
        <v>0</v>
      </c>
      <c r="AK51" s="1030">
        <f t="shared" si="0"/>
        <v>0</v>
      </c>
      <c r="AL51" s="1030">
        <f>IFERROR(INDEX(G51:R51,1,MATCH(Parametres!$B$3,G$1:R$1,0)-1)*IF(OR(F51="L",F51="S",F51="I"),-1,1),"")</f>
        <v>0</v>
      </c>
      <c r="AM51" s="1030">
        <f t="shared" si="1"/>
        <v>0</v>
      </c>
      <c r="AN51" s="1030">
        <f>INDEX(G51:R51,1,MATCH(Parametres!$B$3,G$1:R$1,0))*IF(OR(F51="L",F51="S",F51="I"),-1,1)</f>
        <v>0</v>
      </c>
      <c r="AO51" s="598" t="e">
        <f>+VLOOKUP($AJ51,Data_Validation!$A:$D,1,0)</f>
        <v>#N/A</v>
      </c>
      <c r="AP51" s="598" t="e">
        <f>+VLOOKUP($AJ51,Data_Validation!$A:$D,3,0)</f>
        <v>#N/A</v>
      </c>
      <c r="AQ51" s="598" t="e">
        <f>+VLOOKUP($AJ51,Data_Validation!$A:$D,4,0)</f>
        <v>#N/A</v>
      </c>
      <c r="AR51" s="598" t="s">
        <v>299</v>
      </c>
      <c r="AS51" s="598" t="e">
        <f>+VLOOKUP($AJ51,Data_Validation!$A:$E,5,0)</f>
        <v>#N/A</v>
      </c>
      <c r="AT51" s="1036">
        <f t="shared" si="2"/>
        <v>0</v>
      </c>
      <c r="AU51" s="599">
        <f t="shared" si="2"/>
        <v>0</v>
      </c>
      <c r="AV51" s="1030">
        <f>IFERROR(INDEX(V51:AG51,1,MATCH(Parametres!$B$3,V$1:AG$1,0)-1)*IF(OR(C51="L",C51="S",C51="I"),-1,1),"")</f>
        <v>0</v>
      </c>
      <c r="AW51" s="1030">
        <f t="shared" si="3"/>
        <v>0</v>
      </c>
      <c r="AX51" s="1030">
        <f>INDEX(V51:AG51,1,MATCH(Parametres!$B$3,V$1:AG$1,0))*IF(OR(C51="L",C51="S",C51="I"),-1,1)</f>
        <v>0</v>
      </c>
      <c r="AY51" s="598" t="s">
        <v>337</v>
      </c>
      <c r="AZ51" s="598" t="e">
        <f>+VLOOKUP($AJ51,Data_Validation!$A:$E,5,0)</f>
        <v>#N/A</v>
      </c>
    </row>
    <row r="52" spans="36:52" ht="15.75" customHeight="1">
      <c r="AJ52" s="1030">
        <f t="shared" si="0"/>
        <v>0</v>
      </c>
      <c r="AK52" s="1030">
        <f t="shared" si="0"/>
        <v>0</v>
      </c>
      <c r="AL52" s="1030">
        <f>IFERROR(INDEX(G52:R52,1,MATCH(Parametres!$B$3,G$1:R$1,0)-1)*IF(OR(F52="L",F52="S",F52="I"),-1,1),"")</f>
        <v>0</v>
      </c>
      <c r="AM52" s="1030">
        <f t="shared" si="1"/>
        <v>0</v>
      </c>
      <c r="AN52" s="1030">
        <f>INDEX(G52:R52,1,MATCH(Parametres!$B$3,G$1:R$1,0))*IF(OR(F52="L",F52="S",F52="I"),-1,1)</f>
        <v>0</v>
      </c>
      <c r="AO52" s="598" t="e">
        <f>+VLOOKUP($AJ52,Data_Validation!$A:$D,1,0)</f>
        <v>#N/A</v>
      </c>
      <c r="AP52" s="598" t="e">
        <f>+VLOOKUP($AJ52,Data_Validation!$A:$D,3,0)</f>
        <v>#N/A</v>
      </c>
      <c r="AQ52" s="598" t="e">
        <f>+VLOOKUP($AJ52,Data_Validation!$A:$D,4,0)</f>
        <v>#N/A</v>
      </c>
      <c r="AR52" s="598" t="s">
        <v>299</v>
      </c>
      <c r="AS52" s="598" t="e">
        <f>+VLOOKUP($AJ52,Data_Validation!$A:$E,5,0)</f>
        <v>#N/A</v>
      </c>
      <c r="AT52" s="1036">
        <f t="shared" si="2"/>
        <v>0</v>
      </c>
      <c r="AU52" s="599">
        <f t="shared" si="2"/>
        <v>0</v>
      </c>
      <c r="AV52" s="1030">
        <f>IFERROR(INDEX(V52:AG52,1,MATCH(Parametres!$B$3,V$1:AG$1,0)-1)*IF(OR(C52="L",C52="S",C52="I"),-1,1),"")</f>
        <v>0</v>
      </c>
      <c r="AW52" s="1030">
        <f t="shared" si="3"/>
        <v>0</v>
      </c>
      <c r="AX52" s="1030">
        <f>INDEX(V52:AG52,1,MATCH(Parametres!$B$3,V$1:AG$1,0))*IF(OR(C52="L",C52="S",C52="I"),-1,1)</f>
        <v>0</v>
      </c>
      <c r="AY52" s="598" t="s">
        <v>337</v>
      </c>
      <c r="AZ52" s="598" t="e">
        <f>+VLOOKUP($AJ52,Data_Validation!$A:$E,5,0)</f>
        <v>#N/A</v>
      </c>
    </row>
    <row r="53" spans="36:52" ht="15" customHeight="1">
      <c r="AJ53" s="1030">
        <f t="shared" si="0"/>
        <v>0</v>
      </c>
      <c r="AK53" s="1030">
        <f t="shared" si="0"/>
        <v>0</v>
      </c>
      <c r="AL53" s="1030">
        <f>IFERROR(INDEX(G53:R53,1,MATCH(Parametres!$B$3,G$1:R$1,0)-1)*IF(OR(F53="L",F53="S",F53="I"),-1,1),"")</f>
        <v>0</v>
      </c>
      <c r="AM53" s="1030">
        <f t="shared" si="1"/>
        <v>0</v>
      </c>
      <c r="AN53" s="1030">
        <f>INDEX(G53:R53,1,MATCH(Parametres!$B$3,G$1:R$1,0))*IF(OR(F53="L",F53="S",F53="I"),-1,1)</f>
        <v>0</v>
      </c>
      <c r="AO53" s="598" t="e">
        <f>+VLOOKUP($AJ53,Data_Validation!$A:$D,1,0)</f>
        <v>#N/A</v>
      </c>
      <c r="AP53" s="598" t="e">
        <f>+VLOOKUP($AJ53,Data_Validation!$A:$D,3,0)</f>
        <v>#N/A</v>
      </c>
      <c r="AQ53" s="598" t="e">
        <f>+VLOOKUP($AJ53,Data_Validation!$A:$D,4,0)</f>
        <v>#N/A</v>
      </c>
      <c r="AR53" s="598" t="s">
        <v>299</v>
      </c>
      <c r="AS53" s="598" t="e">
        <f>+VLOOKUP($AJ53,Data_Validation!$A:$E,5,0)</f>
        <v>#N/A</v>
      </c>
      <c r="AT53" s="1036">
        <f t="shared" si="2"/>
        <v>0</v>
      </c>
      <c r="AU53" s="599">
        <f t="shared" si="2"/>
        <v>0</v>
      </c>
      <c r="AV53" s="1030">
        <f>IFERROR(INDEX(V53:AG53,1,MATCH(Parametres!$B$3,V$1:AG$1,0)-1)*IF(OR(C53="L",C53="S",C53="I"),-1,1),"")</f>
        <v>0</v>
      </c>
      <c r="AW53" s="1030">
        <f t="shared" si="3"/>
        <v>0</v>
      </c>
      <c r="AX53" s="1030">
        <f>INDEX(V53:AG53,1,MATCH(Parametres!$B$3,V$1:AG$1,0))*IF(OR(C53="L",C53="S",C53="I"),-1,1)</f>
        <v>0</v>
      </c>
      <c r="AY53" s="598" t="s">
        <v>337</v>
      </c>
      <c r="AZ53" s="598" t="e">
        <f>+VLOOKUP($AJ53,Data_Validation!$A:$E,5,0)</f>
        <v>#N/A</v>
      </c>
    </row>
    <row r="54" spans="36:52" ht="15" customHeight="1">
      <c r="AJ54" s="1030">
        <f t="shared" si="0"/>
        <v>0</v>
      </c>
      <c r="AK54" s="1030">
        <f t="shared" si="0"/>
        <v>0</v>
      </c>
      <c r="AL54" s="1030">
        <f>IFERROR(INDEX(G54:R54,1,MATCH(Parametres!$B$3,G$1:R$1,0)-1)*IF(OR(F54="L",F54="S",F54="I"),-1,1),"")</f>
        <v>0</v>
      </c>
      <c r="AM54" s="1030">
        <f t="shared" si="1"/>
        <v>0</v>
      </c>
      <c r="AN54" s="1030">
        <f>INDEX(G54:R54,1,MATCH(Parametres!$B$3,G$1:R$1,0))*IF(OR(F54="L",F54="S",F54="I"),-1,1)</f>
        <v>0</v>
      </c>
      <c r="AO54" s="598" t="e">
        <f>+VLOOKUP($AJ54,Data_Validation!$A:$D,1,0)</f>
        <v>#N/A</v>
      </c>
      <c r="AP54" s="598" t="e">
        <f>+VLOOKUP($AJ54,Data_Validation!$A:$D,3,0)</f>
        <v>#N/A</v>
      </c>
      <c r="AQ54" s="598" t="e">
        <f>+VLOOKUP($AJ54,Data_Validation!$A:$D,4,0)</f>
        <v>#N/A</v>
      </c>
      <c r="AR54" s="598" t="s">
        <v>299</v>
      </c>
      <c r="AS54" s="598" t="e">
        <f>+VLOOKUP($AJ54,Data_Validation!$A:$E,5,0)</f>
        <v>#N/A</v>
      </c>
      <c r="AT54" s="1036">
        <f t="shared" si="2"/>
        <v>0</v>
      </c>
      <c r="AU54" s="599">
        <f t="shared" si="2"/>
        <v>0</v>
      </c>
      <c r="AV54" s="1030">
        <f>IFERROR(INDEX(V54:AG54,1,MATCH(Parametres!$B$3,V$1:AG$1,0)-1)*IF(OR(C54="L",C54="S",C54="I"),-1,1),"")</f>
        <v>0</v>
      </c>
      <c r="AW54" s="1030">
        <f t="shared" si="3"/>
        <v>0</v>
      </c>
      <c r="AX54" s="1030">
        <f>INDEX(V54:AG54,1,MATCH(Parametres!$B$3,V$1:AG$1,0))*IF(OR(C54="L",C54="S",C54="I"),-1,1)</f>
        <v>0</v>
      </c>
      <c r="AY54" s="598" t="s">
        <v>337</v>
      </c>
      <c r="AZ54" s="598" t="e">
        <f>+VLOOKUP($AJ54,Data_Validation!$A:$E,5,0)</f>
        <v>#N/A</v>
      </c>
    </row>
    <row r="55" spans="36:52" ht="15" customHeight="1">
      <c r="AJ55" s="1030">
        <f t="shared" si="0"/>
        <v>0</v>
      </c>
      <c r="AK55" s="1030">
        <f t="shared" si="0"/>
        <v>0</v>
      </c>
      <c r="AL55" s="1030">
        <f>IFERROR(INDEX(G55:R55,1,MATCH(Parametres!$B$3,G$1:R$1,0)-1)*IF(OR(F55="L",F55="S",F55="I"),-1,1),"")</f>
        <v>0</v>
      </c>
      <c r="AM55" s="1030">
        <f t="shared" si="1"/>
        <v>0</v>
      </c>
      <c r="AN55" s="1030">
        <f>INDEX(G55:R55,1,MATCH(Parametres!$B$3,G$1:R$1,0))*IF(OR(F55="L",F55="S",F55="I"),-1,1)</f>
        <v>0</v>
      </c>
      <c r="AO55" s="598" t="e">
        <f>+VLOOKUP($AJ55,Data_Validation!$A:$D,1,0)</f>
        <v>#N/A</v>
      </c>
      <c r="AP55" s="598" t="e">
        <f>+VLOOKUP($AJ55,Data_Validation!$A:$D,3,0)</f>
        <v>#N/A</v>
      </c>
      <c r="AQ55" s="598" t="e">
        <f>+VLOOKUP($AJ55,Data_Validation!$A:$D,4,0)</f>
        <v>#N/A</v>
      </c>
      <c r="AR55" s="598" t="s">
        <v>299</v>
      </c>
      <c r="AS55" s="598" t="e">
        <f>+VLOOKUP($AJ55,Data_Validation!$A:$E,5,0)</f>
        <v>#N/A</v>
      </c>
      <c r="AT55" s="1036">
        <f t="shared" si="2"/>
        <v>0</v>
      </c>
      <c r="AU55" s="599">
        <f t="shared" si="2"/>
        <v>0</v>
      </c>
      <c r="AV55" s="1030">
        <f>IFERROR(INDEX(V55:AG55,1,MATCH(Parametres!$B$3,V$1:AG$1,0)-1)*IF(OR(C55="L",C55="S",C55="I"),-1,1),"")</f>
        <v>0</v>
      </c>
      <c r="AW55" s="1030">
        <f t="shared" si="3"/>
        <v>0</v>
      </c>
      <c r="AX55" s="1030">
        <f>INDEX(V55:AG55,1,MATCH(Parametres!$B$3,V$1:AG$1,0))*IF(OR(C55="L",C55="S",C55="I"),-1,1)</f>
        <v>0</v>
      </c>
      <c r="AY55" s="598" t="s">
        <v>337</v>
      </c>
      <c r="AZ55" s="598" t="e">
        <f>+VLOOKUP($AJ55,Data_Validation!$A:$E,5,0)</f>
        <v>#N/A</v>
      </c>
    </row>
    <row r="56" spans="36:52" ht="15.75" customHeight="1">
      <c r="AJ56" s="1030">
        <f t="shared" si="0"/>
        <v>0</v>
      </c>
      <c r="AK56" s="1030">
        <f t="shared" si="0"/>
        <v>0</v>
      </c>
      <c r="AL56" s="1030">
        <f>IFERROR(INDEX(G56:R56,1,MATCH(Parametres!$B$3,G$1:R$1,0)-1)*IF(OR(F56="L",F56="S",F56="I"),-1,1),"")</f>
        <v>0</v>
      </c>
      <c r="AM56" s="1030">
        <f t="shared" si="1"/>
        <v>0</v>
      </c>
      <c r="AN56" s="1030">
        <f>INDEX(G56:R56,1,MATCH(Parametres!$B$3,G$1:R$1,0))*IF(OR(F56="L",F56="S",F56="I"),-1,1)</f>
        <v>0</v>
      </c>
      <c r="AO56" s="598" t="e">
        <f>+VLOOKUP($AJ56,Data_Validation!$A:$D,1,0)</f>
        <v>#N/A</v>
      </c>
      <c r="AP56" s="598" t="e">
        <f>+VLOOKUP($AJ56,Data_Validation!$A:$D,3,0)</f>
        <v>#N/A</v>
      </c>
      <c r="AQ56" s="598" t="e">
        <f>+VLOOKUP($AJ56,Data_Validation!$A:$D,4,0)</f>
        <v>#N/A</v>
      </c>
      <c r="AR56" s="598" t="s">
        <v>299</v>
      </c>
      <c r="AS56" s="598" t="e">
        <f>+VLOOKUP($AJ56,Data_Validation!$A:$E,5,0)</f>
        <v>#N/A</v>
      </c>
      <c r="AT56" s="1036">
        <f t="shared" si="2"/>
        <v>0</v>
      </c>
      <c r="AU56" s="599">
        <f t="shared" si="2"/>
        <v>0</v>
      </c>
      <c r="AV56" s="1030">
        <f>IFERROR(INDEX(V56:AG56,1,MATCH(Parametres!$B$3,V$1:AG$1,0)-1)*IF(OR(C56="L",C56="S",C56="I"),-1,1),"")</f>
        <v>0</v>
      </c>
      <c r="AW56" s="1030">
        <f t="shared" si="3"/>
        <v>0</v>
      </c>
      <c r="AX56" s="1030">
        <f>INDEX(V56:AG56,1,MATCH(Parametres!$B$3,V$1:AG$1,0))*IF(OR(C56="L",C56="S",C56="I"),-1,1)</f>
        <v>0</v>
      </c>
      <c r="AY56" s="598" t="s">
        <v>337</v>
      </c>
      <c r="AZ56" s="598" t="e">
        <f>+VLOOKUP($AJ56,Data_Validation!$A:$E,5,0)</f>
        <v>#N/A</v>
      </c>
    </row>
    <row r="57" spans="36:52" ht="15" customHeight="1">
      <c r="AJ57" s="1030">
        <f t="shared" si="0"/>
        <v>0</v>
      </c>
      <c r="AK57" s="1030">
        <f t="shared" si="0"/>
        <v>0</v>
      </c>
      <c r="AL57" s="1030">
        <f>IFERROR(INDEX(G57:R57,1,MATCH(Parametres!$B$3,G$1:R$1,0)-1)*IF(OR(F57="L",F57="S",F57="I"),-1,1),"")</f>
        <v>0</v>
      </c>
      <c r="AM57" s="1030">
        <f t="shared" si="1"/>
        <v>0</v>
      </c>
      <c r="AN57" s="1030">
        <f>INDEX(G57:R57,1,MATCH(Parametres!$B$3,G$1:R$1,0))*IF(OR(F57="L",F57="S",F57="I"),-1,1)</f>
        <v>0</v>
      </c>
      <c r="AO57" s="598" t="e">
        <f>+VLOOKUP($AJ57,Data_Validation!$A:$D,1,0)</f>
        <v>#N/A</v>
      </c>
      <c r="AP57" s="598" t="e">
        <f>+VLOOKUP($AJ57,Data_Validation!$A:$D,3,0)</f>
        <v>#N/A</v>
      </c>
      <c r="AQ57" s="598" t="e">
        <f>+VLOOKUP($AJ57,Data_Validation!$A:$D,4,0)</f>
        <v>#N/A</v>
      </c>
      <c r="AR57" s="598" t="s">
        <v>299</v>
      </c>
      <c r="AS57" s="598" t="e">
        <f>+VLOOKUP($AJ57,Data_Validation!$A:$E,5,0)</f>
        <v>#N/A</v>
      </c>
      <c r="AT57" s="1036">
        <f t="shared" si="2"/>
        <v>0</v>
      </c>
      <c r="AU57" s="599">
        <f t="shared" si="2"/>
        <v>0</v>
      </c>
      <c r="AV57" s="1030">
        <f>IFERROR(INDEX(V57:AG57,1,MATCH(Parametres!$B$3,V$1:AG$1,0)-1)*IF(OR(C57="L",C57="S",C57="I"),-1,1),"")</f>
        <v>0</v>
      </c>
      <c r="AW57" s="1030">
        <f t="shared" si="3"/>
        <v>0</v>
      </c>
      <c r="AX57" s="1030">
        <f>INDEX(V57:AG57,1,MATCH(Parametres!$B$3,V$1:AG$1,0))*IF(OR(C57="L",C57="S",C57="I"),-1,1)</f>
        <v>0</v>
      </c>
      <c r="AY57" s="598" t="s">
        <v>337</v>
      </c>
      <c r="AZ57" s="598" t="e">
        <f>+VLOOKUP($AJ57,Data_Validation!$A:$E,5,0)</f>
        <v>#N/A</v>
      </c>
    </row>
    <row r="58" spans="36:52" ht="15" customHeight="1">
      <c r="AJ58" s="1030">
        <f t="shared" si="0"/>
        <v>0</v>
      </c>
      <c r="AK58" s="1030">
        <f t="shared" si="0"/>
        <v>0</v>
      </c>
      <c r="AL58" s="1030">
        <f>IFERROR(INDEX(G58:R58,1,MATCH(Parametres!$B$3,G$1:R$1,0)-1)*IF(OR(F58="L",F58="S",F58="I"),-1,1),"")</f>
        <v>0</v>
      </c>
      <c r="AM58" s="1030">
        <f t="shared" si="1"/>
        <v>0</v>
      </c>
      <c r="AN58" s="1030">
        <f>INDEX(G58:R58,1,MATCH(Parametres!$B$3,G$1:R$1,0))*IF(OR(F58="L",F58="S",F58="I"),-1,1)</f>
        <v>0</v>
      </c>
      <c r="AO58" s="598" t="e">
        <f>+VLOOKUP($AJ58,Data_Validation!$A:$D,1,0)</f>
        <v>#N/A</v>
      </c>
      <c r="AP58" s="598" t="e">
        <f>+VLOOKUP($AJ58,Data_Validation!$A:$D,3,0)</f>
        <v>#N/A</v>
      </c>
      <c r="AQ58" s="598" t="e">
        <f>+VLOOKUP($AJ58,Data_Validation!$A:$D,4,0)</f>
        <v>#N/A</v>
      </c>
      <c r="AR58" s="598" t="s">
        <v>299</v>
      </c>
      <c r="AS58" s="598" t="e">
        <f>+VLOOKUP($AJ58,Data_Validation!$A:$E,5,0)</f>
        <v>#N/A</v>
      </c>
      <c r="AT58" s="1036">
        <f t="shared" si="2"/>
        <v>0</v>
      </c>
      <c r="AU58" s="599">
        <f t="shared" si="2"/>
        <v>0</v>
      </c>
      <c r="AV58" s="1030">
        <f>IFERROR(INDEX(V58:AG58,1,MATCH(Parametres!$B$3,V$1:AG$1,0)-1)*IF(OR(C58="L",C58="S",C58="I"),-1,1),"")</f>
        <v>0</v>
      </c>
      <c r="AW58" s="1030">
        <f t="shared" si="3"/>
        <v>0</v>
      </c>
      <c r="AX58" s="1030">
        <f>INDEX(V58:AG58,1,MATCH(Parametres!$B$3,V$1:AG$1,0))*IF(OR(C58="L",C58="S",C58="I"),-1,1)</f>
        <v>0</v>
      </c>
      <c r="AY58" s="598" t="s">
        <v>337</v>
      </c>
      <c r="AZ58" s="598" t="e">
        <f>+VLOOKUP($AJ58,Data_Validation!$A:$E,5,0)</f>
        <v>#N/A</v>
      </c>
    </row>
    <row r="59" spans="36:52" ht="15" customHeight="1">
      <c r="AJ59" s="1030">
        <f t="shared" si="0"/>
        <v>0</v>
      </c>
      <c r="AK59" s="1030">
        <f t="shared" si="0"/>
        <v>0</v>
      </c>
      <c r="AL59" s="1030">
        <f>IFERROR(INDEX(G59:R59,1,MATCH(Parametres!$B$3,G$1:R$1,0)-1)*IF(OR(F59="L",F59="S",F59="I"),-1,1),"")</f>
        <v>0</v>
      </c>
      <c r="AM59" s="1030">
        <f t="shared" si="1"/>
        <v>0</v>
      </c>
      <c r="AN59" s="1030">
        <f>INDEX(G59:R59,1,MATCH(Parametres!$B$3,G$1:R$1,0))*IF(OR(F59="L",F59="S",F59="I"),-1,1)</f>
        <v>0</v>
      </c>
      <c r="AO59" s="598" t="e">
        <f>+VLOOKUP($AJ59,Data_Validation!$A:$D,1,0)</f>
        <v>#N/A</v>
      </c>
      <c r="AP59" s="598" t="e">
        <f>+VLOOKUP($AJ59,Data_Validation!$A:$D,3,0)</f>
        <v>#N/A</v>
      </c>
      <c r="AQ59" s="598" t="e">
        <f>+VLOOKUP($AJ59,Data_Validation!$A:$D,4,0)</f>
        <v>#N/A</v>
      </c>
      <c r="AR59" s="598" t="s">
        <v>299</v>
      </c>
      <c r="AS59" s="598" t="e">
        <f>+VLOOKUP($AJ59,Data_Validation!$A:$E,5,0)</f>
        <v>#N/A</v>
      </c>
      <c r="AT59" s="1036">
        <f t="shared" si="2"/>
        <v>0</v>
      </c>
      <c r="AU59" s="599">
        <f t="shared" si="2"/>
        <v>0</v>
      </c>
      <c r="AV59" s="1030">
        <f>IFERROR(INDEX(V59:AG59,1,MATCH(Parametres!$B$3,V$1:AG$1,0)-1)*IF(OR(C59="L",C59="S",C59="I"),-1,1),"")</f>
        <v>0</v>
      </c>
      <c r="AW59" s="1030">
        <f t="shared" si="3"/>
        <v>0</v>
      </c>
      <c r="AX59" s="1030">
        <f>INDEX(V59:AG59,1,MATCH(Parametres!$B$3,V$1:AG$1,0))*IF(OR(C59="L",C59="S",C59="I"),-1,1)</f>
        <v>0</v>
      </c>
      <c r="AY59" s="598" t="s">
        <v>337</v>
      </c>
      <c r="AZ59" s="598" t="e">
        <f>+VLOOKUP($AJ59,Data_Validation!$A:$E,5,0)</f>
        <v>#N/A</v>
      </c>
    </row>
    <row r="60" spans="36:52" ht="15" customHeight="1">
      <c r="AJ60" s="1030">
        <f t="shared" si="0"/>
        <v>0</v>
      </c>
      <c r="AK60" s="1030">
        <f t="shared" si="0"/>
        <v>0</v>
      </c>
      <c r="AL60" s="1030">
        <f>IFERROR(INDEX(G60:R60,1,MATCH(Parametres!$B$3,G$1:R$1,0)-1)*IF(OR(F60="L",F60="S",F60="I"),-1,1),"")</f>
        <v>0</v>
      </c>
      <c r="AM60" s="1030">
        <f t="shared" si="1"/>
        <v>0</v>
      </c>
      <c r="AN60" s="1030">
        <f>INDEX(G60:R60,1,MATCH(Parametres!$B$3,G$1:R$1,0))*IF(OR(F60="L",F60="S",F60="I"),-1,1)</f>
        <v>0</v>
      </c>
      <c r="AO60" s="598" t="e">
        <f>+VLOOKUP($AJ60,Data_Validation!$A:$D,1,0)</f>
        <v>#N/A</v>
      </c>
      <c r="AP60" s="598" t="e">
        <f>+VLOOKUP($AJ60,Data_Validation!$A:$D,3,0)</f>
        <v>#N/A</v>
      </c>
      <c r="AQ60" s="598" t="e">
        <f>+VLOOKUP($AJ60,Data_Validation!$A:$D,4,0)</f>
        <v>#N/A</v>
      </c>
      <c r="AR60" s="598" t="s">
        <v>299</v>
      </c>
      <c r="AS60" s="598" t="e">
        <f>+VLOOKUP($AJ60,Data_Validation!$A:$E,5,0)</f>
        <v>#N/A</v>
      </c>
      <c r="AT60" s="1036">
        <f t="shared" si="2"/>
        <v>0</v>
      </c>
      <c r="AU60" s="599">
        <f t="shared" si="2"/>
        <v>0</v>
      </c>
      <c r="AV60" s="1030">
        <f>IFERROR(INDEX(V60:AG60,1,MATCH(Parametres!$B$3,V$1:AG$1,0)-1)*IF(OR(C60="L",C60="S",C60="I"),-1,1),"")</f>
        <v>0</v>
      </c>
      <c r="AW60" s="1030">
        <f t="shared" si="3"/>
        <v>0</v>
      </c>
      <c r="AX60" s="1030">
        <f>INDEX(V60:AG60,1,MATCH(Parametres!$B$3,V$1:AG$1,0))*IF(OR(C60="L",C60="S",C60="I"),-1,1)</f>
        <v>0</v>
      </c>
      <c r="AY60" s="598" t="s">
        <v>337</v>
      </c>
      <c r="AZ60" s="598" t="e">
        <f>+VLOOKUP($AJ60,Data_Validation!$A:$E,5,0)</f>
        <v>#N/A</v>
      </c>
    </row>
    <row r="61" spans="36:52" ht="15" customHeight="1">
      <c r="AJ61" s="1030">
        <f t="shared" si="0"/>
        <v>0</v>
      </c>
      <c r="AK61" s="1030">
        <f t="shared" si="0"/>
        <v>0</v>
      </c>
      <c r="AL61" s="1030">
        <f>IFERROR(INDEX(G61:R61,1,MATCH(Parametres!$B$3,G$1:R$1,0)-1)*IF(OR(F61="L",F61="S",F61="I"),-1,1),"")</f>
        <v>0</v>
      </c>
      <c r="AM61" s="1030">
        <f t="shared" si="1"/>
        <v>0</v>
      </c>
      <c r="AN61" s="1030">
        <f>INDEX(G61:R61,1,MATCH(Parametres!$B$3,G$1:R$1,0))*IF(OR(F61="L",F61="S",F61="I"),-1,1)</f>
        <v>0</v>
      </c>
      <c r="AO61" s="598" t="e">
        <f>+VLOOKUP($AJ61,Data_Validation!$A:$D,1,0)</f>
        <v>#N/A</v>
      </c>
      <c r="AP61" s="598" t="e">
        <f>+VLOOKUP($AJ61,Data_Validation!$A:$D,3,0)</f>
        <v>#N/A</v>
      </c>
      <c r="AQ61" s="598" t="e">
        <f>+VLOOKUP($AJ61,Data_Validation!$A:$D,4,0)</f>
        <v>#N/A</v>
      </c>
      <c r="AR61" s="598" t="s">
        <v>299</v>
      </c>
      <c r="AS61" s="598" t="e">
        <f>+VLOOKUP($AJ61,Data_Validation!$A:$E,5,0)</f>
        <v>#N/A</v>
      </c>
      <c r="AT61" s="1036">
        <f t="shared" si="2"/>
        <v>0</v>
      </c>
      <c r="AU61" s="599">
        <f t="shared" si="2"/>
        <v>0</v>
      </c>
      <c r="AV61" s="1030">
        <f>IFERROR(INDEX(V61:AG61,1,MATCH(Parametres!$B$3,V$1:AG$1,0)-1)*IF(OR(C61="L",C61="S",C61="I"),-1,1),"")</f>
        <v>0</v>
      </c>
      <c r="AW61" s="1030">
        <f t="shared" si="3"/>
        <v>0</v>
      </c>
      <c r="AX61" s="1030">
        <f>INDEX(V61:AG61,1,MATCH(Parametres!$B$3,V$1:AG$1,0))*IF(OR(C61="L",C61="S",C61="I"),-1,1)</f>
        <v>0</v>
      </c>
      <c r="AY61" s="598" t="s">
        <v>337</v>
      </c>
      <c r="AZ61" s="598" t="e">
        <f>+VLOOKUP($AJ61,Data_Validation!$A:$E,5,0)</f>
        <v>#N/A</v>
      </c>
    </row>
    <row r="62" spans="36:52" ht="15" customHeight="1">
      <c r="AJ62" s="1030">
        <f t="shared" si="0"/>
        <v>0</v>
      </c>
      <c r="AK62" s="1030">
        <f t="shared" si="0"/>
        <v>0</v>
      </c>
      <c r="AL62" s="1030">
        <f>IFERROR(INDEX(G62:R62,1,MATCH(Parametres!$B$3,G$1:R$1,0)-1)*IF(OR(F62="L",F62="S",F62="I"),-1,1),"")</f>
        <v>0</v>
      </c>
      <c r="AM62" s="1030">
        <f t="shared" si="1"/>
        <v>0</v>
      </c>
      <c r="AN62" s="1030">
        <f>INDEX(G62:R62,1,MATCH(Parametres!$B$3,G$1:R$1,0))*IF(OR(F62="L",F62="S",F62="I"),-1,1)</f>
        <v>0</v>
      </c>
      <c r="AO62" s="598" t="e">
        <f>+VLOOKUP($AJ62,Data_Validation!$A:$D,1,0)</f>
        <v>#N/A</v>
      </c>
      <c r="AP62" s="598" t="e">
        <f>+VLOOKUP($AJ62,Data_Validation!$A:$D,3,0)</f>
        <v>#N/A</v>
      </c>
      <c r="AQ62" s="598" t="e">
        <f>+VLOOKUP($AJ62,Data_Validation!$A:$D,4,0)</f>
        <v>#N/A</v>
      </c>
      <c r="AR62" s="598" t="s">
        <v>299</v>
      </c>
      <c r="AS62" s="598" t="e">
        <f>+VLOOKUP($AJ62,Data_Validation!$A:$E,5,0)</f>
        <v>#N/A</v>
      </c>
      <c r="AT62" s="1036">
        <f t="shared" si="2"/>
        <v>0</v>
      </c>
      <c r="AU62" s="599">
        <f t="shared" si="2"/>
        <v>0</v>
      </c>
      <c r="AV62" s="1030">
        <f>IFERROR(INDEX(V62:AG62,1,MATCH(Parametres!$B$3,V$1:AG$1,0)-1)*IF(OR(C62="L",C62="S",C62="I"),-1,1),"")</f>
        <v>0</v>
      </c>
      <c r="AW62" s="1030">
        <f t="shared" si="3"/>
        <v>0</v>
      </c>
      <c r="AX62" s="1030">
        <f>INDEX(V62:AG62,1,MATCH(Parametres!$B$3,V$1:AG$1,0))*IF(OR(C62="L",C62="S",C62="I"),-1,1)</f>
        <v>0</v>
      </c>
      <c r="AY62" s="598" t="s">
        <v>337</v>
      </c>
      <c r="AZ62" s="598" t="e">
        <f>+VLOOKUP($AJ62,Data_Validation!$A:$E,5,0)</f>
        <v>#N/A</v>
      </c>
    </row>
    <row r="63" spans="36:52" ht="15" customHeight="1">
      <c r="AJ63" s="1030">
        <f t="shared" si="0"/>
        <v>0</v>
      </c>
      <c r="AK63" s="1030">
        <f t="shared" si="0"/>
        <v>0</v>
      </c>
      <c r="AL63" s="1030">
        <f>IFERROR(INDEX(G63:R63,1,MATCH(Parametres!$B$3,G$1:R$1,0)-1)*IF(OR(F63="L",F63="S",F63="I"),-1,1),"")</f>
        <v>0</v>
      </c>
      <c r="AM63" s="1030">
        <f t="shared" si="1"/>
        <v>0</v>
      </c>
      <c r="AN63" s="1030">
        <f>INDEX(G63:R63,1,MATCH(Parametres!$B$3,G$1:R$1,0))*IF(OR(F63="L",F63="S",F63="I"),-1,1)</f>
        <v>0</v>
      </c>
      <c r="AO63" s="598" t="e">
        <f>+VLOOKUP($AJ63,Data_Validation!$A:$D,1,0)</f>
        <v>#N/A</v>
      </c>
      <c r="AP63" s="598" t="e">
        <f>+VLOOKUP($AJ63,Data_Validation!$A:$D,3,0)</f>
        <v>#N/A</v>
      </c>
      <c r="AQ63" s="598" t="e">
        <f>+VLOOKUP($AJ63,Data_Validation!$A:$D,4,0)</f>
        <v>#N/A</v>
      </c>
      <c r="AR63" s="598" t="s">
        <v>299</v>
      </c>
      <c r="AS63" s="598" t="e">
        <f>+VLOOKUP($AJ63,Data_Validation!$A:$E,5,0)</f>
        <v>#N/A</v>
      </c>
      <c r="AT63" s="1036">
        <f t="shared" si="2"/>
        <v>0</v>
      </c>
      <c r="AU63" s="599">
        <f t="shared" si="2"/>
        <v>0</v>
      </c>
      <c r="AV63" s="1030">
        <f>IFERROR(INDEX(V63:AG63,1,MATCH(Parametres!$B$3,V$1:AG$1,0)-1)*IF(OR(C63="L",C63="S",C63="I"),-1,1),"")</f>
        <v>0</v>
      </c>
      <c r="AW63" s="1030">
        <f t="shared" si="3"/>
        <v>0</v>
      </c>
      <c r="AX63" s="1030">
        <f>INDEX(V63:AG63,1,MATCH(Parametres!$B$3,V$1:AG$1,0))*IF(OR(C63="L",C63="S",C63="I"),-1,1)</f>
        <v>0</v>
      </c>
      <c r="AY63" s="598" t="s">
        <v>337</v>
      </c>
      <c r="AZ63" s="598" t="e">
        <f>+VLOOKUP($AJ63,Data_Validation!$A:$E,5,0)</f>
        <v>#N/A</v>
      </c>
    </row>
    <row r="64" spans="36:52" ht="15" customHeight="1">
      <c r="AJ64" s="1030">
        <f t="shared" si="0"/>
        <v>0</v>
      </c>
      <c r="AK64" s="1030">
        <f t="shared" si="0"/>
        <v>0</v>
      </c>
      <c r="AL64" s="1030">
        <f>IFERROR(INDEX(G64:R64,1,MATCH(Parametres!$B$3,G$1:R$1,0)-1)*IF(OR(F64="L",F64="S",F64="I"),-1,1),"")</f>
        <v>0</v>
      </c>
      <c r="AM64" s="1030">
        <f t="shared" si="1"/>
        <v>0</v>
      </c>
      <c r="AN64" s="1030">
        <f>INDEX(G64:R64,1,MATCH(Parametres!$B$3,G$1:R$1,0))*IF(OR(F64="L",F64="S",F64="I"),-1,1)</f>
        <v>0</v>
      </c>
      <c r="AO64" s="598" t="e">
        <f>+VLOOKUP($AJ64,Data_Validation!$A:$D,1,0)</f>
        <v>#N/A</v>
      </c>
      <c r="AP64" s="598" t="e">
        <f>+VLOOKUP($AJ64,Data_Validation!$A:$D,3,0)</f>
        <v>#N/A</v>
      </c>
      <c r="AQ64" s="598" t="e">
        <f>+VLOOKUP($AJ64,Data_Validation!$A:$D,4,0)</f>
        <v>#N/A</v>
      </c>
      <c r="AR64" s="598" t="s">
        <v>299</v>
      </c>
      <c r="AS64" s="598" t="e">
        <f>+VLOOKUP($AJ64,Data_Validation!$A:$E,5,0)</f>
        <v>#N/A</v>
      </c>
      <c r="AT64" s="1036">
        <f t="shared" si="2"/>
        <v>0</v>
      </c>
      <c r="AU64" s="599">
        <f t="shared" si="2"/>
        <v>0</v>
      </c>
      <c r="AV64" s="1030">
        <f>IFERROR(INDEX(V64:AG64,1,MATCH(Parametres!$B$3,V$1:AG$1,0)-1)*IF(OR(C64="L",C64="S",C64="I"),-1,1),"")</f>
        <v>0</v>
      </c>
      <c r="AW64" s="1030">
        <f t="shared" si="3"/>
        <v>0</v>
      </c>
      <c r="AX64" s="1030">
        <f>INDEX(V64:AG64,1,MATCH(Parametres!$B$3,V$1:AG$1,0))*IF(OR(C64="L",C64="S",C64="I"),-1,1)</f>
        <v>0</v>
      </c>
      <c r="AY64" s="598" t="s">
        <v>337</v>
      </c>
      <c r="AZ64" s="598" t="e">
        <f>+VLOOKUP($AJ64,Data_Validation!$A:$E,5,0)</f>
        <v>#N/A</v>
      </c>
    </row>
    <row r="65" spans="36:52" ht="15" customHeight="1">
      <c r="AJ65" s="1030">
        <f t="shared" si="0"/>
        <v>0</v>
      </c>
      <c r="AK65" s="1030">
        <f t="shared" si="0"/>
        <v>0</v>
      </c>
      <c r="AL65" s="1030">
        <f>IFERROR(INDEX(G65:R65,1,MATCH(Parametres!$B$3,G$1:R$1,0)-1)*IF(OR(F65="L",F65="S",F65="I"),-1,1),"")</f>
        <v>0</v>
      </c>
      <c r="AM65" s="1030">
        <f t="shared" si="1"/>
        <v>0</v>
      </c>
      <c r="AN65" s="1030">
        <f>INDEX(G65:R65,1,MATCH(Parametres!$B$3,G$1:R$1,0))*IF(OR(F65="L",F65="S",F65="I"),-1,1)</f>
        <v>0</v>
      </c>
      <c r="AO65" s="598" t="e">
        <f>+VLOOKUP($AJ65,Data_Validation!$A:$D,1,0)</f>
        <v>#N/A</v>
      </c>
      <c r="AP65" s="598" t="e">
        <f>+VLOOKUP($AJ65,Data_Validation!$A:$D,3,0)</f>
        <v>#N/A</v>
      </c>
      <c r="AQ65" s="598" t="e">
        <f>+VLOOKUP($AJ65,Data_Validation!$A:$D,4,0)</f>
        <v>#N/A</v>
      </c>
      <c r="AR65" s="598" t="s">
        <v>299</v>
      </c>
      <c r="AS65" s="598" t="e">
        <f>+VLOOKUP($AJ65,Data_Validation!$A:$E,5,0)</f>
        <v>#N/A</v>
      </c>
      <c r="AT65" s="1036">
        <f t="shared" si="2"/>
        <v>0</v>
      </c>
      <c r="AU65" s="599">
        <f t="shared" si="2"/>
        <v>0</v>
      </c>
      <c r="AV65" s="1030">
        <f>IFERROR(INDEX(V65:AG65,1,MATCH(Parametres!$B$3,V$1:AG$1,0)-1)*IF(OR(C65="L",C65="S",C65="I"),-1,1),"")</f>
        <v>0</v>
      </c>
      <c r="AW65" s="1030">
        <f t="shared" si="3"/>
        <v>0</v>
      </c>
      <c r="AX65" s="1030">
        <f>INDEX(V65:AG65,1,MATCH(Parametres!$B$3,V$1:AG$1,0))*IF(OR(C65="L",C65="S",C65="I"),-1,1)</f>
        <v>0</v>
      </c>
      <c r="AY65" s="598" t="s">
        <v>337</v>
      </c>
      <c r="AZ65" s="598" t="e">
        <f>+VLOOKUP($AJ65,Data_Validation!$A:$E,5,0)</f>
        <v>#N/A</v>
      </c>
    </row>
    <row r="66" spans="36:52" ht="15" customHeight="1">
      <c r="AJ66" s="1030">
        <f t="shared" si="0"/>
        <v>0</v>
      </c>
      <c r="AK66" s="1030">
        <f t="shared" si="0"/>
        <v>0</v>
      </c>
      <c r="AL66" s="1030">
        <f>IFERROR(INDEX(G66:R66,1,MATCH(Parametres!$B$3,G$1:R$1,0)-1)*IF(OR(F66="L",F66="S",F66="I"),-1,1),"")</f>
        <v>0</v>
      </c>
      <c r="AM66" s="1030">
        <f t="shared" si="1"/>
        <v>0</v>
      </c>
      <c r="AN66" s="1030">
        <f>INDEX(G66:R66,1,MATCH(Parametres!$B$3,G$1:R$1,0))*IF(OR(F66="L",F66="S",F66="I"),-1,1)</f>
        <v>0</v>
      </c>
      <c r="AO66" s="598" t="e">
        <f>+VLOOKUP($AJ66,Data_Validation!$A:$D,1,0)</f>
        <v>#N/A</v>
      </c>
      <c r="AP66" s="598" t="e">
        <f>+VLOOKUP($AJ66,Data_Validation!$A:$D,3,0)</f>
        <v>#N/A</v>
      </c>
      <c r="AQ66" s="598" t="e">
        <f>+VLOOKUP($AJ66,Data_Validation!$A:$D,4,0)</f>
        <v>#N/A</v>
      </c>
      <c r="AR66" s="598" t="s">
        <v>299</v>
      </c>
      <c r="AS66" s="598" t="e">
        <f>+VLOOKUP($AJ66,Data_Validation!$A:$E,5,0)</f>
        <v>#N/A</v>
      </c>
      <c r="AT66" s="1036">
        <f t="shared" si="2"/>
        <v>0</v>
      </c>
      <c r="AU66" s="599">
        <f t="shared" si="2"/>
        <v>0</v>
      </c>
      <c r="AV66" s="1030">
        <f>IFERROR(INDEX(V66:AG66,1,MATCH(Parametres!$B$3,V$1:AG$1,0)-1)*IF(OR(C66="L",C66="S",C66="I"),-1,1),"")</f>
        <v>0</v>
      </c>
      <c r="AW66" s="1030">
        <f t="shared" si="3"/>
        <v>0</v>
      </c>
      <c r="AX66" s="1030">
        <f>INDEX(V66:AG66,1,MATCH(Parametres!$B$3,V$1:AG$1,0))*IF(OR(C66="L",C66="S",C66="I"),-1,1)</f>
        <v>0</v>
      </c>
      <c r="AY66" s="598" t="s">
        <v>337</v>
      </c>
      <c r="AZ66" s="598" t="e">
        <f>+VLOOKUP($AJ66,Data_Validation!$A:$E,5,0)</f>
        <v>#N/A</v>
      </c>
    </row>
    <row r="67" spans="36:52" ht="15" customHeight="1">
      <c r="AJ67" s="1030">
        <f t="shared" si="0"/>
        <v>0</v>
      </c>
      <c r="AK67" s="1030">
        <f t="shared" si="0"/>
        <v>0</v>
      </c>
      <c r="AL67" s="1030">
        <f>IFERROR(INDEX(G67:R67,1,MATCH(Parametres!$B$3,G$1:R$1,0)-1)*IF(OR(F67="L",F67="S",F67="I"),-1,1),"")</f>
        <v>0</v>
      </c>
      <c r="AM67" s="1030">
        <f t="shared" si="1"/>
        <v>0</v>
      </c>
      <c r="AN67" s="1030">
        <f>INDEX(G67:R67,1,MATCH(Parametres!$B$3,G$1:R$1,0))*IF(OR(F67="L",F67="S",F67="I"),-1,1)</f>
        <v>0</v>
      </c>
      <c r="AO67" s="598" t="e">
        <f>+VLOOKUP($AJ67,Data_Validation!$A:$D,1,0)</f>
        <v>#N/A</v>
      </c>
      <c r="AP67" s="598" t="e">
        <f>+VLOOKUP($AJ67,Data_Validation!$A:$D,3,0)</f>
        <v>#N/A</v>
      </c>
      <c r="AQ67" s="598" t="e">
        <f>+VLOOKUP($AJ67,Data_Validation!$A:$D,4,0)</f>
        <v>#N/A</v>
      </c>
      <c r="AR67" s="598" t="s">
        <v>299</v>
      </c>
      <c r="AS67" s="598" t="e">
        <f>+VLOOKUP($AJ67,Data_Validation!$A:$E,5,0)</f>
        <v>#N/A</v>
      </c>
      <c r="AT67" s="1036">
        <f t="shared" si="2"/>
        <v>0</v>
      </c>
      <c r="AU67" s="599">
        <f t="shared" si="2"/>
        <v>0</v>
      </c>
      <c r="AV67" s="1030">
        <f>IFERROR(INDEX(V67:AG67,1,MATCH(Parametres!$B$3,V$1:AG$1,0)-1)*IF(OR(C67="L",C67="S",C67="I"),-1,1),"")</f>
        <v>0</v>
      </c>
      <c r="AW67" s="1030">
        <f t="shared" si="3"/>
        <v>0</v>
      </c>
      <c r="AX67" s="1030">
        <f>INDEX(V67:AG67,1,MATCH(Parametres!$B$3,V$1:AG$1,0))*IF(OR(C67="L",C67="S",C67="I"),-1,1)</f>
        <v>0</v>
      </c>
      <c r="AY67" s="598" t="s">
        <v>337</v>
      </c>
      <c r="AZ67" s="598" t="e">
        <f>+VLOOKUP($AJ67,Data_Validation!$A:$E,5,0)</f>
        <v>#N/A</v>
      </c>
    </row>
    <row r="68" spans="36:52" ht="15" customHeight="1">
      <c r="AJ68" s="1030">
        <f t="shared" ref="AJ68:AK131" si="4">C68</f>
        <v>0</v>
      </c>
      <c r="AK68" s="1030">
        <f t="shared" si="4"/>
        <v>0</v>
      </c>
      <c r="AL68" s="1030">
        <f>IFERROR(INDEX(G68:R68,1,MATCH(Parametres!$B$3,G$1:R$1,0)-1)*IF(OR(F68="L",F68="S",F68="I"),-1,1),"")</f>
        <v>0</v>
      </c>
      <c r="AM68" s="1030">
        <f t="shared" ref="AM68:AM131" si="5">AN68-N(AL68)</f>
        <v>0</v>
      </c>
      <c r="AN68" s="1030">
        <f>INDEX(G68:R68,1,MATCH(Parametres!$B$3,G$1:R$1,0))*IF(OR(F68="L",F68="S",F68="I"),-1,1)</f>
        <v>0</v>
      </c>
      <c r="AO68" s="598" t="e">
        <f>+VLOOKUP($AJ68,Data_Validation!$A:$D,1,0)</f>
        <v>#N/A</v>
      </c>
      <c r="AP68" s="598" t="e">
        <f>+VLOOKUP($AJ68,Data_Validation!$A:$D,3,0)</f>
        <v>#N/A</v>
      </c>
      <c r="AQ68" s="598" t="e">
        <f>+VLOOKUP($AJ68,Data_Validation!$A:$D,4,0)</f>
        <v>#N/A</v>
      </c>
      <c r="AR68" s="598" t="s">
        <v>299</v>
      </c>
      <c r="AS68" s="598" t="e">
        <f>+VLOOKUP($AJ68,Data_Validation!$A:$E,5,0)</f>
        <v>#N/A</v>
      </c>
      <c r="AT68" s="1036">
        <f t="shared" ref="AT68:AU131" si="6">C68</f>
        <v>0</v>
      </c>
      <c r="AU68" s="599">
        <f t="shared" si="6"/>
        <v>0</v>
      </c>
      <c r="AV68" s="1030">
        <f>IFERROR(INDEX(V68:AG68,1,MATCH(Parametres!$B$3,V$1:AG$1,0)-1)*IF(OR(C68="L",C68="S",C68="I"),-1,1),"")</f>
        <v>0</v>
      </c>
      <c r="AW68" s="1030">
        <f t="shared" ref="AW68:AW131" si="7">AX68-AV68</f>
        <v>0</v>
      </c>
      <c r="AX68" s="1030">
        <f>INDEX(V68:AG68,1,MATCH(Parametres!$B$3,V$1:AG$1,0))*IF(OR(C68="L",C68="S",C68="I"),-1,1)</f>
        <v>0</v>
      </c>
      <c r="AY68" s="598" t="s">
        <v>337</v>
      </c>
      <c r="AZ68" s="598" t="e">
        <f>+VLOOKUP($AJ68,Data_Validation!$A:$E,5,0)</f>
        <v>#N/A</v>
      </c>
    </row>
    <row r="69" spans="36:52" ht="15" customHeight="1">
      <c r="AJ69" s="1030">
        <f t="shared" si="4"/>
        <v>0</v>
      </c>
      <c r="AK69" s="1030">
        <f t="shared" si="4"/>
        <v>0</v>
      </c>
      <c r="AL69" s="1030">
        <f>IFERROR(INDEX(G69:R69,1,MATCH(Parametres!$B$3,G$1:R$1,0)-1)*IF(OR(F69="L",F69="S",F69="I"),-1,1),"")</f>
        <v>0</v>
      </c>
      <c r="AM69" s="1030">
        <f t="shared" si="5"/>
        <v>0</v>
      </c>
      <c r="AN69" s="1030">
        <f>INDEX(G69:R69,1,MATCH(Parametres!$B$3,G$1:R$1,0))*IF(OR(F69="L",F69="S",F69="I"),-1,1)</f>
        <v>0</v>
      </c>
      <c r="AO69" s="598" t="e">
        <f>+VLOOKUP($AJ69,Data_Validation!$A:$D,1,0)</f>
        <v>#N/A</v>
      </c>
      <c r="AP69" s="598" t="e">
        <f>+VLOOKUP($AJ69,Data_Validation!$A:$D,3,0)</f>
        <v>#N/A</v>
      </c>
      <c r="AQ69" s="598" t="e">
        <f>+VLOOKUP($AJ69,Data_Validation!$A:$D,4,0)</f>
        <v>#N/A</v>
      </c>
      <c r="AR69" s="598" t="s">
        <v>299</v>
      </c>
      <c r="AS69" s="598" t="e">
        <f>+VLOOKUP($AJ69,Data_Validation!$A:$E,5,0)</f>
        <v>#N/A</v>
      </c>
      <c r="AT69" s="1036">
        <f t="shared" si="6"/>
        <v>0</v>
      </c>
      <c r="AU69" s="599">
        <f t="shared" si="6"/>
        <v>0</v>
      </c>
      <c r="AV69" s="1030">
        <f>IFERROR(INDEX(V69:AG69,1,MATCH(Parametres!$B$3,V$1:AG$1,0)-1)*IF(OR(C69="L",C69="S",C69="I"),-1,1),"")</f>
        <v>0</v>
      </c>
      <c r="AW69" s="1030">
        <f t="shared" si="7"/>
        <v>0</v>
      </c>
      <c r="AX69" s="1030">
        <f>INDEX(V69:AG69,1,MATCH(Parametres!$B$3,V$1:AG$1,0))*IF(OR(C69="L",C69="S",C69="I"),-1,1)</f>
        <v>0</v>
      </c>
      <c r="AY69" s="598" t="s">
        <v>337</v>
      </c>
      <c r="AZ69" s="598" t="e">
        <f>+VLOOKUP($AJ69,Data_Validation!$A:$E,5,0)</f>
        <v>#N/A</v>
      </c>
    </row>
    <row r="70" spans="36:52" ht="15" customHeight="1">
      <c r="AJ70" s="1030">
        <f t="shared" si="4"/>
        <v>0</v>
      </c>
      <c r="AK70" s="1030">
        <f t="shared" si="4"/>
        <v>0</v>
      </c>
      <c r="AL70" s="1030">
        <f>IFERROR(INDEX(G70:R70,1,MATCH(Parametres!$B$3,G$1:R$1,0)-1)*IF(OR(F70="L",F70="S",F70="I"),-1,1),"")</f>
        <v>0</v>
      </c>
      <c r="AM70" s="1030">
        <f t="shared" si="5"/>
        <v>0</v>
      </c>
      <c r="AN70" s="1030">
        <f>INDEX(G70:R70,1,MATCH(Parametres!$B$3,G$1:R$1,0))*IF(OR(F70="L",F70="S",F70="I"),-1,1)</f>
        <v>0</v>
      </c>
      <c r="AO70" s="598" t="e">
        <f>+VLOOKUP($AJ70,Data_Validation!$A:$D,1,0)</f>
        <v>#N/A</v>
      </c>
      <c r="AP70" s="598" t="e">
        <f>+VLOOKUP($AJ70,Data_Validation!$A:$D,3,0)</f>
        <v>#N/A</v>
      </c>
      <c r="AQ70" s="598" t="e">
        <f>+VLOOKUP($AJ70,Data_Validation!$A:$D,4,0)</f>
        <v>#N/A</v>
      </c>
      <c r="AR70" s="598" t="s">
        <v>299</v>
      </c>
      <c r="AS70" s="598" t="e">
        <f>+VLOOKUP($AJ70,Data_Validation!$A:$E,5,0)</f>
        <v>#N/A</v>
      </c>
      <c r="AT70" s="1036">
        <f t="shared" si="6"/>
        <v>0</v>
      </c>
      <c r="AU70" s="599">
        <f t="shared" si="6"/>
        <v>0</v>
      </c>
      <c r="AV70" s="1030">
        <f>IFERROR(INDEX(V70:AG70,1,MATCH(Parametres!$B$3,V$1:AG$1,0)-1)*IF(OR(C70="L",C70="S",C70="I"),-1,1),"")</f>
        <v>0</v>
      </c>
      <c r="AW70" s="1030">
        <f t="shared" si="7"/>
        <v>0</v>
      </c>
      <c r="AX70" s="1030">
        <f>INDEX(V70:AG70,1,MATCH(Parametres!$B$3,V$1:AG$1,0))*IF(OR(C70="L",C70="S",C70="I"),-1,1)</f>
        <v>0</v>
      </c>
      <c r="AY70" s="598" t="s">
        <v>337</v>
      </c>
      <c r="AZ70" s="598" t="e">
        <f>+VLOOKUP($AJ70,Data_Validation!$A:$E,5,0)</f>
        <v>#N/A</v>
      </c>
    </row>
    <row r="71" spans="36:52" ht="15" customHeight="1">
      <c r="AJ71" s="1030">
        <f t="shared" si="4"/>
        <v>0</v>
      </c>
      <c r="AK71" s="1030">
        <f t="shared" si="4"/>
        <v>0</v>
      </c>
      <c r="AL71" s="1030">
        <f>IFERROR(INDEX(G71:R71,1,MATCH(Parametres!$B$3,G$1:R$1,0)-1)*IF(OR(F71="L",F71="S",F71="I"),-1,1),"")</f>
        <v>0</v>
      </c>
      <c r="AM71" s="1030">
        <f t="shared" si="5"/>
        <v>0</v>
      </c>
      <c r="AN71" s="1030">
        <f>INDEX(G71:R71,1,MATCH(Parametres!$B$3,G$1:R$1,0))*IF(OR(F71="L",F71="S",F71="I"),-1,1)</f>
        <v>0</v>
      </c>
      <c r="AO71" s="598" t="e">
        <f>+VLOOKUP($AJ71,Data_Validation!$A:$D,1,0)</f>
        <v>#N/A</v>
      </c>
      <c r="AP71" s="598" t="e">
        <f>+VLOOKUP($AJ71,Data_Validation!$A:$D,3,0)</f>
        <v>#N/A</v>
      </c>
      <c r="AQ71" s="598" t="e">
        <f>+VLOOKUP($AJ71,Data_Validation!$A:$D,4,0)</f>
        <v>#N/A</v>
      </c>
      <c r="AR71" s="598" t="s">
        <v>299</v>
      </c>
      <c r="AS71" s="598" t="e">
        <f>+VLOOKUP($AJ71,Data_Validation!$A:$E,5,0)</f>
        <v>#N/A</v>
      </c>
      <c r="AT71" s="1036">
        <f t="shared" si="6"/>
        <v>0</v>
      </c>
      <c r="AU71" s="599">
        <f t="shared" si="6"/>
        <v>0</v>
      </c>
      <c r="AV71" s="1030">
        <f>IFERROR(INDEX(V71:AG71,1,MATCH(Parametres!$B$3,V$1:AG$1,0)-1)*IF(OR(C71="L",C71="S",C71="I"),-1,1),"")</f>
        <v>0</v>
      </c>
      <c r="AW71" s="1030">
        <f t="shared" si="7"/>
        <v>0</v>
      </c>
      <c r="AX71" s="1030">
        <f>INDEX(V71:AG71,1,MATCH(Parametres!$B$3,V$1:AG$1,0))*IF(OR(C71="L",C71="S",C71="I"),-1,1)</f>
        <v>0</v>
      </c>
      <c r="AY71" s="598" t="s">
        <v>337</v>
      </c>
      <c r="AZ71" s="598" t="e">
        <f>+VLOOKUP($AJ71,Data_Validation!$A:$E,5,0)</f>
        <v>#N/A</v>
      </c>
    </row>
    <row r="72" spans="36:52" ht="15" customHeight="1">
      <c r="AJ72" s="1030">
        <f t="shared" si="4"/>
        <v>0</v>
      </c>
      <c r="AK72" s="1030">
        <f t="shared" si="4"/>
        <v>0</v>
      </c>
      <c r="AL72" s="1030">
        <f>IFERROR(INDEX(G72:R72,1,MATCH(Parametres!$B$3,G$1:R$1,0)-1)*IF(OR(F72="L",F72="S",F72="I"),-1,1),"")</f>
        <v>0</v>
      </c>
      <c r="AM72" s="1030">
        <f t="shared" si="5"/>
        <v>0</v>
      </c>
      <c r="AN72" s="1030">
        <f>INDEX(G72:R72,1,MATCH(Parametres!$B$3,G$1:R$1,0))*IF(OR(F72="L",F72="S",F72="I"),-1,1)</f>
        <v>0</v>
      </c>
      <c r="AO72" s="598" t="e">
        <f>+VLOOKUP($AJ72,Data_Validation!$A:$D,1,0)</f>
        <v>#N/A</v>
      </c>
      <c r="AP72" s="598" t="e">
        <f>+VLOOKUP($AJ72,Data_Validation!$A:$D,3,0)</f>
        <v>#N/A</v>
      </c>
      <c r="AQ72" s="598" t="e">
        <f>+VLOOKUP($AJ72,Data_Validation!$A:$D,4,0)</f>
        <v>#N/A</v>
      </c>
      <c r="AR72" s="598" t="s">
        <v>299</v>
      </c>
      <c r="AS72" s="598" t="e">
        <f>+VLOOKUP($AJ72,Data_Validation!$A:$E,5,0)</f>
        <v>#N/A</v>
      </c>
      <c r="AT72" s="1036">
        <f t="shared" si="6"/>
        <v>0</v>
      </c>
      <c r="AU72" s="599">
        <f t="shared" si="6"/>
        <v>0</v>
      </c>
      <c r="AV72" s="1030">
        <f>IFERROR(INDEX(V72:AG72,1,MATCH(Parametres!$B$3,V$1:AG$1,0)-1)*IF(OR(C72="L",C72="S",C72="I"),-1,1),"")</f>
        <v>0</v>
      </c>
      <c r="AW72" s="1030">
        <f t="shared" si="7"/>
        <v>0</v>
      </c>
      <c r="AX72" s="1030">
        <f>INDEX(V72:AG72,1,MATCH(Parametres!$B$3,V$1:AG$1,0))*IF(OR(C72="L",C72="S",C72="I"),-1,1)</f>
        <v>0</v>
      </c>
      <c r="AY72" s="598" t="s">
        <v>337</v>
      </c>
      <c r="AZ72" s="598" t="e">
        <f>+VLOOKUP($AJ72,Data_Validation!$A:$E,5,0)</f>
        <v>#N/A</v>
      </c>
    </row>
    <row r="73" spans="36:52" ht="15" customHeight="1">
      <c r="AJ73" s="1030">
        <f t="shared" si="4"/>
        <v>0</v>
      </c>
      <c r="AK73" s="1030">
        <f t="shared" si="4"/>
        <v>0</v>
      </c>
      <c r="AL73" s="1030">
        <f>IFERROR(INDEX(G73:R73,1,MATCH(Parametres!$B$3,G$1:R$1,0)-1)*IF(OR(F73="L",F73="S",F73="I"),-1,1),"")</f>
        <v>0</v>
      </c>
      <c r="AM73" s="1030">
        <f t="shared" si="5"/>
        <v>0</v>
      </c>
      <c r="AN73" s="1030">
        <f>INDEX(G73:R73,1,MATCH(Parametres!$B$3,G$1:R$1,0))*IF(OR(F73="L",F73="S",F73="I"),-1,1)</f>
        <v>0</v>
      </c>
      <c r="AO73" s="598" t="e">
        <f>+VLOOKUP($AJ73,Data_Validation!$A:$D,1,0)</f>
        <v>#N/A</v>
      </c>
      <c r="AP73" s="598" t="e">
        <f>+VLOOKUP($AJ73,Data_Validation!$A:$D,3,0)</f>
        <v>#N/A</v>
      </c>
      <c r="AQ73" s="598" t="e">
        <f>+VLOOKUP($AJ73,Data_Validation!$A:$D,4,0)</f>
        <v>#N/A</v>
      </c>
      <c r="AR73" s="598" t="s">
        <v>299</v>
      </c>
      <c r="AS73" s="598" t="e">
        <f>+VLOOKUP($AJ73,Data_Validation!$A:$E,5,0)</f>
        <v>#N/A</v>
      </c>
      <c r="AT73" s="1036">
        <f t="shared" si="6"/>
        <v>0</v>
      </c>
      <c r="AU73" s="599">
        <f t="shared" si="6"/>
        <v>0</v>
      </c>
      <c r="AV73" s="1030">
        <f>IFERROR(INDEX(V73:AG73,1,MATCH(Parametres!$B$3,V$1:AG$1,0)-1)*IF(OR(C73="L",C73="S",C73="I"),-1,1),"")</f>
        <v>0</v>
      </c>
      <c r="AW73" s="1030">
        <f t="shared" si="7"/>
        <v>0</v>
      </c>
      <c r="AX73" s="1030">
        <f>INDEX(V73:AG73,1,MATCH(Parametres!$B$3,V$1:AG$1,0))*IF(OR(C73="L",C73="S",C73="I"),-1,1)</f>
        <v>0</v>
      </c>
      <c r="AY73" s="598" t="s">
        <v>337</v>
      </c>
      <c r="AZ73" s="598" t="e">
        <f>+VLOOKUP($AJ73,Data_Validation!$A:$E,5,0)</f>
        <v>#N/A</v>
      </c>
    </row>
    <row r="74" spans="36:52" ht="15" customHeight="1">
      <c r="AJ74" s="1030">
        <f t="shared" si="4"/>
        <v>0</v>
      </c>
      <c r="AK74" s="1030">
        <f t="shared" si="4"/>
        <v>0</v>
      </c>
      <c r="AL74" s="1030">
        <f>IFERROR(INDEX(G74:R74,1,MATCH(Parametres!$B$3,G$1:R$1,0)-1)*IF(OR(F74="L",F74="S",F74="I"),-1,1),"")</f>
        <v>0</v>
      </c>
      <c r="AM74" s="1030">
        <f t="shared" si="5"/>
        <v>0</v>
      </c>
      <c r="AN74" s="1030">
        <f>INDEX(G74:R74,1,MATCH(Parametres!$B$3,G$1:R$1,0))*IF(OR(F74="L",F74="S",F74="I"),-1,1)</f>
        <v>0</v>
      </c>
      <c r="AO74" s="598" t="e">
        <f>+VLOOKUP($AJ74,Data_Validation!$A:$D,1,0)</f>
        <v>#N/A</v>
      </c>
      <c r="AP74" s="598" t="e">
        <f>+VLOOKUP($AJ74,Data_Validation!$A:$D,3,0)</f>
        <v>#N/A</v>
      </c>
      <c r="AQ74" s="598" t="e">
        <f>+VLOOKUP($AJ74,Data_Validation!$A:$D,4,0)</f>
        <v>#N/A</v>
      </c>
      <c r="AR74" s="598" t="s">
        <v>299</v>
      </c>
      <c r="AS74" s="598" t="e">
        <f>+VLOOKUP($AJ74,Data_Validation!$A:$E,5,0)</f>
        <v>#N/A</v>
      </c>
      <c r="AT74" s="1036">
        <f t="shared" si="6"/>
        <v>0</v>
      </c>
      <c r="AU74" s="599">
        <f t="shared" si="6"/>
        <v>0</v>
      </c>
      <c r="AV74" s="1030">
        <f>IFERROR(INDEX(V74:AG74,1,MATCH(Parametres!$B$3,V$1:AG$1,0)-1)*IF(OR(C74="L",C74="S",C74="I"),-1,1),"")</f>
        <v>0</v>
      </c>
      <c r="AW74" s="1030">
        <f t="shared" si="7"/>
        <v>0</v>
      </c>
      <c r="AX74" s="1030">
        <f>INDEX(V74:AG74,1,MATCH(Parametres!$B$3,V$1:AG$1,0))*IF(OR(C74="L",C74="S",C74="I"),-1,1)</f>
        <v>0</v>
      </c>
      <c r="AY74" s="598" t="s">
        <v>337</v>
      </c>
      <c r="AZ74" s="598" t="e">
        <f>+VLOOKUP($AJ74,Data_Validation!$A:$E,5,0)</f>
        <v>#N/A</v>
      </c>
    </row>
    <row r="75" spans="36:52" ht="15" customHeight="1">
      <c r="AJ75" s="1030">
        <f t="shared" si="4"/>
        <v>0</v>
      </c>
      <c r="AK75" s="1030">
        <f t="shared" si="4"/>
        <v>0</v>
      </c>
      <c r="AL75" s="1030">
        <f>IFERROR(INDEX(G75:R75,1,MATCH(Parametres!$B$3,G$1:R$1,0)-1)*IF(OR(F75="L",F75="S",F75="I"),-1,1),"")</f>
        <v>0</v>
      </c>
      <c r="AM75" s="1030">
        <f t="shared" si="5"/>
        <v>0</v>
      </c>
      <c r="AN75" s="1030">
        <f>INDEX(G75:R75,1,MATCH(Parametres!$B$3,G$1:R$1,0))*IF(OR(F75="L",F75="S",F75="I"),-1,1)</f>
        <v>0</v>
      </c>
      <c r="AO75" s="598" t="e">
        <f>+VLOOKUP($AJ75,Data_Validation!$A:$D,1,0)</f>
        <v>#N/A</v>
      </c>
      <c r="AP75" s="598" t="e">
        <f>+VLOOKUP($AJ75,Data_Validation!$A:$D,3,0)</f>
        <v>#N/A</v>
      </c>
      <c r="AQ75" s="598" t="e">
        <f>+VLOOKUP($AJ75,Data_Validation!$A:$D,4,0)</f>
        <v>#N/A</v>
      </c>
      <c r="AR75" s="598" t="s">
        <v>299</v>
      </c>
      <c r="AS75" s="598" t="e">
        <f>+VLOOKUP($AJ75,Data_Validation!$A:$E,5,0)</f>
        <v>#N/A</v>
      </c>
      <c r="AT75" s="1036">
        <f t="shared" si="6"/>
        <v>0</v>
      </c>
      <c r="AU75" s="599">
        <f t="shared" si="6"/>
        <v>0</v>
      </c>
      <c r="AV75" s="1030">
        <f>IFERROR(INDEX(V75:AG75,1,MATCH(Parametres!$B$3,V$1:AG$1,0)-1)*IF(OR(C75="L",C75="S",C75="I"),-1,1),"")</f>
        <v>0</v>
      </c>
      <c r="AW75" s="1030">
        <f t="shared" si="7"/>
        <v>0</v>
      </c>
      <c r="AX75" s="1030">
        <f>INDEX(V75:AG75,1,MATCH(Parametres!$B$3,V$1:AG$1,0))*IF(OR(C75="L",C75="S",C75="I"),-1,1)</f>
        <v>0</v>
      </c>
      <c r="AY75" s="598" t="s">
        <v>337</v>
      </c>
      <c r="AZ75" s="598" t="e">
        <f>+VLOOKUP($AJ75,Data_Validation!$A:$E,5,0)</f>
        <v>#N/A</v>
      </c>
    </row>
    <row r="76" spans="36:52" ht="15" customHeight="1">
      <c r="AJ76" s="1030">
        <f t="shared" si="4"/>
        <v>0</v>
      </c>
      <c r="AK76" s="1030">
        <f t="shared" si="4"/>
        <v>0</v>
      </c>
      <c r="AL76" s="1030">
        <f>IFERROR(INDEX(G76:R76,1,MATCH(Parametres!$B$3,G$1:R$1,0)-1)*IF(OR(F76="L",F76="S",F76="I"),-1,1),"")</f>
        <v>0</v>
      </c>
      <c r="AM76" s="1030">
        <f t="shared" si="5"/>
        <v>0</v>
      </c>
      <c r="AN76" s="1030">
        <f>INDEX(G76:R76,1,MATCH(Parametres!$B$3,G$1:R$1,0))*IF(OR(F76="L",F76="S",F76="I"),-1,1)</f>
        <v>0</v>
      </c>
      <c r="AO76" s="598" t="e">
        <f>+VLOOKUP($AJ76,Data_Validation!$A:$D,1,0)</f>
        <v>#N/A</v>
      </c>
      <c r="AP76" s="598" t="e">
        <f>+VLOOKUP($AJ76,Data_Validation!$A:$D,3,0)</f>
        <v>#N/A</v>
      </c>
      <c r="AQ76" s="598" t="e">
        <f>+VLOOKUP($AJ76,Data_Validation!$A:$D,4,0)</f>
        <v>#N/A</v>
      </c>
      <c r="AR76" s="598" t="s">
        <v>299</v>
      </c>
      <c r="AS76" s="598" t="e">
        <f>+VLOOKUP($AJ76,Data_Validation!$A:$E,5,0)</f>
        <v>#N/A</v>
      </c>
      <c r="AT76" s="1036">
        <f t="shared" si="6"/>
        <v>0</v>
      </c>
      <c r="AU76" s="599">
        <f t="shared" si="6"/>
        <v>0</v>
      </c>
      <c r="AV76" s="1030">
        <f>IFERROR(INDEX(V76:AG76,1,MATCH(Parametres!$B$3,V$1:AG$1,0)-1)*IF(OR(C76="L",C76="S",C76="I"),-1,1),"")</f>
        <v>0</v>
      </c>
      <c r="AW76" s="1030">
        <f t="shared" si="7"/>
        <v>0</v>
      </c>
      <c r="AX76" s="1030">
        <f>INDEX(V76:AG76,1,MATCH(Parametres!$B$3,V$1:AG$1,0))*IF(OR(C76="L",C76="S",C76="I"),-1,1)</f>
        <v>0</v>
      </c>
      <c r="AY76" s="598" t="s">
        <v>337</v>
      </c>
      <c r="AZ76" s="598" t="e">
        <f>+VLOOKUP($AJ76,Data_Validation!$A:$E,5,0)</f>
        <v>#N/A</v>
      </c>
    </row>
    <row r="77" spans="36:52" ht="15" customHeight="1">
      <c r="AJ77" s="1030">
        <f t="shared" si="4"/>
        <v>0</v>
      </c>
      <c r="AK77" s="1030">
        <f t="shared" si="4"/>
        <v>0</v>
      </c>
      <c r="AL77" s="1030">
        <f>IFERROR(INDEX(G77:R77,1,MATCH(Parametres!$B$3,G$1:R$1,0)-1)*IF(OR(F77="L",F77="S",F77="I"),-1,1),"")</f>
        <v>0</v>
      </c>
      <c r="AM77" s="1030">
        <f t="shared" si="5"/>
        <v>0</v>
      </c>
      <c r="AN77" s="1030">
        <f>INDEX(G77:R77,1,MATCH(Parametres!$B$3,G$1:R$1,0))*IF(OR(F77="L",F77="S",F77="I"),-1,1)</f>
        <v>0</v>
      </c>
      <c r="AO77" s="598" t="e">
        <f>+VLOOKUP($AJ77,Data_Validation!$A:$D,1,0)</f>
        <v>#N/A</v>
      </c>
      <c r="AP77" s="598" t="e">
        <f>+VLOOKUP($AJ77,Data_Validation!$A:$D,3,0)</f>
        <v>#N/A</v>
      </c>
      <c r="AQ77" s="598" t="e">
        <f>+VLOOKUP($AJ77,Data_Validation!$A:$D,4,0)</f>
        <v>#N/A</v>
      </c>
      <c r="AR77" s="598" t="s">
        <v>299</v>
      </c>
      <c r="AS77" s="598" t="e">
        <f>+VLOOKUP($AJ77,Data_Validation!$A:$E,5,0)</f>
        <v>#N/A</v>
      </c>
      <c r="AT77" s="1036">
        <f t="shared" si="6"/>
        <v>0</v>
      </c>
      <c r="AU77" s="599">
        <f t="shared" si="6"/>
        <v>0</v>
      </c>
      <c r="AV77" s="1030">
        <f>IFERROR(INDEX(V77:AG77,1,MATCH(Parametres!$B$3,V$1:AG$1,0)-1)*IF(OR(C77="L",C77="S",C77="I"),-1,1),"")</f>
        <v>0</v>
      </c>
      <c r="AW77" s="1030">
        <f t="shared" si="7"/>
        <v>0</v>
      </c>
      <c r="AX77" s="1030">
        <f>INDEX(V77:AG77,1,MATCH(Parametres!$B$3,V$1:AG$1,0))*IF(OR(C77="L",C77="S",C77="I"),-1,1)</f>
        <v>0</v>
      </c>
      <c r="AY77" s="598" t="s">
        <v>337</v>
      </c>
      <c r="AZ77" s="598" t="e">
        <f>+VLOOKUP($AJ77,Data_Validation!$A:$E,5,0)</f>
        <v>#N/A</v>
      </c>
    </row>
    <row r="78" spans="36:52" ht="15" customHeight="1">
      <c r="AJ78" s="1030">
        <f t="shared" si="4"/>
        <v>0</v>
      </c>
      <c r="AK78" s="1030">
        <f t="shared" si="4"/>
        <v>0</v>
      </c>
      <c r="AL78" s="1030">
        <f>IFERROR(INDEX(G78:R78,1,MATCH(Parametres!$B$3,G$1:R$1,0)-1)*IF(OR(F78="L",F78="S",F78="I"),-1,1),"")</f>
        <v>0</v>
      </c>
      <c r="AM78" s="1030">
        <f t="shared" si="5"/>
        <v>0</v>
      </c>
      <c r="AN78" s="1030">
        <f>INDEX(G78:R78,1,MATCH(Parametres!$B$3,G$1:R$1,0))*IF(OR(F78="L",F78="S",F78="I"),-1,1)</f>
        <v>0</v>
      </c>
      <c r="AO78" s="598" t="e">
        <f>+VLOOKUP($AJ78,Data_Validation!$A:$D,1,0)</f>
        <v>#N/A</v>
      </c>
      <c r="AP78" s="598" t="e">
        <f>+VLOOKUP($AJ78,Data_Validation!$A:$D,3,0)</f>
        <v>#N/A</v>
      </c>
      <c r="AQ78" s="598" t="e">
        <f>+VLOOKUP($AJ78,Data_Validation!$A:$D,4,0)</f>
        <v>#N/A</v>
      </c>
      <c r="AR78" s="598" t="s">
        <v>299</v>
      </c>
      <c r="AS78" s="598" t="e">
        <f>+VLOOKUP($AJ78,Data_Validation!$A:$E,5,0)</f>
        <v>#N/A</v>
      </c>
      <c r="AT78" s="1036">
        <f t="shared" si="6"/>
        <v>0</v>
      </c>
      <c r="AU78" s="599">
        <f t="shared" si="6"/>
        <v>0</v>
      </c>
      <c r="AV78" s="1030">
        <f>IFERROR(INDEX(V78:AG78,1,MATCH(Parametres!$B$3,V$1:AG$1,0)-1)*IF(OR(C78="L",C78="S",C78="I"),-1,1),"")</f>
        <v>0</v>
      </c>
      <c r="AW78" s="1030">
        <f t="shared" si="7"/>
        <v>0</v>
      </c>
      <c r="AX78" s="1030">
        <f>INDEX(V78:AG78,1,MATCH(Parametres!$B$3,V$1:AG$1,0))*IF(OR(C78="L",C78="S",C78="I"),-1,1)</f>
        <v>0</v>
      </c>
      <c r="AY78" s="598" t="s">
        <v>337</v>
      </c>
      <c r="AZ78" s="598" t="e">
        <f>+VLOOKUP($AJ78,Data_Validation!$A:$E,5,0)</f>
        <v>#N/A</v>
      </c>
    </row>
    <row r="79" spans="36:52" ht="15" customHeight="1">
      <c r="AJ79" s="1030">
        <f t="shared" si="4"/>
        <v>0</v>
      </c>
      <c r="AK79" s="1030">
        <f t="shared" si="4"/>
        <v>0</v>
      </c>
      <c r="AL79" s="1030">
        <f>IFERROR(INDEX(G79:R79,1,MATCH(Parametres!$B$3,G$1:R$1,0)-1)*IF(OR(F79="L",F79="S",F79="I"),-1,1),"")</f>
        <v>0</v>
      </c>
      <c r="AM79" s="1030">
        <f t="shared" si="5"/>
        <v>0</v>
      </c>
      <c r="AN79" s="1030">
        <f>INDEX(G79:R79,1,MATCH(Parametres!$B$3,G$1:R$1,0))*IF(OR(F79="L",F79="S",F79="I"),-1,1)</f>
        <v>0</v>
      </c>
      <c r="AO79" s="598" t="e">
        <f>+VLOOKUP($AJ79,Data_Validation!$A:$D,1,0)</f>
        <v>#N/A</v>
      </c>
      <c r="AP79" s="598" t="e">
        <f>+VLOOKUP($AJ79,Data_Validation!$A:$D,3,0)</f>
        <v>#N/A</v>
      </c>
      <c r="AQ79" s="598" t="e">
        <f>+VLOOKUP($AJ79,Data_Validation!$A:$D,4,0)</f>
        <v>#N/A</v>
      </c>
      <c r="AR79" s="598" t="s">
        <v>299</v>
      </c>
      <c r="AS79" s="598" t="e">
        <f>+VLOOKUP($AJ79,Data_Validation!$A:$E,5,0)</f>
        <v>#N/A</v>
      </c>
      <c r="AT79" s="1036">
        <f t="shared" si="6"/>
        <v>0</v>
      </c>
      <c r="AU79" s="599">
        <f t="shared" si="6"/>
        <v>0</v>
      </c>
      <c r="AV79" s="1030">
        <f>IFERROR(INDEX(V79:AG79,1,MATCH(Parametres!$B$3,V$1:AG$1,0)-1)*IF(OR(C79="L",C79="S",C79="I"),-1,1),"")</f>
        <v>0</v>
      </c>
      <c r="AW79" s="1030">
        <f t="shared" si="7"/>
        <v>0</v>
      </c>
      <c r="AX79" s="1030">
        <f>INDEX(V79:AG79,1,MATCH(Parametres!$B$3,V$1:AG$1,0))*IF(OR(C79="L",C79="S",C79="I"),-1,1)</f>
        <v>0</v>
      </c>
      <c r="AY79" s="598" t="s">
        <v>337</v>
      </c>
      <c r="AZ79" s="598" t="e">
        <f>+VLOOKUP($AJ79,Data_Validation!$A:$E,5,0)</f>
        <v>#N/A</v>
      </c>
    </row>
    <row r="80" spans="36:52" ht="15.75" customHeight="1">
      <c r="AJ80" s="1030">
        <f t="shared" si="4"/>
        <v>0</v>
      </c>
      <c r="AK80" s="1030">
        <f t="shared" si="4"/>
        <v>0</v>
      </c>
      <c r="AL80" s="1030">
        <f>IFERROR(INDEX(G80:R80,1,MATCH(Parametres!$B$3,G$1:R$1,0)-1)*IF(OR(F80="L",F80="S",F80="I"),-1,1),"")</f>
        <v>0</v>
      </c>
      <c r="AM80" s="1030">
        <f t="shared" si="5"/>
        <v>0</v>
      </c>
      <c r="AN80" s="1030">
        <f>INDEX(G80:R80,1,MATCH(Parametres!$B$3,G$1:R$1,0))*IF(OR(F80="L",F80="S",F80="I"),-1,1)</f>
        <v>0</v>
      </c>
      <c r="AO80" s="598" t="e">
        <f>+VLOOKUP($AJ80,Data_Validation!$A:$D,1,0)</f>
        <v>#N/A</v>
      </c>
      <c r="AP80" s="598" t="e">
        <f>+VLOOKUP($AJ80,Data_Validation!$A:$D,3,0)</f>
        <v>#N/A</v>
      </c>
      <c r="AQ80" s="598" t="e">
        <f>+VLOOKUP($AJ80,Data_Validation!$A:$D,4,0)</f>
        <v>#N/A</v>
      </c>
      <c r="AR80" s="598" t="s">
        <v>299</v>
      </c>
      <c r="AS80" s="598" t="e">
        <f>+VLOOKUP($AJ80,Data_Validation!$A:$E,5,0)</f>
        <v>#N/A</v>
      </c>
      <c r="AT80" s="1036">
        <f t="shared" si="6"/>
        <v>0</v>
      </c>
      <c r="AU80" s="599">
        <f t="shared" si="6"/>
        <v>0</v>
      </c>
      <c r="AV80" s="1030">
        <f>IFERROR(INDEX(V80:AG80,1,MATCH(Parametres!$B$3,V$1:AG$1,0)-1)*IF(OR(C80="L",C80="S",C80="I"),-1,1),"")</f>
        <v>0</v>
      </c>
      <c r="AW80" s="1030">
        <f t="shared" si="7"/>
        <v>0</v>
      </c>
      <c r="AX80" s="1030">
        <f>INDEX(V80:AG80,1,MATCH(Parametres!$B$3,V$1:AG$1,0))*IF(OR(C80="L",C80="S",C80="I"),-1,1)</f>
        <v>0</v>
      </c>
      <c r="AY80" s="598" t="s">
        <v>337</v>
      </c>
      <c r="AZ80" s="598" t="e">
        <f>+VLOOKUP($AJ80,Data_Validation!$A:$E,5,0)</f>
        <v>#N/A</v>
      </c>
    </row>
    <row r="81" spans="36:52" ht="15" customHeight="1">
      <c r="AJ81" s="1030">
        <f t="shared" si="4"/>
        <v>0</v>
      </c>
      <c r="AK81" s="1030">
        <f t="shared" si="4"/>
        <v>0</v>
      </c>
      <c r="AL81" s="1030">
        <f>IFERROR(INDEX(G81:R81,1,MATCH(Parametres!$B$3,G$1:R$1,0)-1)*IF(OR(F81="L",F81="S",F81="I"),-1,1),"")</f>
        <v>0</v>
      </c>
      <c r="AM81" s="1030">
        <f t="shared" si="5"/>
        <v>0</v>
      </c>
      <c r="AN81" s="1030">
        <f>INDEX(G81:R81,1,MATCH(Parametres!$B$3,G$1:R$1,0))*IF(OR(F81="L",F81="S",F81="I"),-1,1)</f>
        <v>0</v>
      </c>
      <c r="AO81" s="598" t="e">
        <f>+VLOOKUP($AJ81,Data_Validation!$A:$D,1,0)</f>
        <v>#N/A</v>
      </c>
      <c r="AP81" s="598" t="e">
        <f>+VLOOKUP($AJ81,Data_Validation!$A:$D,3,0)</f>
        <v>#N/A</v>
      </c>
      <c r="AQ81" s="598" t="e">
        <f>+VLOOKUP($AJ81,Data_Validation!$A:$D,4,0)</f>
        <v>#N/A</v>
      </c>
      <c r="AR81" s="598" t="s">
        <v>299</v>
      </c>
      <c r="AS81" s="598" t="e">
        <f>+VLOOKUP($AJ81,Data_Validation!$A:$E,5,0)</f>
        <v>#N/A</v>
      </c>
      <c r="AT81" s="1036">
        <f t="shared" si="6"/>
        <v>0</v>
      </c>
      <c r="AU81" s="599">
        <f t="shared" si="6"/>
        <v>0</v>
      </c>
      <c r="AV81" s="1030">
        <f>IFERROR(INDEX(V81:AG81,1,MATCH(Parametres!$B$3,V$1:AG$1,0)-1)*IF(OR(C81="L",C81="S",C81="I"),-1,1),"")</f>
        <v>0</v>
      </c>
      <c r="AW81" s="1030">
        <f t="shared" si="7"/>
        <v>0</v>
      </c>
      <c r="AX81" s="1030">
        <f>INDEX(V81:AG81,1,MATCH(Parametres!$B$3,V$1:AG$1,0))*IF(OR(C81="L",C81="S",C81="I"),-1,1)</f>
        <v>0</v>
      </c>
      <c r="AY81" s="598" t="s">
        <v>337</v>
      </c>
      <c r="AZ81" s="598" t="e">
        <f>+VLOOKUP($AJ81,Data_Validation!$A:$E,5,0)</f>
        <v>#N/A</v>
      </c>
    </row>
    <row r="82" spans="36:52" ht="15" customHeight="1">
      <c r="AJ82" s="1030">
        <f t="shared" si="4"/>
        <v>0</v>
      </c>
      <c r="AK82" s="1030">
        <f t="shared" si="4"/>
        <v>0</v>
      </c>
      <c r="AL82" s="1030">
        <f>IFERROR(INDEX(G82:R82,1,MATCH(Parametres!$B$3,G$1:R$1,0)-1)*IF(OR(F82="L",F82="S",F82="I"),-1,1),"")</f>
        <v>0</v>
      </c>
      <c r="AM82" s="1030">
        <f t="shared" si="5"/>
        <v>0</v>
      </c>
      <c r="AN82" s="1030">
        <f>INDEX(G82:R82,1,MATCH(Parametres!$B$3,G$1:R$1,0))*IF(OR(F82="L",F82="S",F82="I"),-1,1)</f>
        <v>0</v>
      </c>
      <c r="AO82" s="598" t="e">
        <f>+VLOOKUP($AJ82,Data_Validation!$A:$D,1,0)</f>
        <v>#N/A</v>
      </c>
      <c r="AP82" s="598" t="e">
        <f>+VLOOKUP($AJ82,Data_Validation!$A:$D,3,0)</f>
        <v>#N/A</v>
      </c>
      <c r="AQ82" s="598" t="e">
        <f>+VLOOKUP($AJ82,Data_Validation!$A:$D,4,0)</f>
        <v>#N/A</v>
      </c>
      <c r="AR82" s="598" t="s">
        <v>299</v>
      </c>
      <c r="AS82" s="598" t="e">
        <f>+VLOOKUP($AJ82,Data_Validation!$A:$E,5,0)</f>
        <v>#N/A</v>
      </c>
      <c r="AT82" s="1036">
        <f t="shared" si="6"/>
        <v>0</v>
      </c>
      <c r="AU82" s="599">
        <f t="shared" si="6"/>
        <v>0</v>
      </c>
      <c r="AV82" s="1030">
        <f>IFERROR(INDEX(V82:AG82,1,MATCH(Parametres!$B$3,V$1:AG$1,0)-1)*IF(OR(C82="L",C82="S",C82="I"),-1,1),"")</f>
        <v>0</v>
      </c>
      <c r="AW82" s="1030">
        <f t="shared" si="7"/>
        <v>0</v>
      </c>
      <c r="AX82" s="1030">
        <f>INDEX(V82:AG82,1,MATCH(Parametres!$B$3,V$1:AG$1,0))*IF(OR(C82="L",C82="S",C82="I"),-1,1)</f>
        <v>0</v>
      </c>
      <c r="AY82" s="598" t="s">
        <v>337</v>
      </c>
      <c r="AZ82" s="598" t="e">
        <f>+VLOOKUP($AJ82,Data_Validation!$A:$E,5,0)</f>
        <v>#N/A</v>
      </c>
    </row>
    <row r="83" spans="36:52" ht="15" customHeight="1">
      <c r="AJ83" s="1030">
        <f t="shared" si="4"/>
        <v>0</v>
      </c>
      <c r="AK83" s="1030">
        <f t="shared" si="4"/>
        <v>0</v>
      </c>
      <c r="AL83" s="1030">
        <f>IFERROR(INDEX(G83:R83,1,MATCH(Parametres!$B$3,G$1:R$1,0)-1)*IF(OR(F83="L",F83="S",F83="I"),-1,1),"")</f>
        <v>0</v>
      </c>
      <c r="AM83" s="1030">
        <f t="shared" si="5"/>
        <v>0</v>
      </c>
      <c r="AN83" s="1030">
        <f>INDEX(G83:R83,1,MATCH(Parametres!$B$3,G$1:R$1,0))*IF(OR(F83="L",F83="S",F83="I"),-1,1)</f>
        <v>0</v>
      </c>
      <c r="AO83" s="598" t="e">
        <f>+VLOOKUP($AJ83,Data_Validation!$A:$D,1,0)</f>
        <v>#N/A</v>
      </c>
      <c r="AP83" s="598" t="e">
        <f>+VLOOKUP($AJ83,Data_Validation!$A:$D,3,0)</f>
        <v>#N/A</v>
      </c>
      <c r="AQ83" s="598" t="e">
        <f>+VLOOKUP($AJ83,Data_Validation!$A:$D,4,0)</f>
        <v>#N/A</v>
      </c>
      <c r="AR83" s="598" t="s">
        <v>299</v>
      </c>
      <c r="AS83" s="598" t="e">
        <f>+VLOOKUP($AJ83,Data_Validation!$A:$E,5,0)</f>
        <v>#N/A</v>
      </c>
      <c r="AT83" s="1036">
        <f t="shared" si="6"/>
        <v>0</v>
      </c>
      <c r="AU83" s="599">
        <f t="shared" si="6"/>
        <v>0</v>
      </c>
      <c r="AV83" s="1030">
        <f>IFERROR(INDEX(V83:AG83,1,MATCH(Parametres!$B$3,V$1:AG$1,0)-1)*IF(OR(C83="L",C83="S",C83="I"),-1,1),"")</f>
        <v>0</v>
      </c>
      <c r="AW83" s="1030">
        <f t="shared" si="7"/>
        <v>0</v>
      </c>
      <c r="AX83" s="1030">
        <f>INDEX(V83:AG83,1,MATCH(Parametres!$B$3,V$1:AG$1,0))*IF(OR(C83="L",C83="S",C83="I"),-1,1)</f>
        <v>0</v>
      </c>
      <c r="AY83" s="598" t="s">
        <v>337</v>
      </c>
      <c r="AZ83" s="598" t="e">
        <f>+VLOOKUP($AJ83,Data_Validation!$A:$E,5,0)</f>
        <v>#N/A</v>
      </c>
    </row>
    <row r="84" spans="36:52" ht="15.75" customHeight="1">
      <c r="AJ84" s="1030">
        <f t="shared" si="4"/>
        <v>0</v>
      </c>
      <c r="AK84" s="1030">
        <f t="shared" si="4"/>
        <v>0</v>
      </c>
      <c r="AL84" s="1030">
        <f>IFERROR(INDEX(G84:R84,1,MATCH(Parametres!$B$3,G$1:R$1,0)-1)*IF(OR(F84="L",F84="S",F84="I"),-1,1),"")</f>
        <v>0</v>
      </c>
      <c r="AM84" s="1030">
        <f t="shared" si="5"/>
        <v>0</v>
      </c>
      <c r="AN84" s="1030">
        <f>INDEX(G84:R84,1,MATCH(Parametres!$B$3,G$1:R$1,0))*IF(OR(F84="L",F84="S",F84="I"),-1,1)</f>
        <v>0</v>
      </c>
      <c r="AO84" s="598" t="e">
        <f>+VLOOKUP($AJ84,Data_Validation!$A:$D,1,0)</f>
        <v>#N/A</v>
      </c>
      <c r="AP84" s="598" t="e">
        <f>+VLOOKUP($AJ84,Data_Validation!$A:$D,3,0)</f>
        <v>#N/A</v>
      </c>
      <c r="AQ84" s="598" t="e">
        <f>+VLOOKUP($AJ84,Data_Validation!$A:$D,4,0)</f>
        <v>#N/A</v>
      </c>
      <c r="AR84" s="598" t="s">
        <v>299</v>
      </c>
      <c r="AS84" s="598" t="e">
        <f>+VLOOKUP($AJ84,Data_Validation!$A:$E,5,0)</f>
        <v>#N/A</v>
      </c>
      <c r="AT84" s="1036">
        <f t="shared" si="6"/>
        <v>0</v>
      </c>
      <c r="AU84" s="599">
        <f t="shared" si="6"/>
        <v>0</v>
      </c>
      <c r="AV84" s="1030">
        <f>IFERROR(INDEX(V84:AG84,1,MATCH(Parametres!$B$3,V$1:AG$1,0)-1)*IF(OR(C84="L",C84="S",C84="I"),-1,1),"")</f>
        <v>0</v>
      </c>
      <c r="AW84" s="1030">
        <f t="shared" si="7"/>
        <v>0</v>
      </c>
      <c r="AX84" s="1030">
        <f>INDEX(V84:AG84,1,MATCH(Parametres!$B$3,V$1:AG$1,0))*IF(OR(C84="L",C84="S",C84="I"),-1,1)</f>
        <v>0</v>
      </c>
      <c r="AY84" s="598" t="s">
        <v>337</v>
      </c>
      <c r="AZ84" s="598" t="e">
        <f>+VLOOKUP($AJ84,Data_Validation!$A:$E,5,0)</f>
        <v>#N/A</v>
      </c>
    </row>
    <row r="85" spans="36:52" ht="15" customHeight="1">
      <c r="AJ85" s="1030">
        <f t="shared" si="4"/>
        <v>0</v>
      </c>
      <c r="AK85" s="1030">
        <f t="shared" si="4"/>
        <v>0</v>
      </c>
      <c r="AL85" s="1030">
        <f>IFERROR(INDEX(G85:R85,1,MATCH(Parametres!$B$3,G$1:R$1,0)-1)*IF(OR(F85="L",F85="S",F85="I"),-1,1),"")</f>
        <v>0</v>
      </c>
      <c r="AM85" s="1030">
        <f t="shared" si="5"/>
        <v>0</v>
      </c>
      <c r="AN85" s="1030">
        <f>INDEX(G85:R85,1,MATCH(Parametres!$B$3,G$1:R$1,0))*IF(OR(F85="L",F85="S",F85="I"),-1,1)</f>
        <v>0</v>
      </c>
      <c r="AO85" s="598" t="e">
        <f>+VLOOKUP($AJ85,Data_Validation!$A:$D,1,0)</f>
        <v>#N/A</v>
      </c>
      <c r="AP85" s="598" t="e">
        <f>+VLOOKUP($AJ85,Data_Validation!$A:$D,3,0)</f>
        <v>#N/A</v>
      </c>
      <c r="AQ85" s="598" t="e">
        <f>+VLOOKUP($AJ85,Data_Validation!$A:$D,4,0)</f>
        <v>#N/A</v>
      </c>
      <c r="AR85" s="598" t="s">
        <v>299</v>
      </c>
      <c r="AS85" s="598" t="e">
        <f>+VLOOKUP($AJ85,Data_Validation!$A:$E,5,0)</f>
        <v>#N/A</v>
      </c>
      <c r="AT85" s="1036">
        <f t="shared" si="6"/>
        <v>0</v>
      </c>
      <c r="AU85" s="599">
        <f t="shared" si="6"/>
        <v>0</v>
      </c>
      <c r="AV85" s="1030">
        <f>IFERROR(INDEX(V85:AG85,1,MATCH(Parametres!$B$3,V$1:AG$1,0)-1)*IF(OR(C85="L",C85="S",C85="I"),-1,1),"")</f>
        <v>0</v>
      </c>
      <c r="AW85" s="1030">
        <f t="shared" si="7"/>
        <v>0</v>
      </c>
      <c r="AX85" s="1030">
        <f>INDEX(V85:AG85,1,MATCH(Parametres!$B$3,V$1:AG$1,0))*IF(OR(C85="L",C85="S",C85="I"),-1,1)</f>
        <v>0</v>
      </c>
      <c r="AY85" s="598" t="s">
        <v>337</v>
      </c>
      <c r="AZ85" s="598" t="e">
        <f>+VLOOKUP($AJ85,Data_Validation!$A:$E,5,0)</f>
        <v>#N/A</v>
      </c>
    </row>
    <row r="86" spans="36:52" ht="15" customHeight="1">
      <c r="AJ86" s="1030">
        <f t="shared" si="4"/>
        <v>0</v>
      </c>
      <c r="AK86" s="1030">
        <f t="shared" si="4"/>
        <v>0</v>
      </c>
      <c r="AL86" s="1030">
        <f>IFERROR(INDEX(G86:R86,1,MATCH(Parametres!$B$3,G$1:R$1,0)-1)*IF(OR(F86="L",F86="S",F86="I"),-1,1),"")</f>
        <v>0</v>
      </c>
      <c r="AM86" s="1030">
        <f t="shared" si="5"/>
        <v>0</v>
      </c>
      <c r="AN86" s="1030">
        <f>INDEX(G86:R86,1,MATCH(Parametres!$B$3,G$1:R$1,0))*IF(OR(F86="L",F86="S",F86="I"),-1,1)</f>
        <v>0</v>
      </c>
      <c r="AO86" s="598" t="e">
        <f>+VLOOKUP($AJ86,Data_Validation!$A:$D,1,0)</f>
        <v>#N/A</v>
      </c>
      <c r="AP86" s="598" t="e">
        <f>+VLOOKUP($AJ86,Data_Validation!$A:$D,3,0)</f>
        <v>#N/A</v>
      </c>
      <c r="AQ86" s="598" t="e">
        <f>+VLOOKUP($AJ86,Data_Validation!$A:$D,4,0)</f>
        <v>#N/A</v>
      </c>
      <c r="AR86" s="598" t="s">
        <v>299</v>
      </c>
      <c r="AS86" s="598" t="e">
        <f>+VLOOKUP($AJ86,Data_Validation!$A:$E,5,0)</f>
        <v>#N/A</v>
      </c>
      <c r="AT86" s="1036">
        <f t="shared" si="6"/>
        <v>0</v>
      </c>
      <c r="AU86" s="599">
        <f t="shared" si="6"/>
        <v>0</v>
      </c>
      <c r="AV86" s="1030">
        <f>IFERROR(INDEX(V86:AG86,1,MATCH(Parametres!$B$3,V$1:AG$1,0)-1)*IF(OR(C86="L",C86="S",C86="I"),-1,1),"")</f>
        <v>0</v>
      </c>
      <c r="AW86" s="1030">
        <f t="shared" si="7"/>
        <v>0</v>
      </c>
      <c r="AX86" s="1030">
        <f>INDEX(V86:AG86,1,MATCH(Parametres!$B$3,V$1:AG$1,0))*IF(OR(C86="L",C86="S",C86="I"),-1,1)</f>
        <v>0</v>
      </c>
      <c r="AY86" s="598" t="s">
        <v>337</v>
      </c>
      <c r="AZ86" s="598" t="e">
        <f>+VLOOKUP($AJ86,Data_Validation!$A:$E,5,0)</f>
        <v>#N/A</v>
      </c>
    </row>
    <row r="87" spans="36:52" ht="15" customHeight="1">
      <c r="AJ87" s="1030">
        <f t="shared" si="4"/>
        <v>0</v>
      </c>
      <c r="AK87" s="1030">
        <f t="shared" si="4"/>
        <v>0</v>
      </c>
      <c r="AL87" s="1030">
        <f>IFERROR(INDEX(G87:R87,1,MATCH(Parametres!$B$3,G$1:R$1,0)-1)*IF(OR(F87="L",F87="S",F87="I"),-1,1),"")</f>
        <v>0</v>
      </c>
      <c r="AM87" s="1030">
        <f t="shared" si="5"/>
        <v>0</v>
      </c>
      <c r="AN87" s="1030">
        <f>INDEX(G87:R87,1,MATCH(Parametres!$B$3,G$1:R$1,0))*IF(OR(F87="L",F87="S",F87="I"),-1,1)</f>
        <v>0</v>
      </c>
      <c r="AO87" s="598" t="e">
        <f>+VLOOKUP($AJ87,Data_Validation!$A:$D,1,0)</f>
        <v>#N/A</v>
      </c>
      <c r="AP87" s="598" t="e">
        <f>+VLOOKUP($AJ87,Data_Validation!$A:$D,3,0)</f>
        <v>#N/A</v>
      </c>
      <c r="AQ87" s="598" t="e">
        <f>+VLOOKUP($AJ87,Data_Validation!$A:$D,4,0)</f>
        <v>#N/A</v>
      </c>
      <c r="AR87" s="598" t="s">
        <v>299</v>
      </c>
      <c r="AS87" s="598" t="e">
        <f>+VLOOKUP($AJ87,Data_Validation!$A:$E,5,0)</f>
        <v>#N/A</v>
      </c>
      <c r="AT87" s="1036">
        <f t="shared" si="6"/>
        <v>0</v>
      </c>
      <c r="AU87" s="599">
        <f t="shared" si="6"/>
        <v>0</v>
      </c>
      <c r="AV87" s="1030">
        <f>IFERROR(INDEX(V87:AG87,1,MATCH(Parametres!$B$3,V$1:AG$1,0)-1)*IF(OR(C87="L",C87="S",C87="I"),-1,1),"")</f>
        <v>0</v>
      </c>
      <c r="AW87" s="1030">
        <f t="shared" si="7"/>
        <v>0</v>
      </c>
      <c r="AX87" s="1030">
        <f>INDEX(V87:AG87,1,MATCH(Parametres!$B$3,V$1:AG$1,0))*IF(OR(C87="L",C87="S",C87="I"),-1,1)</f>
        <v>0</v>
      </c>
      <c r="AY87" s="598" t="s">
        <v>337</v>
      </c>
      <c r="AZ87" s="598" t="e">
        <f>+VLOOKUP($AJ87,Data_Validation!$A:$E,5,0)</f>
        <v>#N/A</v>
      </c>
    </row>
    <row r="88" spans="36:52" ht="15" customHeight="1">
      <c r="AJ88" s="1030">
        <f t="shared" si="4"/>
        <v>0</v>
      </c>
      <c r="AK88" s="1030">
        <f t="shared" si="4"/>
        <v>0</v>
      </c>
      <c r="AL88" s="1030">
        <f>IFERROR(INDEX(G88:R88,1,MATCH(Parametres!$B$3,G$1:R$1,0)-1)*IF(OR(F88="L",F88="S",F88="I"),-1,1),"")</f>
        <v>0</v>
      </c>
      <c r="AM88" s="1030">
        <f t="shared" si="5"/>
        <v>0</v>
      </c>
      <c r="AN88" s="1030">
        <f>INDEX(G88:R88,1,MATCH(Parametres!$B$3,G$1:R$1,0))*IF(OR(F88="L",F88="S",F88="I"),-1,1)</f>
        <v>0</v>
      </c>
      <c r="AO88" s="598" t="e">
        <f>+VLOOKUP($AJ88,Data_Validation!$A:$D,1,0)</f>
        <v>#N/A</v>
      </c>
      <c r="AP88" s="598" t="e">
        <f>+VLOOKUP($AJ88,Data_Validation!$A:$D,3,0)</f>
        <v>#N/A</v>
      </c>
      <c r="AQ88" s="598" t="e">
        <f>+VLOOKUP($AJ88,Data_Validation!$A:$D,4,0)</f>
        <v>#N/A</v>
      </c>
      <c r="AR88" s="598" t="s">
        <v>299</v>
      </c>
      <c r="AS88" s="598" t="e">
        <f>+VLOOKUP($AJ88,Data_Validation!$A:$E,5,0)</f>
        <v>#N/A</v>
      </c>
      <c r="AT88" s="1036">
        <f t="shared" si="6"/>
        <v>0</v>
      </c>
      <c r="AU88" s="599">
        <f t="shared" si="6"/>
        <v>0</v>
      </c>
      <c r="AV88" s="1030">
        <f>IFERROR(INDEX(V88:AG88,1,MATCH(Parametres!$B$3,V$1:AG$1,0)-1)*IF(OR(C88="L",C88="S",C88="I"),-1,1),"")</f>
        <v>0</v>
      </c>
      <c r="AW88" s="1030">
        <f t="shared" si="7"/>
        <v>0</v>
      </c>
      <c r="AX88" s="1030">
        <f>INDEX(V88:AG88,1,MATCH(Parametres!$B$3,V$1:AG$1,0))*IF(OR(C88="L",C88="S",C88="I"),-1,1)</f>
        <v>0</v>
      </c>
      <c r="AY88" s="598" t="s">
        <v>337</v>
      </c>
      <c r="AZ88" s="598" t="e">
        <f>+VLOOKUP($AJ88,Data_Validation!$A:$E,5,0)</f>
        <v>#N/A</v>
      </c>
    </row>
    <row r="89" spans="36:52" ht="15" customHeight="1">
      <c r="AJ89" s="1030">
        <f t="shared" si="4"/>
        <v>0</v>
      </c>
      <c r="AK89" s="1030">
        <f t="shared" si="4"/>
        <v>0</v>
      </c>
      <c r="AL89" s="1030">
        <f>IFERROR(INDEX(G89:R89,1,MATCH(Parametres!$B$3,G$1:R$1,0)-1)*IF(OR(F89="L",F89="S",F89="I"),-1,1),"")</f>
        <v>0</v>
      </c>
      <c r="AM89" s="1030">
        <f t="shared" si="5"/>
        <v>0</v>
      </c>
      <c r="AN89" s="1030">
        <f>INDEX(G89:R89,1,MATCH(Parametres!$B$3,G$1:R$1,0))*IF(OR(F89="L",F89="S",F89="I"),-1,1)</f>
        <v>0</v>
      </c>
      <c r="AO89" s="598" t="e">
        <f>+VLOOKUP($AJ89,Data_Validation!$A:$D,1,0)</f>
        <v>#N/A</v>
      </c>
      <c r="AP89" s="598" t="e">
        <f>+VLOOKUP($AJ89,Data_Validation!$A:$D,3,0)</f>
        <v>#N/A</v>
      </c>
      <c r="AQ89" s="598" t="e">
        <f>+VLOOKUP($AJ89,Data_Validation!$A:$D,4,0)</f>
        <v>#N/A</v>
      </c>
      <c r="AR89" s="598" t="s">
        <v>299</v>
      </c>
      <c r="AS89" s="598" t="e">
        <f>+VLOOKUP($AJ89,Data_Validation!$A:$E,5,0)</f>
        <v>#N/A</v>
      </c>
      <c r="AT89" s="1036">
        <f t="shared" si="6"/>
        <v>0</v>
      </c>
      <c r="AU89" s="599">
        <f t="shared" si="6"/>
        <v>0</v>
      </c>
      <c r="AV89" s="1030">
        <f>IFERROR(INDEX(V89:AG89,1,MATCH(Parametres!$B$3,V$1:AG$1,0)-1)*IF(OR(C89="L",C89="S",C89="I"),-1,1),"")</f>
        <v>0</v>
      </c>
      <c r="AW89" s="1030">
        <f t="shared" si="7"/>
        <v>0</v>
      </c>
      <c r="AX89" s="1030">
        <f>INDEX(V89:AG89,1,MATCH(Parametres!$B$3,V$1:AG$1,0))*IF(OR(C89="L",C89="S",C89="I"),-1,1)</f>
        <v>0</v>
      </c>
      <c r="AY89" s="598" t="s">
        <v>337</v>
      </c>
      <c r="AZ89" s="598" t="e">
        <f>+VLOOKUP($AJ89,Data_Validation!$A:$E,5,0)</f>
        <v>#N/A</v>
      </c>
    </row>
    <row r="90" spans="36:52" ht="15" customHeight="1">
      <c r="AJ90" s="1030">
        <f t="shared" si="4"/>
        <v>0</v>
      </c>
      <c r="AK90" s="1030">
        <f t="shared" si="4"/>
        <v>0</v>
      </c>
      <c r="AL90" s="1030">
        <f>IFERROR(INDEX(G90:R90,1,MATCH(Parametres!$B$3,G$1:R$1,0)-1)*IF(OR(F90="L",F90="S",F90="I"),-1,1),"")</f>
        <v>0</v>
      </c>
      <c r="AM90" s="1030">
        <f t="shared" si="5"/>
        <v>0</v>
      </c>
      <c r="AN90" s="1030">
        <f>INDEX(G90:R90,1,MATCH(Parametres!$B$3,G$1:R$1,0))*IF(OR(F90="L",F90="S",F90="I"),-1,1)</f>
        <v>0</v>
      </c>
      <c r="AO90" s="598" t="e">
        <f>+VLOOKUP($AJ90,Data_Validation!$A:$D,1,0)</f>
        <v>#N/A</v>
      </c>
      <c r="AP90" s="598" t="e">
        <f>+VLOOKUP($AJ90,Data_Validation!$A:$D,3,0)</f>
        <v>#N/A</v>
      </c>
      <c r="AQ90" s="598" t="e">
        <f>+VLOOKUP($AJ90,Data_Validation!$A:$D,4,0)</f>
        <v>#N/A</v>
      </c>
      <c r="AR90" s="598" t="s">
        <v>299</v>
      </c>
      <c r="AS90" s="598" t="e">
        <f>+VLOOKUP($AJ90,Data_Validation!$A:$E,5,0)</f>
        <v>#N/A</v>
      </c>
      <c r="AT90" s="1036">
        <f t="shared" si="6"/>
        <v>0</v>
      </c>
      <c r="AU90" s="599">
        <f t="shared" si="6"/>
        <v>0</v>
      </c>
      <c r="AV90" s="1030">
        <f>IFERROR(INDEX(V90:AG90,1,MATCH(Parametres!$B$3,V$1:AG$1,0)-1)*IF(OR(C90="L",C90="S",C90="I"),-1,1),"")</f>
        <v>0</v>
      </c>
      <c r="AW90" s="1030">
        <f t="shared" si="7"/>
        <v>0</v>
      </c>
      <c r="AX90" s="1030">
        <f>INDEX(V90:AG90,1,MATCH(Parametres!$B$3,V$1:AG$1,0))*IF(OR(C90="L",C90="S",C90="I"),-1,1)</f>
        <v>0</v>
      </c>
      <c r="AY90" s="598" t="s">
        <v>337</v>
      </c>
      <c r="AZ90" s="598" t="e">
        <f>+VLOOKUP($AJ90,Data_Validation!$A:$E,5,0)</f>
        <v>#N/A</v>
      </c>
    </row>
    <row r="91" spans="36:52" ht="15" customHeight="1">
      <c r="AJ91" s="1030">
        <f t="shared" si="4"/>
        <v>0</v>
      </c>
      <c r="AK91" s="1030">
        <f t="shared" si="4"/>
        <v>0</v>
      </c>
      <c r="AL91" s="1030">
        <f>IFERROR(INDEX(G91:R91,1,MATCH(Parametres!$B$3,G$1:R$1,0)-1)*IF(OR(F91="L",F91="S",F91="I"),-1,1),"")</f>
        <v>0</v>
      </c>
      <c r="AM91" s="1030">
        <f t="shared" si="5"/>
        <v>0</v>
      </c>
      <c r="AN91" s="1030">
        <f>INDEX(G91:R91,1,MATCH(Parametres!$B$3,G$1:R$1,0))*IF(OR(F91="L",F91="S",F91="I"),-1,1)</f>
        <v>0</v>
      </c>
      <c r="AO91" s="598" t="e">
        <f>+VLOOKUP($AJ91,Data_Validation!$A:$D,1,0)</f>
        <v>#N/A</v>
      </c>
      <c r="AP91" s="598" t="e">
        <f>+VLOOKUP($AJ91,Data_Validation!$A:$D,3,0)</f>
        <v>#N/A</v>
      </c>
      <c r="AQ91" s="598" t="e">
        <f>+VLOOKUP($AJ91,Data_Validation!$A:$D,4,0)</f>
        <v>#N/A</v>
      </c>
      <c r="AR91" s="598" t="s">
        <v>299</v>
      </c>
      <c r="AS91" s="598" t="e">
        <f>+VLOOKUP($AJ91,Data_Validation!$A:$E,5,0)</f>
        <v>#N/A</v>
      </c>
      <c r="AT91" s="1036">
        <f t="shared" si="6"/>
        <v>0</v>
      </c>
      <c r="AU91" s="599">
        <f t="shared" si="6"/>
        <v>0</v>
      </c>
      <c r="AV91" s="1030">
        <f>IFERROR(INDEX(V91:AG91,1,MATCH(Parametres!$B$3,V$1:AG$1,0)-1)*IF(OR(C91="L",C91="S",C91="I"),-1,1),"")</f>
        <v>0</v>
      </c>
      <c r="AW91" s="1030">
        <f t="shared" si="7"/>
        <v>0</v>
      </c>
      <c r="AX91" s="1030">
        <f>INDEX(V91:AG91,1,MATCH(Parametres!$B$3,V$1:AG$1,0))*IF(OR(C91="L",C91="S",C91="I"),-1,1)</f>
        <v>0</v>
      </c>
      <c r="AY91" s="598" t="s">
        <v>337</v>
      </c>
      <c r="AZ91" s="598" t="e">
        <f>+VLOOKUP($AJ91,Data_Validation!$A:$E,5,0)</f>
        <v>#N/A</v>
      </c>
    </row>
    <row r="92" spans="36:52" ht="15" customHeight="1">
      <c r="AJ92" s="1030">
        <f t="shared" si="4"/>
        <v>0</v>
      </c>
      <c r="AK92" s="1030">
        <f t="shared" si="4"/>
        <v>0</v>
      </c>
      <c r="AL92" s="1030">
        <f>IFERROR(INDEX(G92:R92,1,MATCH(Parametres!$B$3,G$1:R$1,0)-1)*IF(OR(F92="L",F92="S",F92="I"),-1,1),"")</f>
        <v>0</v>
      </c>
      <c r="AM92" s="1030">
        <f t="shared" si="5"/>
        <v>0</v>
      </c>
      <c r="AN92" s="1030">
        <f>INDEX(G92:R92,1,MATCH(Parametres!$B$3,G$1:R$1,0))*IF(OR(F92="L",F92="S",F92="I"),-1,1)</f>
        <v>0</v>
      </c>
      <c r="AO92" s="598" t="e">
        <f>+VLOOKUP($AJ92,Data_Validation!$A:$D,1,0)</f>
        <v>#N/A</v>
      </c>
      <c r="AP92" s="598" t="e">
        <f>+VLOOKUP($AJ92,Data_Validation!$A:$D,3,0)</f>
        <v>#N/A</v>
      </c>
      <c r="AQ92" s="598" t="e">
        <f>+VLOOKUP($AJ92,Data_Validation!$A:$D,4,0)</f>
        <v>#N/A</v>
      </c>
      <c r="AR92" s="598" t="s">
        <v>299</v>
      </c>
      <c r="AS92" s="598" t="e">
        <f>+VLOOKUP($AJ92,Data_Validation!$A:$E,5,0)</f>
        <v>#N/A</v>
      </c>
      <c r="AT92" s="1036">
        <f t="shared" si="6"/>
        <v>0</v>
      </c>
      <c r="AU92" s="599">
        <f t="shared" si="6"/>
        <v>0</v>
      </c>
      <c r="AV92" s="1030">
        <f>IFERROR(INDEX(V92:AG92,1,MATCH(Parametres!$B$3,V$1:AG$1,0)-1)*IF(OR(C92="L",C92="S",C92="I"),-1,1),"")</f>
        <v>0</v>
      </c>
      <c r="AW92" s="1030">
        <f t="shared" si="7"/>
        <v>0</v>
      </c>
      <c r="AX92" s="1030">
        <f>INDEX(V92:AG92,1,MATCH(Parametres!$B$3,V$1:AG$1,0))*IF(OR(C92="L",C92="S",C92="I"),-1,1)</f>
        <v>0</v>
      </c>
      <c r="AY92" s="598" t="s">
        <v>337</v>
      </c>
      <c r="AZ92" s="598" t="e">
        <f>+VLOOKUP($AJ92,Data_Validation!$A:$E,5,0)</f>
        <v>#N/A</v>
      </c>
    </row>
    <row r="93" spans="36:52" ht="15" customHeight="1">
      <c r="AJ93" s="1030">
        <f t="shared" si="4"/>
        <v>0</v>
      </c>
      <c r="AK93" s="1030">
        <f t="shared" si="4"/>
        <v>0</v>
      </c>
      <c r="AL93" s="1030">
        <f>IFERROR(INDEX(G93:R93,1,MATCH(Parametres!$B$3,G$1:R$1,0)-1)*IF(OR(F93="L",F93="S",F93="I"),-1,1),"")</f>
        <v>0</v>
      </c>
      <c r="AM93" s="1030">
        <f t="shared" si="5"/>
        <v>0</v>
      </c>
      <c r="AN93" s="1030">
        <f>INDEX(G93:R93,1,MATCH(Parametres!$B$3,G$1:R$1,0))*IF(OR(F93="L",F93="S",F93="I"),-1,1)</f>
        <v>0</v>
      </c>
      <c r="AO93" s="598" t="e">
        <f>+VLOOKUP($AJ93,Data_Validation!$A:$D,1,0)</f>
        <v>#N/A</v>
      </c>
      <c r="AP93" s="598" t="e">
        <f>+VLOOKUP($AJ93,Data_Validation!$A:$D,3,0)</f>
        <v>#N/A</v>
      </c>
      <c r="AQ93" s="598" t="e">
        <f>+VLOOKUP($AJ93,Data_Validation!$A:$D,4,0)</f>
        <v>#N/A</v>
      </c>
      <c r="AR93" s="598" t="s">
        <v>299</v>
      </c>
      <c r="AS93" s="598" t="e">
        <f>+VLOOKUP($AJ93,Data_Validation!$A:$E,5,0)</f>
        <v>#N/A</v>
      </c>
      <c r="AT93" s="1036">
        <f t="shared" si="6"/>
        <v>0</v>
      </c>
      <c r="AU93" s="599">
        <f t="shared" si="6"/>
        <v>0</v>
      </c>
      <c r="AV93" s="1030">
        <f>IFERROR(INDEX(V93:AG93,1,MATCH(Parametres!$B$3,V$1:AG$1,0)-1)*IF(OR(C93="L",C93="S",C93="I"),-1,1),"")</f>
        <v>0</v>
      </c>
      <c r="AW93" s="1030">
        <f t="shared" si="7"/>
        <v>0</v>
      </c>
      <c r="AX93" s="1030">
        <f>INDEX(V93:AG93,1,MATCH(Parametres!$B$3,V$1:AG$1,0))*IF(OR(C93="L",C93="S",C93="I"),-1,1)</f>
        <v>0</v>
      </c>
      <c r="AY93" s="598" t="s">
        <v>337</v>
      </c>
      <c r="AZ93" s="598" t="e">
        <f>+VLOOKUP($AJ93,Data_Validation!$A:$E,5,0)</f>
        <v>#N/A</v>
      </c>
    </row>
    <row r="94" spans="36:52" ht="15.75" customHeight="1">
      <c r="AJ94" s="1030">
        <f t="shared" si="4"/>
        <v>0</v>
      </c>
      <c r="AK94" s="1030">
        <f t="shared" si="4"/>
        <v>0</v>
      </c>
      <c r="AL94" s="1030">
        <f>IFERROR(INDEX(G94:R94,1,MATCH(Parametres!$B$3,G$1:R$1,0)-1)*IF(OR(F94="L",F94="S",F94="I"),-1,1),"")</f>
        <v>0</v>
      </c>
      <c r="AM94" s="1030">
        <f t="shared" si="5"/>
        <v>0</v>
      </c>
      <c r="AN94" s="1030">
        <f>INDEX(G94:R94,1,MATCH(Parametres!$B$3,G$1:R$1,0))*IF(OR(F94="L",F94="S",F94="I"),-1,1)</f>
        <v>0</v>
      </c>
      <c r="AO94" s="598" t="e">
        <f>+VLOOKUP($AJ94,Data_Validation!$A:$D,1,0)</f>
        <v>#N/A</v>
      </c>
      <c r="AP94" s="598" t="e">
        <f>+VLOOKUP($AJ94,Data_Validation!$A:$D,3,0)</f>
        <v>#N/A</v>
      </c>
      <c r="AQ94" s="598" t="e">
        <f>+VLOOKUP($AJ94,Data_Validation!$A:$D,4,0)</f>
        <v>#N/A</v>
      </c>
      <c r="AR94" s="598" t="s">
        <v>299</v>
      </c>
      <c r="AS94" s="598" t="e">
        <f>+VLOOKUP($AJ94,Data_Validation!$A:$E,5,0)</f>
        <v>#N/A</v>
      </c>
      <c r="AT94" s="1036">
        <f t="shared" si="6"/>
        <v>0</v>
      </c>
      <c r="AU94" s="599">
        <f t="shared" si="6"/>
        <v>0</v>
      </c>
      <c r="AV94" s="1030">
        <f>IFERROR(INDEX(V94:AG94,1,MATCH(Parametres!$B$3,V$1:AG$1,0)-1)*IF(OR(C94="L",C94="S",C94="I"),-1,1),"")</f>
        <v>0</v>
      </c>
      <c r="AW94" s="1030">
        <f t="shared" si="7"/>
        <v>0</v>
      </c>
      <c r="AX94" s="1030">
        <f>INDEX(V94:AG94,1,MATCH(Parametres!$B$3,V$1:AG$1,0))*IF(OR(C94="L",C94="S",C94="I"),-1,1)</f>
        <v>0</v>
      </c>
      <c r="AY94" s="598" t="s">
        <v>337</v>
      </c>
      <c r="AZ94" s="598" t="e">
        <f>+VLOOKUP($AJ94,Data_Validation!$A:$E,5,0)</f>
        <v>#N/A</v>
      </c>
    </row>
    <row r="95" spans="36:52" ht="15" customHeight="1">
      <c r="AJ95" s="1030">
        <f t="shared" si="4"/>
        <v>0</v>
      </c>
      <c r="AK95" s="1030">
        <f t="shared" si="4"/>
        <v>0</v>
      </c>
      <c r="AL95" s="1030">
        <f>IFERROR(INDEX(G95:R95,1,MATCH(Parametres!$B$3,G$1:R$1,0)-1)*IF(OR(F95="L",F95="S",F95="I"),-1,1),"")</f>
        <v>0</v>
      </c>
      <c r="AM95" s="1030">
        <f t="shared" si="5"/>
        <v>0</v>
      </c>
      <c r="AN95" s="1030">
        <f>INDEX(G95:R95,1,MATCH(Parametres!$B$3,G$1:R$1,0))*IF(OR(F95="L",F95="S",F95="I"),-1,1)</f>
        <v>0</v>
      </c>
      <c r="AO95" s="598" t="e">
        <f>+VLOOKUP($AJ95,Data_Validation!$A:$D,1,0)</f>
        <v>#N/A</v>
      </c>
      <c r="AP95" s="598" t="e">
        <f>+VLOOKUP($AJ95,Data_Validation!$A:$D,3,0)</f>
        <v>#N/A</v>
      </c>
      <c r="AQ95" s="598" t="e">
        <f>+VLOOKUP($AJ95,Data_Validation!$A:$D,4,0)</f>
        <v>#N/A</v>
      </c>
      <c r="AR95" s="598" t="s">
        <v>299</v>
      </c>
      <c r="AS95" s="598" t="e">
        <f>+VLOOKUP($AJ95,Data_Validation!$A:$E,5,0)</f>
        <v>#N/A</v>
      </c>
      <c r="AT95" s="1036">
        <f t="shared" si="6"/>
        <v>0</v>
      </c>
      <c r="AU95" s="599">
        <f t="shared" si="6"/>
        <v>0</v>
      </c>
      <c r="AV95" s="1030">
        <f>IFERROR(INDEX(V95:AG95,1,MATCH(Parametres!$B$3,V$1:AG$1,0)-1)*IF(OR(C95="L",C95="S",C95="I"),-1,1),"")</f>
        <v>0</v>
      </c>
      <c r="AW95" s="1030">
        <f t="shared" si="7"/>
        <v>0</v>
      </c>
      <c r="AX95" s="1030">
        <f>INDEX(V95:AG95,1,MATCH(Parametres!$B$3,V$1:AG$1,0))*IF(OR(C95="L",C95="S",C95="I"),-1,1)</f>
        <v>0</v>
      </c>
      <c r="AY95" s="598" t="s">
        <v>337</v>
      </c>
      <c r="AZ95" s="598" t="e">
        <f>+VLOOKUP($AJ95,Data_Validation!$A:$E,5,0)</f>
        <v>#N/A</v>
      </c>
    </row>
    <row r="96" spans="36:52" ht="15" customHeight="1">
      <c r="AJ96" s="1030">
        <f t="shared" si="4"/>
        <v>0</v>
      </c>
      <c r="AK96" s="1030">
        <f t="shared" si="4"/>
        <v>0</v>
      </c>
      <c r="AL96" s="1030">
        <f>IFERROR(INDEX(G96:R96,1,MATCH(Parametres!$B$3,G$1:R$1,0)-1)*IF(OR(F96="L",F96="S",F96="I"),-1,1),"")</f>
        <v>0</v>
      </c>
      <c r="AM96" s="1030">
        <f t="shared" si="5"/>
        <v>0</v>
      </c>
      <c r="AN96" s="1030">
        <f>INDEX(G96:R96,1,MATCH(Parametres!$B$3,G$1:R$1,0))*IF(OR(F96="L",F96="S",F96="I"),-1,1)</f>
        <v>0</v>
      </c>
      <c r="AO96" s="598" t="e">
        <f>+VLOOKUP($AJ96,Data_Validation!$A:$D,1,0)</f>
        <v>#N/A</v>
      </c>
      <c r="AP96" s="598" t="e">
        <f>+VLOOKUP($AJ96,Data_Validation!$A:$D,3,0)</f>
        <v>#N/A</v>
      </c>
      <c r="AQ96" s="598" t="e">
        <f>+VLOOKUP($AJ96,Data_Validation!$A:$D,4,0)</f>
        <v>#N/A</v>
      </c>
      <c r="AR96" s="598" t="s">
        <v>299</v>
      </c>
      <c r="AS96" s="598" t="e">
        <f>+VLOOKUP($AJ96,Data_Validation!$A:$E,5,0)</f>
        <v>#N/A</v>
      </c>
      <c r="AT96" s="1036">
        <f t="shared" si="6"/>
        <v>0</v>
      </c>
      <c r="AU96" s="599">
        <f t="shared" si="6"/>
        <v>0</v>
      </c>
      <c r="AV96" s="1030">
        <f>IFERROR(INDEX(V96:AG96,1,MATCH(Parametres!$B$3,V$1:AG$1,0)-1)*IF(OR(C96="L",C96="S",C96="I"),-1,1),"")</f>
        <v>0</v>
      </c>
      <c r="AW96" s="1030">
        <f t="shared" si="7"/>
        <v>0</v>
      </c>
      <c r="AX96" s="1030">
        <f>INDEX(V96:AG96,1,MATCH(Parametres!$B$3,V$1:AG$1,0))*IF(OR(C96="L",C96="S",C96="I"),-1,1)</f>
        <v>0</v>
      </c>
      <c r="AY96" s="598" t="s">
        <v>337</v>
      </c>
      <c r="AZ96" s="598" t="e">
        <f>+VLOOKUP($AJ96,Data_Validation!$A:$E,5,0)</f>
        <v>#N/A</v>
      </c>
    </row>
    <row r="97" spans="36:52" ht="15" customHeight="1">
      <c r="AJ97" s="1030">
        <f t="shared" si="4"/>
        <v>0</v>
      </c>
      <c r="AK97" s="1030">
        <f t="shared" si="4"/>
        <v>0</v>
      </c>
      <c r="AL97" s="1030">
        <f>IFERROR(INDEX(G97:R97,1,MATCH(Parametres!$B$3,G$1:R$1,0)-1)*IF(OR(F97="L",F97="S",F97="I"),-1,1),"")</f>
        <v>0</v>
      </c>
      <c r="AM97" s="1030">
        <f t="shared" si="5"/>
        <v>0</v>
      </c>
      <c r="AN97" s="1030">
        <f>INDEX(G97:R97,1,MATCH(Parametres!$B$3,G$1:R$1,0))*IF(OR(F97="L",F97="S",F97="I"),-1,1)</f>
        <v>0</v>
      </c>
      <c r="AO97" s="598" t="e">
        <f>+VLOOKUP($AJ97,Data_Validation!$A:$D,1,0)</f>
        <v>#N/A</v>
      </c>
      <c r="AP97" s="598" t="e">
        <f>+VLOOKUP($AJ97,Data_Validation!$A:$D,3,0)</f>
        <v>#N/A</v>
      </c>
      <c r="AQ97" s="598" t="e">
        <f>+VLOOKUP($AJ97,Data_Validation!$A:$D,4,0)</f>
        <v>#N/A</v>
      </c>
      <c r="AR97" s="598" t="s">
        <v>299</v>
      </c>
      <c r="AS97" s="598" t="e">
        <f>+VLOOKUP($AJ97,Data_Validation!$A:$E,5,0)</f>
        <v>#N/A</v>
      </c>
      <c r="AT97" s="1036">
        <f t="shared" si="6"/>
        <v>0</v>
      </c>
      <c r="AU97" s="599">
        <f t="shared" si="6"/>
        <v>0</v>
      </c>
      <c r="AV97" s="1030">
        <f>IFERROR(INDEX(V97:AG97,1,MATCH(Parametres!$B$3,V$1:AG$1,0)-1)*IF(OR(C97="L",C97="S",C97="I"),-1,1),"")</f>
        <v>0</v>
      </c>
      <c r="AW97" s="1030">
        <f t="shared" si="7"/>
        <v>0</v>
      </c>
      <c r="AX97" s="1030">
        <f>INDEX(V97:AG97,1,MATCH(Parametres!$B$3,V$1:AG$1,0))*IF(OR(C97="L",C97="S",C97="I"),-1,1)</f>
        <v>0</v>
      </c>
      <c r="AY97" s="598" t="s">
        <v>337</v>
      </c>
      <c r="AZ97" s="598" t="e">
        <f>+VLOOKUP($AJ97,Data_Validation!$A:$E,5,0)</f>
        <v>#N/A</v>
      </c>
    </row>
    <row r="98" spans="36:52" ht="15" customHeight="1">
      <c r="AJ98" s="1030">
        <f t="shared" si="4"/>
        <v>0</v>
      </c>
      <c r="AK98" s="1030">
        <f t="shared" si="4"/>
        <v>0</v>
      </c>
      <c r="AL98" s="1030">
        <f>IFERROR(INDEX(G98:R98,1,MATCH(Parametres!$B$3,G$1:R$1,0)-1)*IF(OR(F98="L",F98="S",F98="I"),-1,1),"")</f>
        <v>0</v>
      </c>
      <c r="AM98" s="1030">
        <f t="shared" si="5"/>
        <v>0</v>
      </c>
      <c r="AN98" s="1030">
        <f>INDEX(G98:R98,1,MATCH(Parametres!$B$3,G$1:R$1,0))*IF(OR(F98="L",F98="S",F98="I"),-1,1)</f>
        <v>0</v>
      </c>
      <c r="AO98" s="598" t="e">
        <f>+VLOOKUP($AJ98,Data_Validation!$A:$D,1,0)</f>
        <v>#N/A</v>
      </c>
      <c r="AP98" s="598" t="e">
        <f>+VLOOKUP($AJ98,Data_Validation!$A:$D,3,0)</f>
        <v>#N/A</v>
      </c>
      <c r="AQ98" s="598" t="e">
        <f>+VLOOKUP($AJ98,Data_Validation!$A:$D,4,0)</f>
        <v>#N/A</v>
      </c>
      <c r="AR98" s="598" t="s">
        <v>299</v>
      </c>
      <c r="AS98" s="598" t="e">
        <f>+VLOOKUP($AJ98,Data_Validation!$A:$E,5,0)</f>
        <v>#N/A</v>
      </c>
      <c r="AT98" s="1036">
        <f t="shared" si="6"/>
        <v>0</v>
      </c>
      <c r="AU98" s="599">
        <f t="shared" si="6"/>
        <v>0</v>
      </c>
      <c r="AV98" s="1030">
        <f>IFERROR(INDEX(V98:AG98,1,MATCH(Parametres!$B$3,V$1:AG$1,0)-1)*IF(OR(C98="L",C98="S",C98="I"),-1,1),"")</f>
        <v>0</v>
      </c>
      <c r="AW98" s="1030">
        <f t="shared" si="7"/>
        <v>0</v>
      </c>
      <c r="AX98" s="1030">
        <f>INDEX(V98:AG98,1,MATCH(Parametres!$B$3,V$1:AG$1,0))*IF(OR(C98="L",C98="S",C98="I"),-1,1)</f>
        <v>0</v>
      </c>
      <c r="AY98" s="598" t="s">
        <v>337</v>
      </c>
      <c r="AZ98" s="598" t="e">
        <f>+VLOOKUP($AJ98,Data_Validation!$A:$E,5,0)</f>
        <v>#N/A</v>
      </c>
    </row>
    <row r="99" spans="36:52" ht="15.75" customHeight="1">
      <c r="AJ99" s="1030">
        <f t="shared" si="4"/>
        <v>0</v>
      </c>
      <c r="AK99" s="1030">
        <f t="shared" si="4"/>
        <v>0</v>
      </c>
      <c r="AL99" s="1030">
        <f>IFERROR(INDEX(G99:R99,1,MATCH(Parametres!$B$3,G$1:R$1,0)-1)*IF(OR(F99="L",F99="S",F99="I"),-1,1),"")</f>
        <v>0</v>
      </c>
      <c r="AM99" s="1030">
        <f t="shared" si="5"/>
        <v>0</v>
      </c>
      <c r="AN99" s="1030">
        <f>INDEX(G99:R99,1,MATCH(Parametres!$B$3,G$1:R$1,0))*IF(OR(F99="L",F99="S",F99="I"),-1,1)</f>
        <v>0</v>
      </c>
      <c r="AO99" s="598" t="e">
        <f>+VLOOKUP($AJ99,Data_Validation!$A:$D,1,0)</f>
        <v>#N/A</v>
      </c>
      <c r="AP99" s="598" t="e">
        <f>+VLOOKUP($AJ99,Data_Validation!$A:$D,3,0)</f>
        <v>#N/A</v>
      </c>
      <c r="AQ99" s="598" t="e">
        <f>+VLOOKUP($AJ99,Data_Validation!$A:$D,4,0)</f>
        <v>#N/A</v>
      </c>
      <c r="AR99" s="598" t="s">
        <v>299</v>
      </c>
      <c r="AS99" s="598" t="e">
        <f>+VLOOKUP($AJ99,Data_Validation!$A:$E,5,0)</f>
        <v>#N/A</v>
      </c>
      <c r="AT99" s="1036">
        <f t="shared" si="6"/>
        <v>0</v>
      </c>
      <c r="AU99" s="599">
        <f t="shared" si="6"/>
        <v>0</v>
      </c>
      <c r="AV99" s="1030">
        <f>IFERROR(INDEX(V99:AG99,1,MATCH(Parametres!$B$3,V$1:AG$1,0)-1)*IF(OR(C99="L",C99="S",C99="I"),-1,1),"")</f>
        <v>0</v>
      </c>
      <c r="AW99" s="1030">
        <f t="shared" si="7"/>
        <v>0</v>
      </c>
      <c r="AX99" s="1030">
        <f>INDEX(V99:AG99,1,MATCH(Parametres!$B$3,V$1:AG$1,0))*IF(OR(C99="L",C99="S",C99="I"),-1,1)</f>
        <v>0</v>
      </c>
      <c r="AY99" s="598" t="s">
        <v>337</v>
      </c>
      <c r="AZ99" s="598" t="e">
        <f>+VLOOKUP($AJ99,Data_Validation!$A:$E,5,0)</f>
        <v>#N/A</v>
      </c>
    </row>
    <row r="100" spans="36:52" ht="15" customHeight="1">
      <c r="AJ100" s="1030">
        <f t="shared" si="4"/>
        <v>0</v>
      </c>
      <c r="AK100" s="1030">
        <f t="shared" si="4"/>
        <v>0</v>
      </c>
      <c r="AL100" s="1030">
        <f>IFERROR(INDEX(G100:R100,1,MATCH(Parametres!$B$3,G$1:R$1,0)-1)*IF(OR(F100="L",F100="S",F100="I"),-1,1),"")</f>
        <v>0</v>
      </c>
      <c r="AM100" s="1030">
        <f t="shared" si="5"/>
        <v>0</v>
      </c>
      <c r="AN100" s="1030">
        <f>INDEX(G100:R100,1,MATCH(Parametres!$B$3,G$1:R$1,0))*IF(OR(F100="L",F100="S",F100="I"),-1,1)</f>
        <v>0</v>
      </c>
      <c r="AO100" s="598" t="e">
        <f>+VLOOKUP($AJ100,Data_Validation!$A:$D,1,0)</f>
        <v>#N/A</v>
      </c>
      <c r="AP100" s="598" t="e">
        <f>+VLOOKUP($AJ100,Data_Validation!$A:$D,3,0)</f>
        <v>#N/A</v>
      </c>
      <c r="AQ100" s="598" t="e">
        <f>+VLOOKUP($AJ100,Data_Validation!$A:$D,4,0)</f>
        <v>#N/A</v>
      </c>
      <c r="AR100" s="598" t="s">
        <v>299</v>
      </c>
      <c r="AS100" s="598" t="e">
        <f>+VLOOKUP($AJ100,Data_Validation!$A:$E,5,0)</f>
        <v>#N/A</v>
      </c>
      <c r="AT100" s="1036">
        <f t="shared" si="6"/>
        <v>0</v>
      </c>
      <c r="AU100" s="599">
        <f t="shared" si="6"/>
        <v>0</v>
      </c>
      <c r="AV100" s="1030">
        <f>IFERROR(INDEX(V100:AG100,1,MATCH(Parametres!$B$3,V$1:AG$1,0)-1)*IF(OR(C100="L",C100="S",C100="I"),-1,1),"")</f>
        <v>0</v>
      </c>
      <c r="AW100" s="1030">
        <f t="shared" si="7"/>
        <v>0</v>
      </c>
      <c r="AX100" s="1030">
        <f>INDEX(V100:AG100,1,MATCH(Parametres!$B$3,V$1:AG$1,0))*IF(OR(C100="L",C100="S",C100="I"),-1,1)</f>
        <v>0</v>
      </c>
      <c r="AY100" s="598" t="s">
        <v>337</v>
      </c>
      <c r="AZ100" s="598" t="e">
        <f>+VLOOKUP($AJ100,Data_Validation!$A:$E,5,0)</f>
        <v>#N/A</v>
      </c>
    </row>
    <row r="101" spans="36:52" ht="15" customHeight="1">
      <c r="AJ101" s="1030">
        <f t="shared" si="4"/>
        <v>0</v>
      </c>
      <c r="AK101" s="1030">
        <f t="shared" si="4"/>
        <v>0</v>
      </c>
      <c r="AL101" s="1030">
        <f>IFERROR(INDEX(G101:R101,1,MATCH(Parametres!$B$3,G$1:R$1,0)-1)*IF(OR(F101="L",F101="S",F101="I"),-1,1),"")</f>
        <v>0</v>
      </c>
      <c r="AM101" s="1030">
        <f t="shared" si="5"/>
        <v>0</v>
      </c>
      <c r="AN101" s="1030">
        <f>INDEX(G101:R101,1,MATCH(Parametres!$B$3,G$1:R$1,0))*IF(OR(F101="L",F101="S",F101="I"),-1,1)</f>
        <v>0</v>
      </c>
      <c r="AO101" s="598" t="e">
        <f>+VLOOKUP($AJ101,Data_Validation!$A:$D,1,0)</f>
        <v>#N/A</v>
      </c>
      <c r="AP101" s="598" t="e">
        <f>+VLOOKUP($AJ101,Data_Validation!$A:$D,3,0)</f>
        <v>#N/A</v>
      </c>
      <c r="AQ101" s="598" t="e">
        <f>+VLOOKUP($AJ101,Data_Validation!$A:$D,4,0)</f>
        <v>#N/A</v>
      </c>
      <c r="AR101" s="598" t="s">
        <v>299</v>
      </c>
      <c r="AS101" s="598" t="e">
        <f>+VLOOKUP($AJ101,Data_Validation!$A:$E,5,0)</f>
        <v>#N/A</v>
      </c>
      <c r="AT101" s="1036">
        <f t="shared" si="6"/>
        <v>0</v>
      </c>
      <c r="AU101" s="599">
        <f t="shared" si="6"/>
        <v>0</v>
      </c>
      <c r="AV101" s="1030">
        <f>IFERROR(INDEX(V101:AG101,1,MATCH(Parametres!$B$3,V$1:AG$1,0)-1)*IF(OR(C101="L",C101="S",C101="I"),-1,1),"")</f>
        <v>0</v>
      </c>
      <c r="AW101" s="1030">
        <f t="shared" si="7"/>
        <v>0</v>
      </c>
      <c r="AX101" s="1030">
        <f>INDEX(V101:AG101,1,MATCH(Parametres!$B$3,V$1:AG$1,0))*IF(OR(C101="L",C101="S",C101="I"),-1,1)</f>
        <v>0</v>
      </c>
      <c r="AY101" s="598" t="s">
        <v>337</v>
      </c>
      <c r="AZ101" s="598" t="e">
        <f>+VLOOKUP($AJ101,Data_Validation!$A:$E,5,0)</f>
        <v>#N/A</v>
      </c>
    </row>
    <row r="102" spans="36:52" ht="15" customHeight="1">
      <c r="AJ102" s="1030">
        <f t="shared" si="4"/>
        <v>0</v>
      </c>
      <c r="AK102" s="1030">
        <f t="shared" si="4"/>
        <v>0</v>
      </c>
      <c r="AL102" s="1030">
        <f>IFERROR(INDEX(G102:R102,1,MATCH(Parametres!$B$3,G$1:R$1,0)-1)*IF(OR(F102="L",F102="S",F102="I"),-1,1),"")</f>
        <v>0</v>
      </c>
      <c r="AM102" s="1030">
        <f t="shared" si="5"/>
        <v>0</v>
      </c>
      <c r="AN102" s="1030">
        <f>INDEX(G102:R102,1,MATCH(Parametres!$B$3,G$1:R$1,0))*IF(OR(F102="L",F102="S",F102="I"),-1,1)</f>
        <v>0</v>
      </c>
      <c r="AO102" s="598" t="e">
        <f>+VLOOKUP($AJ102,Data_Validation!$A:$D,1,0)</f>
        <v>#N/A</v>
      </c>
      <c r="AP102" s="598" t="e">
        <f>+VLOOKUP($AJ102,Data_Validation!$A:$D,3,0)</f>
        <v>#N/A</v>
      </c>
      <c r="AQ102" s="598" t="e">
        <f>+VLOOKUP($AJ102,Data_Validation!$A:$D,4,0)</f>
        <v>#N/A</v>
      </c>
      <c r="AR102" s="598" t="s">
        <v>299</v>
      </c>
      <c r="AS102" s="598" t="e">
        <f>+VLOOKUP($AJ102,Data_Validation!$A:$E,5,0)</f>
        <v>#N/A</v>
      </c>
      <c r="AT102" s="1036">
        <f t="shared" si="6"/>
        <v>0</v>
      </c>
      <c r="AU102" s="599">
        <f t="shared" si="6"/>
        <v>0</v>
      </c>
      <c r="AV102" s="1030">
        <f>IFERROR(INDEX(V102:AG102,1,MATCH(Parametres!$B$3,V$1:AG$1,0)-1)*IF(OR(C102="L",C102="S",C102="I"),-1,1),"")</f>
        <v>0</v>
      </c>
      <c r="AW102" s="1030">
        <f t="shared" si="7"/>
        <v>0</v>
      </c>
      <c r="AX102" s="1030">
        <f>INDEX(V102:AG102,1,MATCH(Parametres!$B$3,V$1:AG$1,0))*IF(OR(C102="L",C102="S",C102="I"),-1,1)</f>
        <v>0</v>
      </c>
      <c r="AY102" s="598" t="s">
        <v>337</v>
      </c>
      <c r="AZ102" s="598" t="e">
        <f>+VLOOKUP($AJ102,Data_Validation!$A:$E,5,0)</f>
        <v>#N/A</v>
      </c>
    </row>
    <row r="103" spans="36:52" ht="15.75" customHeight="1">
      <c r="AJ103" s="1030">
        <f t="shared" si="4"/>
        <v>0</v>
      </c>
      <c r="AK103" s="1030">
        <f t="shared" si="4"/>
        <v>0</v>
      </c>
      <c r="AL103" s="1030">
        <f>IFERROR(INDEX(G103:R103,1,MATCH(Parametres!$B$3,G$1:R$1,0)-1)*IF(OR(F103="L",F103="S",F103="I"),-1,1),"")</f>
        <v>0</v>
      </c>
      <c r="AM103" s="1030">
        <f t="shared" si="5"/>
        <v>0</v>
      </c>
      <c r="AN103" s="1030">
        <f>INDEX(G103:R103,1,MATCH(Parametres!$B$3,G$1:R$1,0))*IF(OR(F103="L",F103="S",F103="I"),-1,1)</f>
        <v>0</v>
      </c>
      <c r="AO103" s="598" t="e">
        <f>+VLOOKUP($AJ103,Data_Validation!$A:$D,1,0)</f>
        <v>#N/A</v>
      </c>
      <c r="AP103" s="598" t="e">
        <f>+VLOOKUP($AJ103,Data_Validation!$A:$D,3,0)</f>
        <v>#N/A</v>
      </c>
      <c r="AQ103" s="598" t="e">
        <f>+VLOOKUP($AJ103,Data_Validation!$A:$D,4,0)</f>
        <v>#N/A</v>
      </c>
      <c r="AR103" s="598" t="s">
        <v>299</v>
      </c>
      <c r="AS103" s="598" t="e">
        <f>+VLOOKUP($AJ103,Data_Validation!$A:$E,5,0)</f>
        <v>#N/A</v>
      </c>
      <c r="AT103" s="1036">
        <f t="shared" si="6"/>
        <v>0</v>
      </c>
      <c r="AU103" s="599">
        <f t="shared" si="6"/>
        <v>0</v>
      </c>
      <c r="AV103" s="1030">
        <f>IFERROR(INDEX(V103:AG103,1,MATCH(Parametres!$B$3,V$1:AG$1,0)-1)*IF(OR(C103="L",C103="S",C103="I"),-1,1),"")</f>
        <v>0</v>
      </c>
      <c r="AW103" s="1030">
        <f t="shared" si="7"/>
        <v>0</v>
      </c>
      <c r="AX103" s="1030">
        <f>INDEX(V103:AG103,1,MATCH(Parametres!$B$3,V$1:AG$1,0))*IF(OR(C103="L",C103="S",C103="I"),-1,1)</f>
        <v>0</v>
      </c>
      <c r="AY103" s="598" t="s">
        <v>337</v>
      </c>
      <c r="AZ103" s="598" t="e">
        <f>+VLOOKUP($AJ103,Data_Validation!$A:$E,5,0)</f>
        <v>#N/A</v>
      </c>
    </row>
    <row r="104" spans="36:52" ht="15" customHeight="1">
      <c r="AJ104" s="1030">
        <f t="shared" si="4"/>
        <v>0</v>
      </c>
      <c r="AK104" s="1030">
        <f t="shared" si="4"/>
        <v>0</v>
      </c>
      <c r="AL104" s="1030">
        <f>IFERROR(INDEX(G104:R104,1,MATCH(Parametres!$B$3,G$1:R$1,0)-1)*IF(OR(F104="L",F104="S",F104="I"),-1,1),"")</f>
        <v>0</v>
      </c>
      <c r="AM104" s="1030">
        <f t="shared" si="5"/>
        <v>0</v>
      </c>
      <c r="AN104" s="1030">
        <f>INDEX(G104:R104,1,MATCH(Parametres!$B$3,G$1:R$1,0))*IF(OR(F104="L",F104="S",F104="I"),-1,1)</f>
        <v>0</v>
      </c>
      <c r="AO104" s="598" t="e">
        <f>+VLOOKUP($AJ104,Data_Validation!$A:$D,1,0)</f>
        <v>#N/A</v>
      </c>
      <c r="AP104" s="598" t="e">
        <f>+VLOOKUP($AJ104,Data_Validation!$A:$D,3,0)</f>
        <v>#N/A</v>
      </c>
      <c r="AQ104" s="598" t="e">
        <f>+VLOOKUP($AJ104,Data_Validation!$A:$D,4,0)</f>
        <v>#N/A</v>
      </c>
      <c r="AR104" s="598" t="s">
        <v>299</v>
      </c>
      <c r="AS104" s="598" t="e">
        <f>+VLOOKUP($AJ104,Data_Validation!$A:$E,5,0)</f>
        <v>#N/A</v>
      </c>
      <c r="AT104" s="1036">
        <f t="shared" si="6"/>
        <v>0</v>
      </c>
      <c r="AU104" s="599">
        <f t="shared" si="6"/>
        <v>0</v>
      </c>
      <c r="AV104" s="1030">
        <f>IFERROR(INDEX(V104:AG104,1,MATCH(Parametres!$B$3,V$1:AG$1,0)-1)*IF(OR(C104="L",C104="S",C104="I"),-1,1),"")</f>
        <v>0</v>
      </c>
      <c r="AW104" s="1030">
        <f t="shared" si="7"/>
        <v>0</v>
      </c>
      <c r="AX104" s="1030">
        <f>INDEX(V104:AG104,1,MATCH(Parametres!$B$3,V$1:AG$1,0))*IF(OR(C104="L",C104="S",C104="I"),-1,1)</f>
        <v>0</v>
      </c>
      <c r="AY104" s="598" t="s">
        <v>337</v>
      </c>
      <c r="AZ104" s="598" t="e">
        <f>+VLOOKUP($AJ104,Data_Validation!$A:$E,5,0)</f>
        <v>#N/A</v>
      </c>
    </row>
    <row r="105" spans="36:52" ht="15" customHeight="1">
      <c r="AJ105" s="1030">
        <f t="shared" si="4"/>
        <v>0</v>
      </c>
      <c r="AK105" s="1030">
        <f t="shared" si="4"/>
        <v>0</v>
      </c>
      <c r="AL105" s="1030">
        <f>IFERROR(INDEX(G105:R105,1,MATCH(Parametres!$B$3,G$1:R$1,0)-1)*IF(OR(F105="L",F105="S",F105="I"),-1,1),"")</f>
        <v>0</v>
      </c>
      <c r="AM105" s="1030">
        <f t="shared" si="5"/>
        <v>0</v>
      </c>
      <c r="AN105" s="1030">
        <f>INDEX(G105:R105,1,MATCH(Parametres!$B$3,G$1:R$1,0))*IF(OR(F105="L",F105="S",F105="I"),-1,1)</f>
        <v>0</v>
      </c>
      <c r="AO105" s="598" t="e">
        <f>+VLOOKUP($AJ105,Data_Validation!$A:$D,1,0)</f>
        <v>#N/A</v>
      </c>
      <c r="AP105" s="598" t="e">
        <f>+VLOOKUP($AJ105,Data_Validation!$A:$D,3,0)</f>
        <v>#N/A</v>
      </c>
      <c r="AQ105" s="598" t="e">
        <f>+VLOOKUP($AJ105,Data_Validation!$A:$D,4,0)</f>
        <v>#N/A</v>
      </c>
      <c r="AR105" s="598" t="s">
        <v>299</v>
      </c>
      <c r="AS105" s="598" t="e">
        <f>+VLOOKUP($AJ105,Data_Validation!$A:$E,5,0)</f>
        <v>#N/A</v>
      </c>
      <c r="AT105" s="1036">
        <f t="shared" si="6"/>
        <v>0</v>
      </c>
      <c r="AU105" s="599">
        <f t="shared" si="6"/>
        <v>0</v>
      </c>
      <c r="AV105" s="1030">
        <f>IFERROR(INDEX(V105:AG105,1,MATCH(Parametres!$B$3,V$1:AG$1,0)-1)*IF(OR(C105="L",C105="S",C105="I"),-1,1),"")</f>
        <v>0</v>
      </c>
      <c r="AW105" s="1030">
        <f t="shared" si="7"/>
        <v>0</v>
      </c>
      <c r="AX105" s="1030">
        <f>INDEX(V105:AG105,1,MATCH(Parametres!$B$3,V$1:AG$1,0))*IF(OR(C105="L",C105="S",C105="I"),-1,1)</f>
        <v>0</v>
      </c>
      <c r="AY105" s="598" t="s">
        <v>337</v>
      </c>
      <c r="AZ105" s="598" t="e">
        <f>+VLOOKUP($AJ105,Data_Validation!$A:$E,5,0)</f>
        <v>#N/A</v>
      </c>
    </row>
    <row r="106" spans="36:52" ht="15" customHeight="1">
      <c r="AJ106" s="1030">
        <f t="shared" si="4"/>
        <v>0</v>
      </c>
      <c r="AK106" s="1030">
        <f t="shared" si="4"/>
        <v>0</v>
      </c>
      <c r="AL106" s="1030">
        <f>IFERROR(INDEX(G106:R106,1,MATCH(Parametres!$B$3,G$1:R$1,0)-1)*IF(OR(F106="L",F106="S",F106="I"),-1,1),"")</f>
        <v>0</v>
      </c>
      <c r="AM106" s="1030">
        <f t="shared" si="5"/>
        <v>0</v>
      </c>
      <c r="AN106" s="1030">
        <f>INDEX(G106:R106,1,MATCH(Parametres!$B$3,G$1:R$1,0))*IF(OR(F106="L",F106="S",F106="I"),-1,1)</f>
        <v>0</v>
      </c>
      <c r="AO106" s="598" t="e">
        <f>+VLOOKUP($AJ106,Data_Validation!$A:$D,1,0)</f>
        <v>#N/A</v>
      </c>
      <c r="AP106" s="598" t="e">
        <f>+VLOOKUP($AJ106,Data_Validation!$A:$D,3,0)</f>
        <v>#N/A</v>
      </c>
      <c r="AQ106" s="598" t="e">
        <f>+VLOOKUP($AJ106,Data_Validation!$A:$D,4,0)</f>
        <v>#N/A</v>
      </c>
      <c r="AR106" s="598" t="s">
        <v>299</v>
      </c>
      <c r="AS106" s="598" t="e">
        <f>+VLOOKUP($AJ106,Data_Validation!$A:$E,5,0)</f>
        <v>#N/A</v>
      </c>
      <c r="AT106" s="1036">
        <f t="shared" si="6"/>
        <v>0</v>
      </c>
      <c r="AU106" s="599">
        <f t="shared" si="6"/>
        <v>0</v>
      </c>
      <c r="AV106" s="1030">
        <f>IFERROR(INDEX(V106:AG106,1,MATCH(Parametres!$B$3,V$1:AG$1,0)-1)*IF(OR(C106="L",C106="S",C106="I"),-1,1),"")</f>
        <v>0</v>
      </c>
      <c r="AW106" s="1030">
        <f t="shared" si="7"/>
        <v>0</v>
      </c>
      <c r="AX106" s="1030">
        <f>INDEX(V106:AG106,1,MATCH(Parametres!$B$3,V$1:AG$1,0))*IF(OR(C106="L",C106="S",C106="I"),-1,1)</f>
        <v>0</v>
      </c>
      <c r="AY106" s="598" t="s">
        <v>337</v>
      </c>
      <c r="AZ106" s="598" t="e">
        <f>+VLOOKUP($AJ106,Data_Validation!$A:$E,5,0)</f>
        <v>#N/A</v>
      </c>
    </row>
    <row r="107" spans="36:52" ht="15" customHeight="1">
      <c r="AJ107" s="1030">
        <f t="shared" si="4"/>
        <v>0</v>
      </c>
      <c r="AK107" s="1030">
        <f t="shared" si="4"/>
        <v>0</v>
      </c>
      <c r="AL107" s="1030">
        <f>IFERROR(INDEX(G107:R107,1,MATCH(Parametres!$B$3,G$1:R$1,0)-1)*IF(OR(F107="L",F107="S",F107="I"),-1,1),"")</f>
        <v>0</v>
      </c>
      <c r="AM107" s="1030">
        <f t="shared" si="5"/>
        <v>0</v>
      </c>
      <c r="AN107" s="1030">
        <f>INDEX(G107:R107,1,MATCH(Parametres!$B$3,G$1:R$1,0))*IF(OR(F107="L",F107="S",F107="I"),-1,1)</f>
        <v>0</v>
      </c>
      <c r="AO107" s="598" t="e">
        <f>+VLOOKUP($AJ107,Data_Validation!$A:$D,1,0)</f>
        <v>#N/A</v>
      </c>
      <c r="AP107" s="598" t="e">
        <f>+VLOOKUP($AJ107,Data_Validation!$A:$D,3,0)</f>
        <v>#N/A</v>
      </c>
      <c r="AQ107" s="598" t="e">
        <f>+VLOOKUP($AJ107,Data_Validation!$A:$D,4,0)</f>
        <v>#N/A</v>
      </c>
      <c r="AR107" s="598" t="s">
        <v>299</v>
      </c>
      <c r="AS107" s="598" t="e">
        <f>+VLOOKUP($AJ107,Data_Validation!$A:$E,5,0)</f>
        <v>#N/A</v>
      </c>
      <c r="AT107" s="1036">
        <f t="shared" si="6"/>
        <v>0</v>
      </c>
      <c r="AU107" s="599">
        <f t="shared" si="6"/>
        <v>0</v>
      </c>
      <c r="AV107" s="1030">
        <f>IFERROR(INDEX(V107:AG107,1,MATCH(Parametres!$B$3,V$1:AG$1,0)-1)*IF(OR(C107="L",C107="S",C107="I"),-1,1),"")</f>
        <v>0</v>
      </c>
      <c r="AW107" s="1030">
        <f t="shared" si="7"/>
        <v>0</v>
      </c>
      <c r="AX107" s="1030">
        <f>INDEX(V107:AG107,1,MATCH(Parametres!$B$3,V$1:AG$1,0))*IF(OR(C107="L",C107="S",C107="I"),-1,1)</f>
        <v>0</v>
      </c>
      <c r="AY107" s="598" t="s">
        <v>337</v>
      </c>
      <c r="AZ107" s="598" t="e">
        <f>+VLOOKUP($AJ107,Data_Validation!$A:$E,5,0)</f>
        <v>#N/A</v>
      </c>
    </row>
    <row r="108" spans="36:52" ht="15" customHeight="1">
      <c r="AJ108" s="1030">
        <f t="shared" si="4"/>
        <v>0</v>
      </c>
      <c r="AK108" s="1030">
        <f t="shared" si="4"/>
        <v>0</v>
      </c>
      <c r="AL108" s="1030">
        <f>IFERROR(INDEX(G108:R108,1,MATCH(Parametres!$B$3,G$1:R$1,0)-1)*IF(OR(F108="L",F108="S",F108="I"),-1,1),"")</f>
        <v>0</v>
      </c>
      <c r="AM108" s="1030">
        <f t="shared" si="5"/>
        <v>0</v>
      </c>
      <c r="AN108" s="1030">
        <f>INDEX(G108:R108,1,MATCH(Parametres!$B$3,G$1:R$1,0))*IF(OR(F108="L",F108="S",F108="I"),-1,1)</f>
        <v>0</v>
      </c>
      <c r="AO108" s="598" t="e">
        <f>+VLOOKUP($AJ108,Data_Validation!$A:$D,1,0)</f>
        <v>#N/A</v>
      </c>
      <c r="AP108" s="598" t="e">
        <f>+VLOOKUP($AJ108,Data_Validation!$A:$D,3,0)</f>
        <v>#N/A</v>
      </c>
      <c r="AQ108" s="598" t="e">
        <f>+VLOOKUP($AJ108,Data_Validation!$A:$D,4,0)</f>
        <v>#N/A</v>
      </c>
      <c r="AR108" s="598" t="s">
        <v>299</v>
      </c>
      <c r="AS108" s="598" t="e">
        <f>+VLOOKUP($AJ108,Data_Validation!$A:$E,5,0)</f>
        <v>#N/A</v>
      </c>
      <c r="AT108" s="1036">
        <f t="shared" si="6"/>
        <v>0</v>
      </c>
      <c r="AU108" s="599">
        <f t="shared" si="6"/>
        <v>0</v>
      </c>
      <c r="AV108" s="1030">
        <f>IFERROR(INDEX(V108:AG108,1,MATCH(Parametres!$B$3,V$1:AG$1,0)-1)*IF(OR(C108="L",C108="S",C108="I"),-1,1),"")</f>
        <v>0</v>
      </c>
      <c r="AW108" s="1030">
        <f t="shared" si="7"/>
        <v>0</v>
      </c>
      <c r="AX108" s="1030">
        <f>INDEX(V108:AG108,1,MATCH(Parametres!$B$3,V$1:AG$1,0))*IF(OR(C108="L",C108="S",C108="I"),-1,1)</f>
        <v>0</v>
      </c>
      <c r="AY108" s="598" t="s">
        <v>337</v>
      </c>
      <c r="AZ108" s="598" t="e">
        <f>+VLOOKUP($AJ108,Data_Validation!$A:$E,5,0)</f>
        <v>#N/A</v>
      </c>
    </row>
    <row r="109" spans="36:52" ht="15.75" customHeight="1">
      <c r="AJ109" s="1030">
        <f t="shared" si="4"/>
        <v>0</v>
      </c>
      <c r="AK109" s="1030">
        <f t="shared" si="4"/>
        <v>0</v>
      </c>
      <c r="AL109" s="1030">
        <f>IFERROR(INDEX(G109:R109,1,MATCH(Parametres!$B$3,G$1:R$1,0)-1)*IF(OR(F109="L",F109="S",F109="I"),-1,1),"")</f>
        <v>0</v>
      </c>
      <c r="AM109" s="1030">
        <f t="shared" si="5"/>
        <v>0</v>
      </c>
      <c r="AN109" s="1030">
        <f>INDEX(G109:R109,1,MATCH(Parametres!$B$3,G$1:R$1,0))*IF(OR(F109="L",F109="S",F109="I"),-1,1)</f>
        <v>0</v>
      </c>
      <c r="AO109" s="598" t="e">
        <f>+VLOOKUP($AJ109,Data_Validation!$A:$D,1,0)</f>
        <v>#N/A</v>
      </c>
      <c r="AP109" s="598" t="e">
        <f>+VLOOKUP($AJ109,Data_Validation!$A:$D,3,0)</f>
        <v>#N/A</v>
      </c>
      <c r="AQ109" s="598" t="e">
        <f>+VLOOKUP($AJ109,Data_Validation!$A:$D,4,0)</f>
        <v>#N/A</v>
      </c>
      <c r="AR109" s="598" t="s">
        <v>299</v>
      </c>
      <c r="AS109" s="598" t="e">
        <f>+VLOOKUP($AJ109,Data_Validation!$A:$E,5,0)</f>
        <v>#N/A</v>
      </c>
      <c r="AT109" s="1036">
        <f t="shared" si="6"/>
        <v>0</v>
      </c>
      <c r="AU109" s="599">
        <f t="shared" si="6"/>
        <v>0</v>
      </c>
      <c r="AV109" s="1030">
        <f>IFERROR(INDEX(V109:AG109,1,MATCH(Parametres!$B$3,V$1:AG$1,0)-1)*IF(OR(C109="L",C109="S",C109="I"),-1,1),"")</f>
        <v>0</v>
      </c>
      <c r="AW109" s="1030">
        <f t="shared" si="7"/>
        <v>0</v>
      </c>
      <c r="AX109" s="1030">
        <f>INDEX(V109:AG109,1,MATCH(Parametres!$B$3,V$1:AG$1,0))*IF(OR(C109="L",C109="S",C109="I"),-1,1)</f>
        <v>0</v>
      </c>
      <c r="AY109" s="598" t="s">
        <v>337</v>
      </c>
      <c r="AZ109" s="598" t="e">
        <f>+VLOOKUP($AJ109,Data_Validation!$A:$E,5,0)</f>
        <v>#N/A</v>
      </c>
    </row>
    <row r="110" spans="36:52" ht="15" customHeight="1">
      <c r="AJ110" s="1030">
        <f t="shared" si="4"/>
        <v>0</v>
      </c>
      <c r="AK110" s="1030">
        <f t="shared" si="4"/>
        <v>0</v>
      </c>
      <c r="AL110" s="1030">
        <f>IFERROR(INDEX(G110:R110,1,MATCH(Parametres!$B$3,G$1:R$1,0)-1)*IF(OR(F110="L",F110="S",F110="I"),-1,1),"")</f>
        <v>0</v>
      </c>
      <c r="AM110" s="1030">
        <f t="shared" si="5"/>
        <v>0</v>
      </c>
      <c r="AN110" s="1030">
        <f>INDEX(G110:R110,1,MATCH(Parametres!$B$3,G$1:R$1,0))*IF(OR(F110="L",F110="S",F110="I"),-1,1)</f>
        <v>0</v>
      </c>
      <c r="AO110" s="598" t="e">
        <f>+VLOOKUP($AJ110,Data_Validation!$A:$D,1,0)</f>
        <v>#N/A</v>
      </c>
      <c r="AP110" s="598" t="e">
        <f>+VLOOKUP($AJ110,Data_Validation!$A:$D,3,0)</f>
        <v>#N/A</v>
      </c>
      <c r="AQ110" s="598" t="e">
        <f>+VLOOKUP($AJ110,Data_Validation!$A:$D,4,0)</f>
        <v>#N/A</v>
      </c>
      <c r="AR110" s="598" t="s">
        <v>299</v>
      </c>
      <c r="AS110" s="598" t="e">
        <f>+VLOOKUP($AJ110,Data_Validation!$A:$E,5,0)</f>
        <v>#N/A</v>
      </c>
      <c r="AT110" s="1036">
        <f t="shared" si="6"/>
        <v>0</v>
      </c>
      <c r="AU110" s="599">
        <f t="shared" si="6"/>
        <v>0</v>
      </c>
      <c r="AV110" s="1030">
        <f>IFERROR(INDEX(V110:AG110,1,MATCH(Parametres!$B$3,V$1:AG$1,0)-1)*IF(OR(C110="L",C110="S",C110="I"),-1,1),"")</f>
        <v>0</v>
      </c>
      <c r="AW110" s="1030">
        <f t="shared" si="7"/>
        <v>0</v>
      </c>
      <c r="AX110" s="1030">
        <f>INDEX(V110:AG110,1,MATCH(Parametres!$B$3,V$1:AG$1,0))*IF(OR(C110="L",C110="S",C110="I"),-1,1)</f>
        <v>0</v>
      </c>
      <c r="AY110" s="598" t="s">
        <v>337</v>
      </c>
      <c r="AZ110" s="598" t="e">
        <f>+VLOOKUP($AJ110,Data_Validation!$A:$E,5,0)</f>
        <v>#N/A</v>
      </c>
    </row>
    <row r="111" spans="36:52" ht="15" customHeight="1">
      <c r="AJ111" s="1030">
        <f t="shared" si="4"/>
        <v>0</v>
      </c>
      <c r="AK111" s="1030">
        <f t="shared" si="4"/>
        <v>0</v>
      </c>
      <c r="AL111" s="1030">
        <f>IFERROR(INDEX(G111:R111,1,MATCH(Parametres!$B$3,G$1:R$1,0)-1)*IF(OR(F111="L",F111="S",F111="I"),-1,1),"")</f>
        <v>0</v>
      </c>
      <c r="AM111" s="1030">
        <f t="shared" si="5"/>
        <v>0</v>
      </c>
      <c r="AN111" s="1030">
        <f>INDEX(G111:R111,1,MATCH(Parametres!$B$3,G$1:R$1,0))*IF(OR(F111="L",F111="S",F111="I"),-1,1)</f>
        <v>0</v>
      </c>
      <c r="AO111" s="598" t="e">
        <f>+VLOOKUP($AJ111,Data_Validation!$A:$D,1,0)</f>
        <v>#N/A</v>
      </c>
      <c r="AP111" s="598" t="e">
        <f>+VLOOKUP($AJ111,Data_Validation!$A:$D,3,0)</f>
        <v>#N/A</v>
      </c>
      <c r="AQ111" s="598" t="e">
        <f>+VLOOKUP($AJ111,Data_Validation!$A:$D,4,0)</f>
        <v>#N/A</v>
      </c>
      <c r="AR111" s="598" t="s">
        <v>299</v>
      </c>
      <c r="AS111" s="598" t="e">
        <f>+VLOOKUP($AJ111,Data_Validation!$A:$E,5,0)</f>
        <v>#N/A</v>
      </c>
      <c r="AT111" s="1036">
        <f t="shared" si="6"/>
        <v>0</v>
      </c>
      <c r="AU111" s="599">
        <f t="shared" si="6"/>
        <v>0</v>
      </c>
      <c r="AV111" s="1030">
        <f>IFERROR(INDEX(V111:AG111,1,MATCH(Parametres!$B$3,V$1:AG$1,0)-1)*IF(OR(C111="L",C111="S",C111="I"),-1,1),"")</f>
        <v>0</v>
      </c>
      <c r="AW111" s="1030">
        <f t="shared" si="7"/>
        <v>0</v>
      </c>
      <c r="AX111" s="1030">
        <f>INDEX(V111:AG111,1,MATCH(Parametres!$B$3,V$1:AG$1,0))*IF(OR(C111="L",C111="S",C111="I"),-1,1)</f>
        <v>0</v>
      </c>
      <c r="AY111" s="598" t="s">
        <v>337</v>
      </c>
      <c r="AZ111" s="598" t="e">
        <f>+VLOOKUP($AJ111,Data_Validation!$A:$E,5,0)</f>
        <v>#N/A</v>
      </c>
    </row>
    <row r="112" spans="36:52" ht="15" customHeight="1">
      <c r="AJ112" s="1030">
        <f t="shared" si="4"/>
        <v>0</v>
      </c>
      <c r="AK112" s="1030">
        <f t="shared" si="4"/>
        <v>0</v>
      </c>
      <c r="AL112" s="1030">
        <f>IFERROR(INDEX(G112:R112,1,MATCH(Parametres!$B$3,G$1:R$1,0)-1)*IF(OR(F112="L",F112="S",F112="I"),-1,1),"")</f>
        <v>0</v>
      </c>
      <c r="AM112" s="1030">
        <f t="shared" si="5"/>
        <v>0</v>
      </c>
      <c r="AN112" s="1030">
        <f>INDEX(G112:R112,1,MATCH(Parametres!$B$3,G$1:R$1,0))*IF(OR(F112="L",F112="S",F112="I"),-1,1)</f>
        <v>0</v>
      </c>
      <c r="AO112" s="598" t="e">
        <f>+VLOOKUP($AJ112,Data_Validation!$A:$D,1,0)</f>
        <v>#N/A</v>
      </c>
      <c r="AP112" s="598" t="e">
        <f>+VLOOKUP($AJ112,Data_Validation!$A:$D,3,0)</f>
        <v>#N/A</v>
      </c>
      <c r="AQ112" s="598" t="e">
        <f>+VLOOKUP($AJ112,Data_Validation!$A:$D,4,0)</f>
        <v>#N/A</v>
      </c>
      <c r="AR112" s="598" t="s">
        <v>299</v>
      </c>
      <c r="AS112" s="598" t="e">
        <f>+VLOOKUP($AJ112,Data_Validation!$A:$E,5,0)</f>
        <v>#N/A</v>
      </c>
      <c r="AT112" s="1036">
        <f t="shared" si="6"/>
        <v>0</v>
      </c>
      <c r="AU112" s="599">
        <f t="shared" si="6"/>
        <v>0</v>
      </c>
      <c r="AV112" s="1030">
        <f>IFERROR(INDEX(V112:AG112,1,MATCH(Parametres!$B$3,V$1:AG$1,0)-1)*IF(OR(C112="L",C112="S",C112="I"),-1,1),"")</f>
        <v>0</v>
      </c>
      <c r="AW112" s="1030">
        <f t="shared" si="7"/>
        <v>0</v>
      </c>
      <c r="AX112" s="1030">
        <f>INDEX(V112:AG112,1,MATCH(Parametres!$B$3,V$1:AG$1,0))*IF(OR(C112="L",C112="S",C112="I"),-1,1)</f>
        <v>0</v>
      </c>
      <c r="AY112" s="598" t="s">
        <v>337</v>
      </c>
      <c r="AZ112" s="598" t="e">
        <f>+VLOOKUP($AJ112,Data_Validation!$A:$E,5,0)</f>
        <v>#N/A</v>
      </c>
    </row>
    <row r="113" spans="36:52" ht="15.75" customHeight="1">
      <c r="AJ113" s="1030">
        <f t="shared" si="4"/>
        <v>0</v>
      </c>
      <c r="AK113" s="1030">
        <f t="shared" si="4"/>
        <v>0</v>
      </c>
      <c r="AL113" s="1030">
        <f>IFERROR(INDEX(G113:R113,1,MATCH(Parametres!$B$3,G$1:R$1,0)-1)*IF(OR(F113="L",F113="S",F113="I"),-1,1),"")</f>
        <v>0</v>
      </c>
      <c r="AM113" s="1030">
        <f t="shared" si="5"/>
        <v>0</v>
      </c>
      <c r="AN113" s="1030">
        <f>INDEX(G113:R113,1,MATCH(Parametres!$B$3,G$1:R$1,0))*IF(OR(F113="L",F113="S",F113="I"),-1,1)</f>
        <v>0</v>
      </c>
      <c r="AO113" s="598" t="e">
        <f>+VLOOKUP($AJ113,Data_Validation!$A:$D,1,0)</f>
        <v>#N/A</v>
      </c>
      <c r="AP113" s="598" t="e">
        <f>+VLOOKUP($AJ113,Data_Validation!$A:$D,3,0)</f>
        <v>#N/A</v>
      </c>
      <c r="AQ113" s="598" t="e">
        <f>+VLOOKUP($AJ113,Data_Validation!$A:$D,4,0)</f>
        <v>#N/A</v>
      </c>
      <c r="AR113" s="598" t="s">
        <v>299</v>
      </c>
      <c r="AS113" s="598" t="e">
        <f>+VLOOKUP($AJ113,Data_Validation!$A:$E,5,0)</f>
        <v>#N/A</v>
      </c>
      <c r="AT113" s="1036">
        <f t="shared" si="6"/>
        <v>0</v>
      </c>
      <c r="AU113" s="599">
        <f t="shared" si="6"/>
        <v>0</v>
      </c>
      <c r="AV113" s="1030">
        <f>IFERROR(INDEX(V113:AG113,1,MATCH(Parametres!$B$3,V$1:AG$1,0)-1)*IF(OR(C113="L",C113="S",C113="I"),-1,1),"")</f>
        <v>0</v>
      </c>
      <c r="AW113" s="1030">
        <f t="shared" si="7"/>
        <v>0</v>
      </c>
      <c r="AX113" s="1030">
        <f>INDEX(V113:AG113,1,MATCH(Parametres!$B$3,V$1:AG$1,0))*IF(OR(C113="L",C113="S",C113="I"),-1,1)</f>
        <v>0</v>
      </c>
      <c r="AY113" s="598" t="s">
        <v>337</v>
      </c>
      <c r="AZ113" s="598" t="e">
        <f>+VLOOKUP($AJ113,Data_Validation!$A:$E,5,0)</f>
        <v>#N/A</v>
      </c>
    </row>
    <row r="114" spans="36:52" ht="15" customHeight="1">
      <c r="AJ114" s="1030">
        <f t="shared" si="4"/>
        <v>0</v>
      </c>
      <c r="AK114" s="1030">
        <f t="shared" si="4"/>
        <v>0</v>
      </c>
      <c r="AL114" s="1030">
        <f>IFERROR(INDEX(G114:R114,1,MATCH(Parametres!$B$3,G$1:R$1,0)-1)*IF(OR(F114="L",F114="S",F114="I"),-1,1),"")</f>
        <v>0</v>
      </c>
      <c r="AM114" s="1030">
        <f t="shared" si="5"/>
        <v>0</v>
      </c>
      <c r="AN114" s="1030">
        <f>INDEX(G114:R114,1,MATCH(Parametres!$B$3,G$1:R$1,0))*IF(OR(F114="L",F114="S",F114="I"),-1,1)</f>
        <v>0</v>
      </c>
      <c r="AO114" s="598" t="e">
        <f>+VLOOKUP($AJ114,Data_Validation!$A:$D,1,0)</f>
        <v>#N/A</v>
      </c>
      <c r="AP114" s="598" t="e">
        <f>+VLOOKUP($AJ114,Data_Validation!$A:$D,3,0)</f>
        <v>#N/A</v>
      </c>
      <c r="AQ114" s="598" t="e">
        <f>+VLOOKUP($AJ114,Data_Validation!$A:$D,4,0)</f>
        <v>#N/A</v>
      </c>
      <c r="AR114" s="598" t="s">
        <v>299</v>
      </c>
      <c r="AS114" s="598" t="e">
        <f>+VLOOKUP($AJ114,Data_Validation!$A:$E,5,0)</f>
        <v>#N/A</v>
      </c>
      <c r="AT114" s="1036">
        <f t="shared" si="6"/>
        <v>0</v>
      </c>
      <c r="AU114" s="599">
        <f t="shared" si="6"/>
        <v>0</v>
      </c>
      <c r="AV114" s="1030">
        <f>IFERROR(INDEX(V114:AG114,1,MATCH(Parametres!$B$3,V$1:AG$1,0)-1)*IF(OR(C114="L",C114="S",C114="I"),-1,1),"")</f>
        <v>0</v>
      </c>
      <c r="AW114" s="1030">
        <f t="shared" si="7"/>
        <v>0</v>
      </c>
      <c r="AX114" s="1030">
        <f>INDEX(V114:AG114,1,MATCH(Parametres!$B$3,V$1:AG$1,0))*IF(OR(C114="L",C114="S",C114="I"),-1,1)</f>
        <v>0</v>
      </c>
      <c r="AY114" s="598" t="s">
        <v>337</v>
      </c>
      <c r="AZ114" s="598" t="e">
        <f>+VLOOKUP($AJ114,Data_Validation!$A:$E,5,0)</f>
        <v>#N/A</v>
      </c>
    </row>
    <row r="115" spans="36:52" ht="15" customHeight="1">
      <c r="AJ115" s="1030">
        <f t="shared" si="4"/>
        <v>0</v>
      </c>
      <c r="AK115" s="1030">
        <f t="shared" si="4"/>
        <v>0</v>
      </c>
      <c r="AL115" s="1030">
        <f>IFERROR(INDEX(G115:R115,1,MATCH(Parametres!$B$3,G$1:R$1,0)-1)*IF(OR(F115="L",F115="S",F115="I"),-1,1),"")</f>
        <v>0</v>
      </c>
      <c r="AM115" s="1030">
        <f t="shared" si="5"/>
        <v>0</v>
      </c>
      <c r="AN115" s="1030">
        <f>INDEX(G115:R115,1,MATCH(Parametres!$B$3,G$1:R$1,0))*IF(OR(F115="L",F115="S",F115="I"),-1,1)</f>
        <v>0</v>
      </c>
      <c r="AO115" s="598" t="e">
        <f>+VLOOKUP($AJ115,Data_Validation!$A:$D,1,0)</f>
        <v>#N/A</v>
      </c>
      <c r="AP115" s="598" t="e">
        <f>+VLOOKUP($AJ115,Data_Validation!$A:$D,3,0)</f>
        <v>#N/A</v>
      </c>
      <c r="AQ115" s="598" t="e">
        <f>+VLOOKUP($AJ115,Data_Validation!$A:$D,4,0)</f>
        <v>#N/A</v>
      </c>
      <c r="AR115" s="598" t="s">
        <v>299</v>
      </c>
      <c r="AS115" s="598" t="e">
        <f>+VLOOKUP($AJ115,Data_Validation!$A:$E,5,0)</f>
        <v>#N/A</v>
      </c>
      <c r="AT115" s="1036">
        <f t="shared" si="6"/>
        <v>0</v>
      </c>
      <c r="AU115" s="599">
        <f t="shared" si="6"/>
        <v>0</v>
      </c>
      <c r="AV115" s="1030">
        <f>IFERROR(INDEX(V115:AG115,1,MATCH(Parametres!$B$3,V$1:AG$1,0)-1)*IF(OR(C115="L",C115="S",C115="I"),-1,1),"")</f>
        <v>0</v>
      </c>
      <c r="AW115" s="1030">
        <f t="shared" si="7"/>
        <v>0</v>
      </c>
      <c r="AX115" s="1030">
        <f>INDEX(V115:AG115,1,MATCH(Parametres!$B$3,V$1:AG$1,0))*IF(OR(C115="L",C115="S",C115="I"),-1,1)</f>
        <v>0</v>
      </c>
      <c r="AY115" s="598" t="s">
        <v>337</v>
      </c>
      <c r="AZ115" s="598" t="e">
        <f>+VLOOKUP($AJ115,Data_Validation!$A:$E,5,0)</f>
        <v>#N/A</v>
      </c>
    </row>
    <row r="116" spans="36:52" ht="15" customHeight="1">
      <c r="AJ116" s="1030">
        <f t="shared" si="4"/>
        <v>0</v>
      </c>
      <c r="AK116" s="1030">
        <f t="shared" si="4"/>
        <v>0</v>
      </c>
      <c r="AL116" s="1030">
        <f>IFERROR(INDEX(G116:R116,1,MATCH(Parametres!$B$3,G$1:R$1,0)-1)*IF(OR(F116="L",F116="S",F116="I"),-1,1),"")</f>
        <v>0</v>
      </c>
      <c r="AM116" s="1030">
        <f t="shared" si="5"/>
        <v>0</v>
      </c>
      <c r="AN116" s="1030">
        <f>INDEX(G116:R116,1,MATCH(Parametres!$B$3,G$1:R$1,0))*IF(OR(F116="L",F116="S",F116="I"),-1,1)</f>
        <v>0</v>
      </c>
      <c r="AO116" s="598" t="e">
        <f>+VLOOKUP($AJ116,Data_Validation!$A:$D,1,0)</f>
        <v>#N/A</v>
      </c>
      <c r="AP116" s="598" t="e">
        <f>+VLOOKUP($AJ116,Data_Validation!$A:$D,3,0)</f>
        <v>#N/A</v>
      </c>
      <c r="AQ116" s="598" t="e">
        <f>+VLOOKUP($AJ116,Data_Validation!$A:$D,4,0)</f>
        <v>#N/A</v>
      </c>
      <c r="AR116" s="598" t="s">
        <v>299</v>
      </c>
      <c r="AS116" s="598" t="e">
        <f>+VLOOKUP($AJ116,Data_Validation!$A:$E,5,0)</f>
        <v>#N/A</v>
      </c>
      <c r="AT116" s="1036">
        <f t="shared" si="6"/>
        <v>0</v>
      </c>
      <c r="AU116" s="599">
        <f t="shared" si="6"/>
        <v>0</v>
      </c>
      <c r="AV116" s="1030">
        <f>IFERROR(INDEX(V116:AG116,1,MATCH(Parametres!$B$3,V$1:AG$1,0)-1)*IF(OR(C116="L",C116="S",C116="I"),-1,1),"")</f>
        <v>0</v>
      </c>
      <c r="AW116" s="1030">
        <f t="shared" si="7"/>
        <v>0</v>
      </c>
      <c r="AX116" s="1030">
        <f>INDEX(V116:AG116,1,MATCH(Parametres!$B$3,V$1:AG$1,0))*IF(OR(C116="L",C116="S",C116="I"),-1,1)</f>
        <v>0</v>
      </c>
      <c r="AY116" s="598" t="s">
        <v>337</v>
      </c>
      <c r="AZ116" s="598" t="e">
        <f>+VLOOKUP($AJ116,Data_Validation!$A:$E,5,0)</f>
        <v>#N/A</v>
      </c>
    </row>
    <row r="117" spans="36:52" ht="15.75" customHeight="1">
      <c r="AJ117" s="1030">
        <f t="shared" si="4"/>
        <v>0</v>
      </c>
      <c r="AK117" s="1030">
        <f t="shared" si="4"/>
        <v>0</v>
      </c>
      <c r="AL117" s="1030">
        <f>IFERROR(INDEX(G117:R117,1,MATCH(Parametres!$B$3,G$1:R$1,0)-1)*IF(OR(F117="L",F117="S",F117="I"),-1,1),"")</f>
        <v>0</v>
      </c>
      <c r="AM117" s="1030">
        <f t="shared" si="5"/>
        <v>0</v>
      </c>
      <c r="AN117" s="1030">
        <f>INDEX(G117:R117,1,MATCH(Parametres!$B$3,G$1:R$1,0))*IF(OR(F117="L",F117="S",F117="I"),-1,1)</f>
        <v>0</v>
      </c>
      <c r="AO117" s="598" t="e">
        <f>+VLOOKUP($AJ117,Data_Validation!$A:$D,1,0)</f>
        <v>#N/A</v>
      </c>
      <c r="AP117" s="598" t="e">
        <f>+VLOOKUP($AJ117,Data_Validation!$A:$D,3,0)</f>
        <v>#N/A</v>
      </c>
      <c r="AQ117" s="598" t="e">
        <f>+VLOOKUP($AJ117,Data_Validation!$A:$D,4,0)</f>
        <v>#N/A</v>
      </c>
      <c r="AR117" s="598" t="s">
        <v>299</v>
      </c>
      <c r="AS117" s="598" t="e">
        <f>+VLOOKUP($AJ117,Data_Validation!$A:$E,5,0)</f>
        <v>#N/A</v>
      </c>
      <c r="AT117" s="1036">
        <f t="shared" si="6"/>
        <v>0</v>
      </c>
      <c r="AU117" s="599">
        <f t="shared" si="6"/>
        <v>0</v>
      </c>
      <c r="AV117" s="1030">
        <f>IFERROR(INDEX(V117:AG117,1,MATCH(Parametres!$B$3,V$1:AG$1,0)-1)*IF(OR(C117="L",C117="S",C117="I"),-1,1),"")</f>
        <v>0</v>
      </c>
      <c r="AW117" s="1030">
        <f t="shared" si="7"/>
        <v>0</v>
      </c>
      <c r="AX117" s="1030">
        <f>INDEX(V117:AG117,1,MATCH(Parametres!$B$3,V$1:AG$1,0))*IF(OR(C117="L",C117="S",C117="I"),-1,1)</f>
        <v>0</v>
      </c>
      <c r="AY117" s="598" t="s">
        <v>337</v>
      </c>
      <c r="AZ117" s="598" t="e">
        <f>+VLOOKUP($AJ117,Data_Validation!$A:$E,5,0)</f>
        <v>#N/A</v>
      </c>
    </row>
    <row r="118" spans="36:52" ht="15" customHeight="1">
      <c r="AJ118" s="1030">
        <f t="shared" si="4"/>
        <v>0</v>
      </c>
      <c r="AK118" s="1030">
        <f t="shared" si="4"/>
        <v>0</v>
      </c>
      <c r="AL118" s="1030">
        <f>IFERROR(INDEX(G118:R118,1,MATCH(Parametres!$B$3,G$1:R$1,0)-1)*IF(OR(F118="L",F118="S",F118="I"),-1,1),"")</f>
        <v>0</v>
      </c>
      <c r="AM118" s="1030">
        <f t="shared" si="5"/>
        <v>0</v>
      </c>
      <c r="AN118" s="1030">
        <f>INDEX(G118:R118,1,MATCH(Parametres!$B$3,G$1:R$1,0))*IF(OR(F118="L",F118="S",F118="I"),-1,1)</f>
        <v>0</v>
      </c>
      <c r="AO118" s="598" t="e">
        <f>+VLOOKUP($AJ118,Data_Validation!$A:$D,1,0)</f>
        <v>#N/A</v>
      </c>
      <c r="AP118" s="598" t="e">
        <f>+VLOOKUP($AJ118,Data_Validation!$A:$D,3,0)</f>
        <v>#N/A</v>
      </c>
      <c r="AQ118" s="598" t="e">
        <f>+VLOOKUP($AJ118,Data_Validation!$A:$D,4,0)</f>
        <v>#N/A</v>
      </c>
      <c r="AR118" s="598" t="s">
        <v>299</v>
      </c>
      <c r="AS118" s="598" t="e">
        <f>+VLOOKUP($AJ118,Data_Validation!$A:$E,5,0)</f>
        <v>#N/A</v>
      </c>
      <c r="AT118" s="1036">
        <f t="shared" si="6"/>
        <v>0</v>
      </c>
      <c r="AU118" s="599">
        <f t="shared" si="6"/>
        <v>0</v>
      </c>
      <c r="AV118" s="1030">
        <f>IFERROR(INDEX(V118:AG118,1,MATCH(Parametres!$B$3,V$1:AG$1,0)-1)*IF(OR(C118="L",C118="S",C118="I"),-1,1),"")</f>
        <v>0</v>
      </c>
      <c r="AW118" s="1030">
        <f t="shared" si="7"/>
        <v>0</v>
      </c>
      <c r="AX118" s="1030">
        <f>INDEX(V118:AG118,1,MATCH(Parametres!$B$3,V$1:AG$1,0))*IF(OR(C118="L",C118="S",C118="I"),-1,1)</f>
        <v>0</v>
      </c>
      <c r="AY118" s="598" t="s">
        <v>337</v>
      </c>
      <c r="AZ118" s="598" t="e">
        <f>+VLOOKUP($AJ118,Data_Validation!$A:$E,5,0)</f>
        <v>#N/A</v>
      </c>
    </row>
    <row r="119" spans="36:52" ht="15" customHeight="1">
      <c r="AJ119" s="1030">
        <f t="shared" si="4"/>
        <v>0</v>
      </c>
      <c r="AK119" s="1030">
        <f t="shared" si="4"/>
        <v>0</v>
      </c>
      <c r="AL119" s="1030">
        <f>IFERROR(INDEX(G119:R119,1,MATCH(Parametres!$B$3,G$1:R$1,0)-1)*IF(OR(F119="L",F119="S",F119="I"),-1,1),"")</f>
        <v>0</v>
      </c>
      <c r="AM119" s="1030">
        <f t="shared" si="5"/>
        <v>0</v>
      </c>
      <c r="AN119" s="1030">
        <f>INDEX(G119:R119,1,MATCH(Parametres!$B$3,G$1:R$1,0))*IF(OR(F119="L",F119="S",F119="I"),-1,1)</f>
        <v>0</v>
      </c>
      <c r="AO119" s="598" t="e">
        <f>+VLOOKUP($AJ119,Data_Validation!$A:$D,1,0)</f>
        <v>#N/A</v>
      </c>
      <c r="AP119" s="598" t="e">
        <f>+VLOOKUP($AJ119,Data_Validation!$A:$D,3,0)</f>
        <v>#N/A</v>
      </c>
      <c r="AQ119" s="598" t="e">
        <f>+VLOOKUP($AJ119,Data_Validation!$A:$D,4,0)</f>
        <v>#N/A</v>
      </c>
      <c r="AR119" s="598" t="s">
        <v>299</v>
      </c>
      <c r="AS119" s="598" t="e">
        <f>+VLOOKUP($AJ119,Data_Validation!$A:$E,5,0)</f>
        <v>#N/A</v>
      </c>
      <c r="AT119" s="1036">
        <f t="shared" si="6"/>
        <v>0</v>
      </c>
      <c r="AU119" s="599">
        <f t="shared" si="6"/>
        <v>0</v>
      </c>
      <c r="AV119" s="1030">
        <f>IFERROR(INDEX(V119:AG119,1,MATCH(Parametres!$B$3,V$1:AG$1,0)-1)*IF(OR(C119="L",C119="S",C119="I"),-1,1),"")</f>
        <v>0</v>
      </c>
      <c r="AW119" s="1030">
        <f t="shared" si="7"/>
        <v>0</v>
      </c>
      <c r="AX119" s="1030">
        <f>INDEX(V119:AG119,1,MATCH(Parametres!$B$3,V$1:AG$1,0))*IF(OR(C119="L",C119="S",C119="I"),-1,1)</f>
        <v>0</v>
      </c>
      <c r="AY119" s="598" t="s">
        <v>337</v>
      </c>
      <c r="AZ119" s="598" t="e">
        <f>+VLOOKUP($AJ119,Data_Validation!$A:$E,5,0)</f>
        <v>#N/A</v>
      </c>
    </row>
    <row r="120" spans="36:52" ht="15" customHeight="1">
      <c r="AJ120" s="1030">
        <f t="shared" si="4"/>
        <v>0</v>
      </c>
      <c r="AK120" s="1030">
        <f t="shared" si="4"/>
        <v>0</v>
      </c>
      <c r="AL120" s="1030">
        <f>IFERROR(INDEX(G120:R120,1,MATCH(Parametres!$B$3,G$1:R$1,0)-1)*IF(OR(F120="L",F120="S",F120="I"),-1,1),"")</f>
        <v>0</v>
      </c>
      <c r="AM120" s="1030">
        <f t="shared" si="5"/>
        <v>0</v>
      </c>
      <c r="AN120" s="1030">
        <f>INDEX(G120:R120,1,MATCH(Parametres!$B$3,G$1:R$1,0))*IF(OR(F120="L",F120="S",F120="I"),-1,1)</f>
        <v>0</v>
      </c>
      <c r="AO120" s="598" t="e">
        <f>+VLOOKUP($AJ120,Data_Validation!$A:$D,1,0)</f>
        <v>#N/A</v>
      </c>
      <c r="AP120" s="598" t="e">
        <f>+VLOOKUP($AJ120,Data_Validation!$A:$D,3,0)</f>
        <v>#N/A</v>
      </c>
      <c r="AQ120" s="598" t="e">
        <f>+VLOOKUP($AJ120,Data_Validation!$A:$D,4,0)</f>
        <v>#N/A</v>
      </c>
      <c r="AR120" s="598" t="s">
        <v>299</v>
      </c>
      <c r="AS120" s="598" t="e">
        <f>+VLOOKUP($AJ120,Data_Validation!$A:$E,5,0)</f>
        <v>#N/A</v>
      </c>
      <c r="AT120" s="1036">
        <f t="shared" si="6"/>
        <v>0</v>
      </c>
      <c r="AU120" s="599">
        <f t="shared" si="6"/>
        <v>0</v>
      </c>
      <c r="AV120" s="1030">
        <f>IFERROR(INDEX(V120:AG120,1,MATCH(Parametres!$B$3,V$1:AG$1,0)-1)*IF(OR(C120="L",C120="S",C120="I"),-1,1),"")</f>
        <v>0</v>
      </c>
      <c r="AW120" s="1030">
        <f t="shared" si="7"/>
        <v>0</v>
      </c>
      <c r="AX120" s="1030">
        <f>INDEX(V120:AG120,1,MATCH(Parametres!$B$3,V$1:AG$1,0))*IF(OR(C120="L",C120="S",C120="I"),-1,1)</f>
        <v>0</v>
      </c>
      <c r="AY120" s="598" t="s">
        <v>337</v>
      </c>
      <c r="AZ120" s="598" t="e">
        <f>+VLOOKUP($AJ120,Data_Validation!$A:$E,5,0)</f>
        <v>#N/A</v>
      </c>
    </row>
    <row r="121" spans="36:52" ht="15" customHeight="1">
      <c r="AJ121" s="1030">
        <f t="shared" si="4"/>
        <v>0</v>
      </c>
      <c r="AK121" s="1030">
        <f t="shared" si="4"/>
        <v>0</v>
      </c>
      <c r="AL121" s="1030">
        <f>IFERROR(INDEX(G121:R121,1,MATCH(Parametres!$B$3,G$1:R$1,0)-1)*IF(OR(F121="L",F121="S",F121="I"),-1,1),"")</f>
        <v>0</v>
      </c>
      <c r="AM121" s="1030">
        <f t="shared" si="5"/>
        <v>0</v>
      </c>
      <c r="AN121" s="1030">
        <f>INDEX(G121:R121,1,MATCH(Parametres!$B$3,G$1:R$1,0))*IF(OR(F121="L",F121="S",F121="I"),-1,1)</f>
        <v>0</v>
      </c>
      <c r="AO121" s="598" t="e">
        <f>+VLOOKUP($AJ121,Data_Validation!$A:$D,1,0)</f>
        <v>#N/A</v>
      </c>
      <c r="AP121" s="598" t="e">
        <f>+VLOOKUP($AJ121,Data_Validation!$A:$D,3,0)</f>
        <v>#N/A</v>
      </c>
      <c r="AQ121" s="598" t="e">
        <f>+VLOOKUP($AJ121,Data_Validation!$A:$D,4,0)</f>
        <v>#N/A</v>
      </c>
      <c r="AR121" s="598" t="s">
        <v>299</v>
      </c>
      <c r="AS121" s="598" t="e">
        <f>+VLOOKUP($AJ121,Data_Validation!$A:$E,5,0)</f>
        <v>#N/A</v>
      </c>
      <c r="AT121" s="1036">
        <f t="shared" si="6"/>
        <v>0</v>
      </c>
      <c r="AU121" s="599">
        <f t="shared" si="6"/>
        <v>0</v>
      </c>
      <c r="AV121" s="1030">
        <f>IFERROR(INDEX(V121:AG121,1,MATCH(Parametres!$B$3,V$1:AG$1,0)-1)*IF(OR(C121="L",C121="S",C121="I"),-1,1),"")</f>
        <v>0</v>
      </c>
      <c r="AW121" s="1030">
        <f t="shared" si="7"/>
        <v>0</v>
      </c>
      <c r="AX121" s="1030">
        <f>INDEX(V121:AG121,1,MATCH(Parametres!$B$3,V$1:AG$1,0))*IF(OR(C121="L",C121="S",C121="I"),-1,1)</f>
        <v>0</v>
      </c>
      <c r="AY121" s="598" t="s">
        <v>337</v>
      </c>
      <c r="AZ121" s="598" t="e">
        <f>+VLOOKUP($AJ121,Data_Validation!$A:$E,5,0)</f>
        <v>#N/A</v>
      </c>
    </row>
    <row r="122" spans="36:52" ht="15" customHeight="1">
      <c r="AJ122" s="1030">
        <f t="shared" si="4"/>
        <v>0</v>
      </c>
      <c r="AK122" s="1030">
        <f t="shared" si="4"/>
        <v>0</v>
      </c>
      <c r="AL122" s="1030">
        <f>IFERROR(INDEX(G122:R122,1,MATCH(Parametres!$B$3,G$1:R$1,0)-1)*IF(OR(F122="L",F122="S",F122="I"),-1,1),"")</f>
        <v>0</v>
      </c>
      <c r="AM122" s="1030">
        <f t="shared" si="5"/>
        <v>0</v>
      </c>
      <c r="AN122" s="1030">
        <f>INDEX(G122:R122,1,MATCH(Parametres!$B$3,G$1:R$1,0))*IF(OR(F122="L",F122="S",F122="I"),-1,1)</f>
        <v>0</v>
      </c>
      <c r="AO122" s="598" t="e">
        <f>+VLOOKUP($AJ122,Data_Validation!$A:$D,1,0)</f>
        <v>#N/A</v>
      </c>
      <c r="AP122" s="598" t="e">
        <f>+VLOOKUP($AJ122,Data_Validation!$A:$D,3,0)</f>
        <v>#N/A</v>
      </c>
      <c r="AQ122" s="598" t="e">
        <f>+VLOOKUP($AJ122,Data_Validation!$A:$D,4,0)</f>
        <v>#N/A</v>
      </c>
      <c r="AR122" s="598" t="s">
        <v>299</v>
      </c>
      <c r="AS122" s="598" t="e">
        <f>+VLOOKUP($AJ122,Data_Validation!$A:$E,5,0)</f>
        <v>#N/A</v>
      </c>
      <c r="AT122" s="1036">
        <f t="shared" si="6"/>
        <v>0</v>
      </c>
      <c r="AU122" s="599">
        <f t="shared" si="6"/>
        <v>0</v>
      </c>
      <c r="AV122" s="1030">
        <f>IFERROR(INDEX(V122:AG122,1,MATCH(Parametres!$B$3,V$1:AG$1,0)-1)*IF(OR(C122="L",C122="S",C122="I"),-1,1),"")</f>
        <v>0</v>
      </c>
      <c r="AW122" s="1030">
        <f t="shared" si="7"/>
        <v>0</v>
      </c>
      <c r="AX122" s="1030">
        <f>INDEX(V122:AG122,1,MATCH(Parametres!$B$3,V$1:AG$1,0))*IF(OR(C122="L",C122="S",C122="I"),-1,1)</f>
        <v>0</v>
      </c>
      <c r="AY122" s="598" t="s">
        <v>337</v>
      </c>
      <c r="AZ122" s="598" t="e">
        <f>+VLOOKUP($AJ122,Data_Validation!$A:$E,5,0)</f>
        <v>#N/A</v>
      </c>
    </row>
    <row r="123" spans="36:52" ht="15.75" customHeight="1">
      <c r="AJ123" s="1030">
        <f t="shared" si="4"/>
        <v>0</v>
      </c>
      <c r="AK123" s="1030">
        <f t="shared" si="4"/>
        <v>0</v>
      </c>
      <c r="AL123" s="1030">
        <f>IFERROR(INDEX(G123:R123,1,MATCH(Parametres!$B$3,G$1:R$1,0)-1)*IF(OR(F123="L",F123="S",F123="I"),-1,1),"")</f>
        <v>0</v>
      </c>
      <c r="AM123" s="1030">
        <f t="shared" si="5"/>
        <v>0</v>
      </c>
      <c r="AN123" s="1030">
        <f>INDEX(G123:R123,1,MATCH(Parametres!$B$3,G$1:R$1,0))*IF(OR(F123="L",F123="S",F123="I"),-1,1)</f>
        <v>0</v>
      </c>
      <c r="AO123" s="598" t="e">
        <f>+VLOOKUP($AJ123,Data_Validation!$A:$D,1,0)</f>
        <v>#N/A</v>
      </c>
      <c r="AP123" s="598" t="e">
        <f>+VLOOKUP($AJ123,Data_Validation!$A:$D,3,0)</f>
        <v>#N/A</v>
      </c>
      <c r="AQ123" s="598" t="e">
        <f>+VLOOKUP($AJ123,Data_Validation!$A:$D,4,0)</f>
        <v>#N/A</v>
      </c>
      <c r="AR123" s="598" t="s">
        <v>299</v>
      </c>
      <c r="AS123" s="598" t="e">
        <f>+VLOOKUP($AJ123,Data_Validation!$A:$E,5,0)</f>
        <v>#N/A</v>
      </c>
      <c r="AT123" s="1036">
        <f t="shared" si="6"/>
        <v>0</v>
      </c>
      <c r="AU123" s="599">
        <f t="shared" si="6"/>
        <v>0</v>
      </c>
      <c r="AV123" s="1030">
        <f>IFERROR(INDEX(V123:AG123,1,MATCH(Parametres!$B$3,V$1:AG$1,0)-1)*IF(OR(C123="L",C123="S",C123="I"),-1,1),"")</f>
        <v>0</v>
      </c>
      <c r="AW123" s="1030">
        <f t="shared" si="7"/>
        <v>0</v>
      </c>
      <c r="AX123" s="1030">
        <f>INDEX(V123:AG123,1,MATCH(Parametres!$B$3,V$1:AG$1,0))*IF(OR(C123="L",C123="S",C123="I"),-1,1)</f>
        <v>0</v>
      </c>
      <c r="AY123" s="598" t="s">
        <v>337</v>
      </c>
      <c r="AZ123" s="598" t="e">
        <f>+VLOOKUP($AJ123,Data_Validation!$A:$E,5,0)</f>
        <v>#N/A</v>
      </c>
    </row>
    <row r="124" spans="36:52" ht="15" customHeight="1">
      <c r="AJ124" s="1030">
        <f t="shared" si="4"/>
        <v>0</v>
      </c>
      <c r="AK124" s="1030">
        <f t="shared" si="4"/>
        <v>0</v>
      </c>
      <c r="AL124" s="1030">
        <f>IFERROR(INDEX(G124:R124,1,MATCH(Parametres!$B$3,G$1:R$1,0)-1)*IF(OR(F124="L",F124="S",F124="I"),-1,1),"")</f>
        <v>0</v>
      </c>
      <c r="AM124" s="1030">
        <f t="shared" si="5"/>
        <v>0</v>
      </c>
      <c r="AN124" s="1030">
        <f>INDEX(G124:R124,1,MATCH(Parametres!$B$3,G$1:R$1,0))*IF(OR(F124="L",F124="S",F124="I"),-1,1)</f>
        <v>0</v>
      </c>
      <c r="AO124" s="598" t="e">
        <f>+VLOOKUP($AJ124,Data_Validation!$A:$D,1,0)</f>
        <v>#N/A</v>
      </c>
      <c r="AP124" s="598" t="e">
        <f>+VLOOKUP($AJ124,Data_Validation!$A:$D,3,0)</f>
        <v>#N/A</v>
      </c>
      <c r="AQ124" s="598" t="e">
        <f>+VLOOKUP($AJ124,Data_Validation!$A:$D,4,0)</f>
        <v>#N/A</v>
      </c>
      <c r="AR124" s="598" t="s">
        <v>299</v>
      </c>
      <c r="AS124" s="598" t="e">
        <f>+VLOOKUP($AJ124,Data_Validation!$A:$E,5,0)</f>
        <v>#N/A</v>
      </c>
      <c r="AT124" s="1036">
        <f t="shared" si="6"/>
        <v>0</v>
      </c>
      <c r="AU124" s="599">
        <f t="shared" si="6"/>
        <v>0</v>
      </c>
      <c r="AV124" s="1030">
        <f>IFERROR(INDEX(V124:AG124,1,MATCH(Parametres!$B$3,V$1:AG$1,0)-1)*IF(OR(C124="L",C124="S",C124="I"),-1,1),"")</f>
        <v>0</v>
      </c>
      <c r="AW124" s="1030">
        <f t="shared" si="7"/>
        <v>0</v>
      </c>
      <c r="AX124" s="1030">
        <f>INDEX(V124:AG124,1,MATCH(Parametres!$B$3,V$1:AG$1,0))*IF(OR(C124="L",C124="S",C124="I"),-1,1)</f>
        <v>0</v>
      </c>
      <c r="AY124" s="598" t="s">
        <v>337</v>
      </c>
      <c r="AZ124" s="598" t="e">
        <f>+VLOOKUP($AJ124,Data_Validation!$A:$E,5,0)</f>
        <v>#N/A</v>
      </c>
    </row>
    <row r="125" spans="36:52" ht="15" customHeight="1">
      <c r="AJ125" s="1030">
        <f t="shared" si="4"/>
        <v>0</v>
      </c>
      <c r="AK125" s="1030">
        <f t="shared" si="4"/>
        <v>0</v>
      </c>
      <c r="AL125" s="1030">
        <f>IFERROR(INDEX(G125:R125,1,MATCH(Parametres!$B$3,G$1:R$1,0)-1)*IF(OR(F125="L",F125="S",F125="I"),-1,1),"")</f>
        <v>0</v>
      </c>
      <c r="AM125" s="1030">
        <f t="shared" si="5"/>
        <v>0</v>
      </c>
      <c r="AN125" s="1030">
        <f>INDEX(G125:R125,1,MATCH(Parametres!$B$3,G$1:R$1,0))*IF(OR(F125="L",F125="S",F125="I"),-1,1)</f>
        <v>0</v>
      </c>
      <c r="AO125" s="598" t="e">
        <f>+VLOOKUP($AJ125,Data_Validation!$A:$D,1,0)</f>
        <v>#N/A</v>
      </c>
      <c r="AP125" s="598" t="e">
        <f>+VLOOKUP($AJ125,Data_Validation!$A:$D,3,0)</f>
        <v>#N/A</v>
      </c>
      <c r="AQ125" s="598" t="e">
        <f>+VLOOKUP($AJ125,Data_Validation!$A:$D,4,0)</f>
        <v>#N/A</v>
      </c>
      <c r="AR125" s="598" t="s">
        <v>299</v>
      </c>
      <c r="AS125" s="598" t="e">
        <f>+VLOOKUP($AJ125,Data_Validation!$A:$E,5,0)</f>
        <v>#N/A</v>
      </c>
      <c r="AT125" s="1036">
        <f t="shared" si="6"/>
        <v>0</v>
      </c>
      <c r="AU125" s="599">
        <f t="shared" si="6"/>
        <v>0</v>
      </c>
      <c r="AV125" s="1030">
        <f>IFERROR(INDEX(V125:AG125,1,MATCH(Parametres!$B$3,V$1:AG$1,0)-1)*IF(OR(C125="L",C125="S",C125="I"),-1,1),"")</f>
        <v>0</v>
      </c>
      <c r="AW125" s="1030">
        <f t="shared" si="7"/>
        <v>0</v>
      </c>
      <c r="AX125" s="1030">
        <f>INDEX(V125:AG125,1,MATCH(Parametres!$B$3,V$1:AG$1,0))*IF(OR(C125="L",C125="S",C125="I"),-1,1)</f>
        <v>0</v>
      </c>
      <c r="AY125" s="598" t="s">
        <v>337</v>
      </c>
      <c r="AZ125" s="598" t="e">
        <f>+VLOOKUP($AJ125,Data_Validation!$A:$E,5,0)</f>
        <v>#N/A</v>
      </c>
    </row>
    <row r="126" spans="36:52" ht="15" customHeight="1">
      <c r="AJ126" s="1030">
        <f t="shared" si="4"/>
        <v>0</v>
      </c>
      <c r="AK126" s="1030">
        <f t="shared" si="4"/>
        <v>0</v>
      </c>
      <c r="AL126" s="1030">
        <f>IFERROR(INDEX(G126:R126,1,MATCH(Parametres!$B$3,G$1:R$1,0)-1)*IF(OR(F126="L",F126="S",F126="I"),-1,1),"")</f>
        <v>0</v>
      </c>
      <c r="AM126" s="1030">
        <f t="shared" si="5"/>
        <v>0</v>
      </c>
      <c r="AN126" s="1030">
        <f>INDEX(G126:R126,1,MATCH(Parametres!$B$3,G$1:R$1,0))*IF(OR(F126="L",F126="S",F126="I"),-1,1)</f>
        <v>0</v>
      </c>
      <c r="AO126" s="598" t="e">
        <f>+VLOOKUP($AJ126,Data_Validation!$A:$D,1,0)</f>
        <v>#N/A</v>
      </c>
      <c r="AP126" s="598" t="e">
        <f>+VLOOKUP($AJ126,Data_Validation!$A:$D,3,0)</f>
        <v>#N/A</v>
      </c>
      <c r="AQ126" s="598" t="e">
        <f>+VLOOKUP($AJ126,Data_Validation!$A:$D,4,0)</f>
        <v>#N/A</v>
      </c>
      <c r="AR126" s="598" t="s">
        <v>299</v>
      </c>
      <c r="AS126" s="598" t="e">
        <f>+VLOOKUP($AJ126,Data_Validation!$A:$E,5,0)</f>
        <v>#N/A</v>
      </c>
      <c r="AT126" s="1036">
        <f t="shared" si="6"/>
        <v>0</v>
      </c>
      <c r="AU126" s="599">
        <f t="shared" si="6"/>
        <v>0</v>
      </c>
      <c r="AV126" s="1030">
        <f>IFERROR(INDEX(V126:AG126,1,MATCH(Parametres!$B$3,V$1:AG$1,0)-1)*IF(OR(C126="L",C126="S",C126="I"),-1,1),"")</f>
        <v>0</v>
      </c>
      <c r="AW126" s="1030">
        <f t="shared" si="7"/>
        <v>0</v>
      </c>
      <c r="AX126" s="1030">
        <f>INDEX(V126:AG126,1,MATCH(Parametres!$B$3,V$1:AG$1,0))*IF(OR(C126="L",C126="S",C126="I"),-1,1)</f>
        <v>0</v>
      </c>
      <c r="AY126" s="598" t="s">
        <v>337</v>
      </c>
      <c r="AZ126" s="598" t="e">
        <f>+VLOOKUP($AJ126,Data_Validation!$A:$E,5,0)</f>
        <v>#N/A</v>
      </c>
    </row>
    <row r="127" spans="36:52" ht="15" customHeight="1">
      <c r="AJ127" s="1030">
        <f t="shared" si="4"/>
        <v>0</v>
      </c>
      <c r="AK127" s="1030">
        <f t="shared" si="4"/>
        <v>0</v>
      </c>
      <c r="AL127" s="1030">
        <f>IFERROR(INDEX(G127:R127,1,MATCH(Parametres!$B$3,G$1:R$1,0)-1)*IF(OR(F127="L",F127="S",F127="I"),-1,1),"")</f>
        <v>0</v>
      </c>
      <c r="AM127" s="1030">
        <f t="shared" si="5"/>
        <v>0</v>
      </c>
      <c r="AN127" s="1030">
        <f>INDEX(G127:R127,1,MATCH(Parametres!$B$3,G$1:R$1,0))*IF(OR(F127="L",F127="S",F127="I"),-1,1)</f>
        <v>0</v>
      </c>
      <c r="AO127" s="598" t="e">
        <f>+VLOOKUP($AJ127,Data_Validation!$A:$D,1,0)</f>
        <v>#N/A</v>
      </c>
      <c r="AP127" s="598" t="e">
        <f>+VLOOKUP($AJ127,Data_Validation!$A:$D,3,0)</f>
        <v>#N/A</v>
      </c>
      <c r="AQ127" s="598" t="e">
        <f>+VLOOKUP($AJ127,Data_Validation!$A:$D,4,0)</f>
        <v>#N/A</v>
      </c>
      <c r="AR127" s="598" t="s">
        <v>299</v>
      </c>
      <c r="AS127" s="598" t="e">
        <f>+VLOOKUP($AJ127,Data_Validation!$A:$E,5,0)</f>
        <v>#N/A</v>
      </c>
      <c r="AT127" s="1036">
        <f t="shared" si="6"/>
        <v>0</v>
      </c>
      <c r="AU127" s="599">
        <f t="shared" si="6"/>
        <v>0</v>
      </c>
      <c r="AV127" s="1030">
        <f>IFERROR(INDEX(V127:AG127,1,MATCH(Parametres!$B$3,V$1:AG$1,0)-1)*IF(OR(C127="L",C127="S",C127="I"),-1,1),"")</f>
        <v>0</v>
      </c>
      <c r="AW127" s="1030">
        <f t="shared" si="7"/>
        <v>0</v>
      </c>
      <c r="AX127" s="1030">
        <f>INDEX(V127:AG127,1,MATCH(Parametres!$B$3,V$1:AG$1,0))*IF(OR(C127="L",C127="S",C127="I"),-1,1)</f>
        <v>0</v>
      </c>
      <c r="AY127" s="598" t="s">
        <v>337</v>
      </c>
      <c r="AZ127" s="598" t="e">
        <f>+VLOOKUP($AJ127,Data_Validation!$A:$E,5,0)</f>
        <v>#N/A</v>
      </c>
    </row>
    <row r="128" spans="36:52" ht="15" customHeight="1">
      <c r="AJ128" s="1030">
        <f t="shared" si="4"/>
        <v>0</v>
      </c>
      <c r="AK128" s="1030">
        <f t="shared" si="4"/>
        <v>0</v>
      </c>
      <c r="AL128" s="1030">
        <f>IFERROR(INDEX(G128:R128,1,MATCH(Parametres!$B$3,G$1:R$1,0)-1)*IF(OR(F128="L",F128="S",F128="I"),-1,1),"")</f>
        <v>0</v>
      </c>
      <c r="AM128" s="1030">
        <f t="shared" si="5"/>
        <v>0</v>
      </c>
      <c r="AN128" s="1030">
        <f>INDEX(G128:R128,1,MATCH(Parametres!$B$3,G$1:R$1,0))*IF(OR(F128="L",F128="S",F128="I"),-1,1)</f>
        <v>0</v>
      </c>
      <c r="AO128" s="598" t="e">
        <f>+VLOOKUP($AJ128,Data_Validation!$A:$D,1,0)</f>
        <v>#N/A</v>
      </c>
      <c r="AP128" s="598" t="e">
        <f>+VLOOKUP($AJ128,Data_Validation!$A:$D,3,0)</f>
        <v>#N/A</v>
      </c>
      <c r="AQ128" s="598" t="e">
        <f>+VLOOKUP($AJ128,Data_Validation!$A:$D,4,0)</f>
        <v>#N/A</v>
      </c>
      <c r="AR128" s="598" t="s">
        <v>299</v>
      </c>
      <c r="AS128" s="598" t="e">
        <f>+VLOOKUP($AJ128,Data_Validation!$A:$E,5,0)</f>
        <v>#N/A</v>
      </c>
      <c r="AT128" s="1036">
        <f t="shared" si="6"/>
        <v>0</v>
      </c>
      <c r="AU128" s="599">
        <f t="shared" si="6"/>
        <v>0</v>
      </c>
      <c r="AV128" s="1030">
        <f>IFERROR(INDEX(V128:AG128,1,MATCH(Parametres!$B$3,V$1:AG$1,0)-1)*IF(OR(C128="L",C128="S",C128="I"),-1,1),"")</f>
        <v>0</v>
      </c>
      <c r="AW128" s="1030">
        <f t="shared" si="7"/>
        <v>0</v>
      </c>
      <c r="AX128" s="1030">
        <f>INDEX(V128:AG128,1,MATCH(Parametres!$B$3,V$1:AG$1,0))*IF(OR(C128="L",C128="S",C128="I"),-1,1)</f>
        <v>0</v>
      </c>
      <c r="AY128" s="598" t="s">
        <v>337</v>
      </c>
      <c r="AZ128" s="598" t="e">
        <f>+VLOOKUP($AJ128,Data_Validation!$A:$E,5,0)</f>
        <v>#N/A</v>
      </c>
    </row>
    <row r="129" spans="36:52" ht="15" customHeight="1">
      <c r="AJ129" s="1030">
        <f t="shared" si="4"/>
        <v>0</v>
      </c>
      <c r="AK129" s="1030">
        <f t="shared" si="4"/>
        <v>0</v>
      </c>
      <c r="AL129" s="1030">
        <f>IFERROR(INDEX(G129:R129,1,MATCH(Parametres!$B$3,G$1:R$1,0)-1)*IF(OR(F129="L",F129="S",F129="I"),-1,1),"")</f>
        <v>0</v>
      </c>
      <c r="AM129" s="1030">
        <f t="shared" si="5"/>
        <v>0</v>
      </c>
      <c r="AN129" s="1030">
        <f>INDEX(G129:R129,1,MATCH(Parametres!$B$3,G$1:R$1,0))*IF(OR(F129="L",F129="S",F129="I"),-1,1)</f>
        <v>0</v>
      </c>
      <c r="AO129" s="598" t="e">
        <f>+VLOOKUP($AJ129,Data_Validation!$A:$D,1,0)</f>
        <v>#N/A</v>
      </c>
      <c r="AP129" s="598" t="e">
        <f>+VLOOKUP($AJ129,Data_Validation!$A:$D,3,0)</f>
        <v>#N/A</v>
      </c>
      <c r="AQ129" s="598" t="e">
        <f>+VLOOKUP($AJ129,Data_Validation!$A:$D,4,0)</f>
        <v>#N/A</v>
      </c>
      <c r="AR129" s="598" t="s">
        <v>299</v>
      </c>
      <c r="AS129" s="598" t="e">
        <f>+VLOOKUP($AJ129,Data_Validation!$A:$E,5,0)</f>
        <v>#N/A</v>
      </c>
      <c r="AT129" s="1036">
        <f t="shared" si="6"/>
        <v>0</v>
      </c>
      <c r="AU129" s="599">
        <f t="shared" si="6"/>
        <v>0</v>
      </c>
      <c r="AV129" s="1030">
        <f>IFERROR(INDEX(V129:AG129,1,MATCH(Parametres!$B$3,V$1:AG$1,0)-1)*IF(OR(C129="L",C129="S",C129="I"),-1,1),"")</f>
        <v>0</v>
      </c>
      <c r="AW129" s="1030">
        <f t="shared" si="7"/>
        <v>0</v>
      </c>
      <c r="AX129" s="1030">
        <f>INDEX(V129:AG129,1,MATCH(Parametres!$B$3,V$1:AG$1,0))*IF(OR(C129="L",C129="S",C129="I"),-1,1)</f>
        <v>0</v>
      </c>
      <c r="AY129" s="598" t="s">
        <v>337</v>
      </c>
      <c r="AZ129" s="598" t="e">
        <f>+VLOOKUP($AJ129,Data_Validation!$A:$E,5,0)</f>
        <v>#N/A</v>
      </c>
    </row>
    <row r="130" spans="36:52" ht="15" customHeight="1">
      <c r="AJ130" s="1030">
        <f t="shared" si="4"/>
        <v>0</v>
      </c>
      <c r="AK130" s="1030">
        <f t="shared" si="4"/>
        <v>0</v>
      </c>
      <c r="AL130" s="1030">
        <f>IFERROR(INDEX(G130:R130,1,MATCH(Parametres!$B$3,G$1:R$1,0)-1)*IF(OR(F130="L",F130="S",F130="I"),-1,1),"")</f>
        <v>0</v>
      </c>
      <c r="AM130" s="1030">
        <f t="shared" si="5"/>
        <v>0</v>
      </c>
      <c r="AN130" s="1030">
        <f>INDEX(G130:R130,1,MATCH(Parametres!$B$3,G$1:R$1,0))*IF(OR(F130="L",F130="S",F130="I"),-1,1)</f>
        <v>0</v>
      </c>
      <c r="AO130" s="598" t="e">
        <f>+VLOOKUP($AJ130,Data_Validation!$A:$D,1,0)</f>
        <v>#N/A</v>
      </c>
      <c r="AP130" s="598" t="e">
        <f>+VLOOKUP($AJ130,Data_Validation!$A:$D,3,0)</f>
        <v>#N/A</v>
      </c>
      <c r="AQ130" s="598" t="e">
        <f>+VLOOKUP($AJ130,Data_Validation!$A:$D,4,0)</f>
        <v>#N/A</v>
      </c>
      <c r="AR130" s="598" t="s">
        <v>299</v>
      </c>
      <c r="AS130" s="598" t="e">
        <f>+VLOOKUP($AJ130,Data_Validation!$A:$E,5,0)</f>
        <v>#N/A</v>
      </c>
      <c r="AT130" s="1036">
        <f t="shared" si="6"/>
        <v>0</v>
      </c>
      <c r="AU130" s="599">
        <f t="shared" si="6"/>
        <v>0</v>
      </c>
      <c r="AV130" s="1030">
        <f>IFERROR(INDEX(V130:AG130,1,MATCH(Parametres!$B$3,V$1:AG$1,0)-1)*IF(OR(C130="L",C130="S",C130="I"),-1,1),"")</f>
        <v>0</v>
      </c>
      <c r="AW130" s="1030">
        <f t="shared" si="7"/>
        <v>0</v>
      </c>
      <c r="AX130" s="1030">
        <f>INDEX(V130:AG130,1,MATCH(Parametres!$B$3,V$1:AG$1,0))*IF(OR(C130="L",C130="S",C130="I"),-1,1)</f>
        <v>0</v>
      </c>
      <c r="AY130" s="598" t="s">
        <v>337</v>
      </c>
      <c r="AZ130" s="598" t="e">
        <f>+VLOOKUP($AJ130,Data_Validation!$A:$E,5,0)</f>
        <v>#N/A</v>
      </c>
    </row>
    <row r="131" spans="36:52" ht="15.75" customHeight="1">
      <c r="AJ131" s="1030">
        <f t="shared" si="4"/>
        <v>0</v>
      </c>
      <c r="AK131" s="1030">
        <f t="shared" si="4"/>
        <v>0</v>
      </c>
      <c r="AL131" s="1030">
        <f>IFERROR(INDEX(G131:R131,1,MATCH(Parametres!$B$3,G$1:R$1,0)-1)*IF(OR(F131="L",F131="S",F131="I"),-1,1),"")</f>
        <v>0</v>
      </c>
      <c r="AM131" s="1030">
        <f t="shared" si="5"/>
        <v>0</v>
      </c>
      <c r="AN131" s="1030">
        <f>INDEX(G131:R131,1,MATCH(Parametres!$B$3,G$1:R$1,0))*IF(OR(F131="L",F131="S",F131="I"),-1,1)</f>
        <v>0</v>
      </c>
      <c r="AO131" s="598" t="e">
        <f>+VLOOKUP($AJ131,Data_Validation!$A:$D,1,0)</f>
        <v>#N/A</v>
      </c>
      <c r="AP131" s="598" t="e">
        <f>+VLOOKUP($AJ131,Data_Validation!$A:$D,3,0)</f>
        <v>#N/A</v>
      </c>
      <c r="AQ131" s="598" t="e">
        <f>+VLOOKUP($AJ131,Data_Validation!$A:$D,4,0)</f>
        <v>#N/A</v>
      </c>
      <c r="AR131" s="598" t="s">
        <v>299</v>
      </c>
      <c r="AS131" s="598" t="e">
        <f>+VLOOKUP($AJ131,Data_Validation!$A:$E,5,0)</f>
        <v>#N/A</v>
      </c>
      <c r="AT131" s="1036">
        <f t="shared" si="6"/>
        <v>0</v>
      </c>
      <c r="AU131" s="599">
        <f t="shared" si="6"/>
        <v>0</v>
      </c>
      <c r="AV131" s="1030">
        <f>IFERROR(INDEX(V131:AG131,1,MATCH(Parametres!$B$3,V$1:AG$1,0)-1)*IF(OR(C131="L",C131="S",C131="I"),-1,1),"")</f>
        <v>0</v>
      </c>
      <c r="AW131" s="1030">
        <f t="shared" si="7"/>
        <v>0</v>
      </c>
      <c r="AX131" s="1030">
        <f>INDEX(V131:AG131,1,MATCH(Parametres!$B$3,V$1:AG$1,0))*IF(OR(C131="L",C131="S",C131="I"),-1,1)</f>
        <v>0</v>
      </c>
      <c r="AY131" s="598" t="s">
        <v>337</v>
      </c>
      <c r="AZ131" s="598" t="e">
        <f>+VLOOKUP($AJ131,Data_Validation!$A:$E,5,0)</f>
        <v>#N/A</v>
      </c>
    </row>
    <row r="132" spans="36:52" ht="15" customHeight="1">
      <c r="AJ132" s="1030">
        <f t="shared" ref="AJ132:AK195" si="8">C132</f>
        <v>0</v>
      </c>
      <c r="AK132" s="1030">
        <f t="shared" si="8"/>
        <v>0</v>
      </c>
      <c r="AL132" s="1030">
        <f>IFERROR(INDEX(G132:R132,1,MATCH(Parametres!$B$3,G$1:R$1,0)-1)*IF(OR(F132="L",F132="S",F132="I"),-1,1),"")</f>
        <v>0</v>
      </c>
      <c r="AM132" s="1030">
        <f t="shared" ref="AM132:AM195" si="9">AN132-N(AL132)</f>
        <v>0</v>
      </c>
      <c r="AN132" s="1030">
        <f>INDEX(G132:R132,1,MATCH(Parametres!$B$3,G$1:R$1,0))*IF(OR(F132="L",F132="S",F132="I"),-1,1)</f>
        <v>0</v>
      </c>
      <c r="AO132" s="598" t="e">
        <f>+VLOOKUP($AJ132,Data_Validation!$A:$D,1,0)</f>
        <v>#N/A</v>
      </c>
      <c r="AP132" s="598" t="e">
        <f>+VLOOKUP($AJ132,Data_Validation!$A:$D,3,0)</f>
        <v>#N/A</v>
      </c>
      <c r="AQ132" s="598" t="e">
        <f>+VLOOKUP($AJ132,Data_Validation!$A:$D,4,0)</f>
        <v>#N/A</v>
      </c>
      <c r="AR132" s="598" t="s">
        <v>299</v>
      </c>
      <c r="AS132" s="598" t="e">
        <f>+VLOOKUP($AJ132,Data_Validation!$A:$E,5,0)</f>
        <v>#N/A</v>
      </c>
      <c r="AT132" s="1036">
        <f t="shared" ref="AT132:AU195" si="10">C132</f>
        <v>0</v>
      </c>
      <c r="AU132" s="599">
        <f t="shared" si="10"/>
        <v>0</v>
      </c>
      <c r="AV132" s="1030">
        <f>IFERROR(INDEX(V132:AG132,1,MATCH(Parametres!$B$3,V$1:AG$1,0)-1)*IF(OR(C132="L",C132="S",C132="I"),-1,1),"")</f>
        <v>0</v>
      </c>
      <c r="AW132" s="1030">
        <f t="shared" ref="AW132:AW195" si="11">AX132-AV132</f>
        <v>0</v>
      </c>
      <c r="AX132" s="1030">
        <f>INDEX(V132:AG132,1,MATCH(Parametres!$B$3,V$1:AG$1,0))*IF(OR(C132="L",C132="S",C132="I"),-1,1)</f>
        <v>0</v>
      </c>
      <c r="AY132" s="598" t="s">
        <v>337</v>
      </c>
      <c r="AZ132" s="598" t="e">
        <f>+VLOOKUP($AJ132,Data_Validation!$A:$E,5,0)</f>
        <v>#N/A</v>
      </c>
    </row>
    <row r="133" spans="36:52" ht="15" customHeight="1">
      <c r="AJ133" s="1030">
        <f t="shared" si="8"/>
        <v>0</v>
      </c>
      <c r="AK133" s="1030">
        <f t="shared" si="8"/>
        <v>0</v>
      </c>
      <c r="AL133" s="1030">
        <f>IFERROR(INDEX(G133:R133,1,MATCH(Parametres!$B$3,G$1:R$1,0)-1)*IF(OR(F133="L",F133="S",F133="I"),-1,1),"")</f>
        <v>0</v>
      </c>
      <c r="AM133" s="1030">
        <f t="shared" si="9"/>
        <v>0</v>
      </c>
      <c r="AN133" s="1030">
        <f>INDEX(G133:R133,1,MATCH(Parametres!$B$3,G$1:R$1,0))*IF(OR(F133="L",F133="S",F133="I"),-1,1)</f>
        <v>0</v>
      </c>
      <c r="AO133" s="598" t="e">
        <f>+VLOOKUP($AJ133,Data_Validation!$A:$D,1,0)</f>
        <v>#N/A</v>
      </c>
      <c r="AP133" s="598" t="e">
        <f>+VLOOKUP($AJ133,Data_Validation!$A:$D,3,0)</f>
        <v>#N/A</v>
      </c>
      <c r="AQ133" s="598" t="e">
        <f>+VLOOKUP($AJ133,Data_Validation!$A:$D,4,0)</f>
        <v>#N/A</v>
      </c>
      <c r="AR133" s="598" t="s">
        <v>299</v>
      </c>
      <c r="AS133" s="598" t="e">
        <f>+VLOOKUP($AJ133,Data_Validation!$A:$E,5,0)</f>
        <v>#N/A</v>
      </c>
      <c r="AT133" s="1036">
        <f t="shared" si="10"/>
        <v>0</v>
      </c>
      <c r="AU133" s="599">
        <f t="shared" si="10"/>
        <v>0</v>
      </c>
      <c r="AV133" s="1030">
        <f>IFERROR(INDEX(V133:AG133,1,MATCH(Parametres!$B$3,V$1:AG$1,0)-1)*IF(OR(C133="L",C133="S",C133="I"),-1,1),"")</f>
        <v>0</v>
      </c>
      <c r="AW133" s="1030">
        <f t="shared" si="11"/>
        <v>0</v>
      </c>
      <c r="AX133" s="1030">
        <f>INDEX(V133:AG133,1,MATCH(Parametres!$B$3,V$1:AG$1,0))*IF(OR(C133="L",C133="S",C133="I"),-1,1)</f>
        <v>0</v>
      </c>
      <c r="AY133" s="598" t="s">
        <v>337</v>
      </c>
      <c r="AZ133" s="598" t="e">
        <f>+VLOOKUP($AJ133,Data_Validation!$A:$E,5,0)</f>
        <v>#N/A</v>
      </c>
    </row>
    <row r="134" spans="36:52" ht="15" customHeight="1">
      <c r="AJ134" s="1030">
        <f t="shared" si="8"/>
        <v>0</v>
      </c>
      <c r="AK134" s="1030">
        <f t="shared" si="8"/>
        <v>0</v>
      </c>
      <c r="AL134" s="1030">
        <f>IFERROR(INDEX(G134:R134,1,MATCH(Parametres!$B$3,G$1:R$1,0)-1)*IF(OR(F134="L",F134="S",F134="I"),-1,1),"")</f>
        <v>0</v>
      </c>
      <c r="AM134" s="1030">
        <f t="shared" si="9"/>
        <v>0</v>
      </c>
      <c r="AN134" s="1030">
        <f>INDEX(G134:R134,1,MATCH(Parametres!$B$3,G$1:R$1,0))*IF(OR(F134="L",F134="S",F134="I"),-1,1)</f>
        <v>0</v>
      </c>
      <c r="AO134" s="598" t="e">
        <f>+VLOOKUP($AJ134,Data_Validation!$A:$D,1,0)</f>
        <v>#N/A</v>
      </c>
      <c r="AP134" s="598" t="e">
        <f>+VLOOKUP($AJ134,Data_Validation!$A:$D,3,0)</f>
        <v>#N/A</v>
      </c>
      <c r="AQ134" s="598" t="e">
        <f>+VLOOKUP($AJ134,Data_Validation!$A:$D,4,0)</f>
        <v>#N/A</v>
      </c>
      <c r="AR134" s="598" t="s">
        <v>299</v>
      </c>
      <c r="AS134" s="598" t="e">
        <f>+VLOOKUP($AJ134,Data_Validation!$A:$E,5,0)</f>
        <v>#N/A</v>
      </c>
      <c r="AT134" s="1036">
        <f t="shared" si="10"/>
        <v>0</v>
      </c>
      <c r="AU134" s="599">
        <f t="shared" si="10"/>
        <v>0</v>
      </c>
      <c r="AV134" s="1030">
        <f>IFERROR(INDEX(V134:AG134,1,MATCH(Parametres!$B$3,V$1:AG$1,0)-1)*IF(OR(C134="L",C134="S",C134="I"),-1,1),"")</f>
        <v>0</v>
      </c>
      <c r="AW134" s="1030">
        <f t="shared" si="11"/>
        <v>0</v>
      </c>
      <c r="AX134" s="1030">
        <f>INDEX(V134:AG134,1,MATCH(Parametres!$B$3,V$1:AG$1,0))*IF(OR(C134="L",C134="S",C134="I"),-1,1)</f>
        <v>0</v>
      </c>
      <c r="AY134" s="598" t="s">
        <v>337</v>
      </c>
      <c r="AZ134" s="598" t="e">
        <f>+VLOOKUP($AJ134,Data_Validation!$A:$E,5,0)</f>
        <v>#N/A</v>
      </c>
    </row>
    <row r="135" spans="36:52" ht="15.75" customHeight="1">
      <c r="AJ135" s="1030">
        <f t="shared" si="8"/>
        <v>0</v>
      </c>
      <c r="AK135" s="1030">
        <f t="shared" si="8"/>
        <v>0</v>
      </c>
      <c r="AL135" s="1030">
        <f>IFERROR(INDEX(G135:R135,1,MATCH(Parametres!$B$3,G$1:R$1,0)-1)*IF(OR(F135="L",F135="S",F135="I"),-1,1),"")</f>
        <v>0</v>
      </c>
      <c r="AM135" s="1030">
        <f t="shared" si="9"/>
        <v>0</v>
      </c>
      <c r="AN135" s="1030">
        <f>INDEX(G135:R135,1,MATCH(Parametres!$B$3,G$1:R$1,0))*IF(OR(F135="L",F135="S",F135="I"),-1,1)</f>
        <v>0</v>
      </c>
      <c r="AO135" s="598" t="e">
        <f>+VLOOKUP($AJ135,Data_Validation!$A:$D,1,0)</f>
        <v>#N/A</v>
      </c>
      <c r="AP135" s="598" t="e">
        <f>+VLOOKUP($AJ135,Data_Validation!$A:$D,3,0)</f>
        <v>#N/A</v>
      </c>
      <c r="AQ135" s="598" t="e">
        <f>+VLOOKUP($AJ135,Data_Validation!$A:$D,4,0)</f>
        <v>#N/A</v>
      </c>
      <c r="AR135" s="598" t="s">
        <v>299</v>
      </c>
      <c r="AS135" s="598" t="e">
        <f>+VLOOKUP($AJ135,Data_Validation!$A:$E,5,0)</f>
        <v>#N/A</v>
      </c>
      <c r="AT135" s="1036">
        <f t="shared" si="10"/>
        <v>0</v>
      </c>
      <c r="AU135" s="599">
        <f t="shared" si="10"/>
        <v>0</v>
      </c>
      <c r="AV135" s="1030">
        <f>IFERROR(INDEX(V135:AG135,1,MATCH(Parametres!$B$3,V$1:AG$1,0)-1)*IF(OR(C135="L",C135="S",C135="I"),-1,1),"")</f>
        <v>0</v>
      </c>
      <c r="AW135" s="1030">
        <f t="shared" si="11"/>
        <v>0</v>
      </c>
      <c r="AX135" s="1030">
        <f>INDEX(V135:AG135,1,MATCH(Parametres!$B$3,V$1:AG$1,0))*IF(OR(C135="L",C135="S",C135="I"),-1,1)</f>
        <v>0</v>
      </c>
      <c r="AY135" s="598" t="s">
        <v>337</v>
      </c>
      <c r="AZ135" s="598" t="e">
        <f>+VLOOKUP($AJ135,Data_Validation!$A:$E,5,0)</f>
        <v>#N/A</v>
      </c>
    </row>
    <row r="136" spans="36:52" ht="15" customHeight="1">
      <c r="AJ136" s="1030">
        <f t="shared" si="8"/>
        <v>0</v>
      </c>
      <c r="AK136" s="1030">
        <f t="shared" si="8"/>
        <v>0</v>
      </c>
      <c r="AL136" s="1030">
        <f>IFERROR(INDEX(G136:R136,1,MATCH(Parametres!$B$3,G$1:R$1,0)-1)*IF(OR(F136="L",F136="S",F136="I"),-1,1),"")</f>
        <v>0</v>
      </c>
      <c r="AM136" s="1030">
        <f t="shared" si="9"/>
        <v>0</v>
      </c>
      <c r="AN136" s="1030">
        <f>INDEX(G136:R136,1,MATCH(Parametres!$B$3,G$1:R$1,0))*IF(OR(F136="L",F136="S",F136="I"),-1,1)</f>
        <v>0</v>
      </c>
      <c r="AO136" s="598" t="e">
        <f>+VLOOKUP($AJ136,Data_Validation!$A:$D,1,0)</f>
        <v>#N/A</v>
      </c>
      <c r="AP136" s="598" t="e">
        <f>+VLOOKUP($AJ136,Data_Validation!$A:$D,3,0)</f>
        <v>#N/A</v>
      </c>
      <c r="AQ136" s="598" t="e">
        <f>+VLOOKUP($AJ136,Data_Validation!$A:$D,4,0)</f>
        <v>#N/A</v>
      </c>
      <c r="AR136" s="598" t="s">
        <v>299</v>
      </c>
      <c r="AS136" s="598" t="e">
        <f>+VLOOKUP($AJ136,Data_Validation!$A:$E,5,0)</f>
        <v>#N/A</v>
      </c>
      <c r="AT136" s="1036">
        <f t="shared" si="10"/>
        <v>0</v>
      </c>
      <c r="AU136" s="599">
        <f t="shared" si="10"/>
        <v>0</v>
      </c>
      <c r="AV136" s="1030">
        <f>IFERROR(INDEX(V136:AG136,1,MATCH(Parametres!$B$3,V$1:AG$1,0)-1)*IF(OR(C136="L",C136="S",C136="I"),-1,1),"")</f>
        <v>0</v>
      </c>
      <c r="AW136" s="1030">
        <f t="shared" si="11"/>
        <v>0</v>
      </c>
      <c r="AX136" s="1030">
        <f>INDEX(V136:AG136,1,MATCH(Parametres!$B$3,V$1:AG$1,0))*IF(OR(C136="L",C136="S",C136="I"),-1,1)</f>
        <v>0</v>
      </c>
      <c r="AY136" s="598" t="s">
        <v>337</v>
      </c>
      <c r="AZ136" s="598" t="e">
        <f>+VLOOKUP($AJ136,Data_Validation!$A:$E,5,0)</f>
        <v>#N/A</v>
      </c>
    </row>
    <row r="137" spans="36:52" ht="15" customHeight="1">
      <c r="AJ137" s="1030">
        <f t="shared" si="8"/>
        <v>0</v>
      </c>
      <c r="AK137" s="1030">
        <f t="shared" si="8"/>
        <v>0</v>
      </c>
      <c r="AL137" s="1030">
        <f>IFERROR(INDEX(G137:R137,1,MATCH(Parametres!$B$3,G$1:R$1,0)-1)*IF(OR(F137="L",F137="S",F137="I"),-1,1),"")</f>
        <v>0</v>
      </c>
      <c r="AM137" s="1030">
        <f t="shared" si="9"/>
        <v>0</v>
      </c>
      <c r="AN137" s="1030">
        <f>INDEX(G137:R137,1,MATCH(Parametres!$B$3,G$1:R$1,0))*IF(OR(F137="L",F137="S",F137="I"),-1,1)</f>
        <v>0</v>
      </c>
      <c r="AO137" s="598" t="e">
        <f>+VLOOKUP($AJ137,Data_Validation!$A:$D,1,0)</f>
        <v>#N/A</v>
      </c>
      <c r="AP137" s="598" t="e">
        <f>+VLOOKUP($AJ137,Data_Validation!$A:$D,3,0)</f>
        <v>#N/A</v>
      </c>
      <c r="AQ137" s="598" t="e">
        <f>+VLOOKUP($AJ137,Data_Validation!$A:$D,4,0)</f>
        <v>#N/A</v>
      </c>
      <c r="AR137" s="598" t="s">
        <v>299</v>
      </c>
      <c r="AS137" s="598" t="e">
        <f>+VLOOKUP($AJ137,Data_Validation!$A:$E,5,0)</f>
        <v>#N/A</v>
      </c>
      <c r="AT137" s="1036">
        <f t="shared" si="10"/>
        <v>0</v>
      </c>
      <c r="AU137" s="599">
        <f t="shared" si="10"/>
        <v>0</v>
      </c>
      <c r="AV137" s="1030">
        <f>IFERROR(INDEX(V137:AG137,1,MATCH(Parametres!$B$3,V$1:AG$1,0)-1)*IF(OR(C137="L",C137="S",C137="I"),-1,1),"")</f>
        <v>0</v>
      </c>
      <c r="AW137" s="1030">
        <f t="shared" si="11"/>
        <v>0</v>
      </c>
      <c r="AX137" s="1030">
        <f>INDEX(V137:AG137,1,MATCH(Parametres!$B$3,V$1:AG$1,0))*IF(OR(C137="L",C137="S",C137="I"),-1,1)</f>
        <v>0</v>
      </c>
      <c r="AY137" s="598" t="s">
        <v>337</v>
      </c>
      <c r="AZ137" s="598" t="e">
        <f>+VLOOKUP($AJ137,Data_Validation!$A:$E,5,0)</f>
        <v>#N/A</v>
      </c>
    </row>
    <row r="138" spans="36:52" ht="15" customHeight="1">
      <c r="AJ138" s="1030">
        <f t="shared" si="8"/>
        <v>0</v>
      </c>
      <c r="AK138" s="1030">
        <f t="shared" si="8"/>
        <v>0</v>
      </c>
      <c r="AL138" s="1030">
        <f>IFERROR(INDEX(G138:R138,1,MATCH(Parametres!$B$3,G$1:R$1,0)-1)*IF(OR(F138="L",F138="S",F138="I"),-1,1),"")</f>
        <v>0</v>
      </c>
      <c r="AM138" s="1030">
        <f t="shared" si="9"/>
        <v>0</v>
      </c>
      <c r="AN138" s="1030">
        <f>INDEX(G138:R138,1,MATCH(Parametres!$B$3,G$1:R$1,0))*IF(OR(F138="L",F138="S",F138="I"),-1,1)</f>
        <v>0</v>
      </c>
      <c r="AO138" s="598" t="e">
        <f>+VLOOKUP($AJ138,Data_Validation!$A:$D,1,0)</f>
        <v>#N/A</v>
      </c>
      <c r="AP138" s="598" t="e">
        <f>+VLOOKUP($AJ138,Data_Validation!$A:$D,3,0)</f>
        <v>#N/A</v>
      </c>
      <c r="AQ138" s="598" t="e">
        <f>+VLOOKUP($AJ138,Data_Validation!$A:$D,4,0)</f>
        <v>#N/A</v>
      </c>
      <c r="AR138" s="598" t="s">
        <v>299</v>
      </c>
      <c r="AS138" s="598" t="e">
        <f>+VLOOKUP($AJ138,Data_Validation!$A:$E,5,0)</f>
        <v>#N/A</v>
      </c>
      <c r="AT138" s="1036">
        <f t="shared" si="10"/>
        <v>0</v>
      </c>
      <c r="AU138" s="599">
        <f t="shared" si="10"/>
        <v>0</v>
      </c>
      <c r="AV138" s="1030">
        <f>IFERROR(INDEX(V138:AG138,1,MATCH(Parametres!$B$3,V$1:AG$1,0)-1)*IF(OR(C138="L",C138="S",C138="I"),-1,1),"")</f>
        <v>0</v>
      </c>
      <c r="AW138" s="1030">
        <f t="shared" si="11"/>
        <v>0</v>
      </c>
      <c r="AX138" s="1030">
        <f>INDEX(V138:AG138,1,MATCH(Parametres!$B$3,V$1:AG$1,0))*IF(OR(C138="L",C138="S",C138="I"),-1,1)</f>
        <v>0</v>
      </c>
      <c r="AY138" s="598" t="s">
        <v>337</v>
      </c>
      <c r="AZ138" s="598" t="e">
        <f>+VLOOKUP($AJ138,Data_Validation!$A:$E,5,0)</f>
        <v>#N/A</v>
      </c>
    </row>
    <row r="139" spans="36:52" ht="15.75" customHeight="1">
      <c r="AJ139" s="1030">
        <f t="shared" si="8"/>
        <v>0</v>
      </c>
      <c r="AK139" s="1030">
        <f t="shared" si="8"/>
        <v>0</v>
      </c>
      <c r="AL139" s="1030">
        <f>IFERROR(INDEX(G139:R139,1,MATCH(Parametres!$B$3,G$1:R$1,0)-1)*IF(OR(F139="L",F139="S",F139="I"),-1,1),"")</f>
        <v>0</v>
      </c>
      <c r="AM139" s="1030">
        <f t="shared" si="9"/>
        <v>0</v>
      </c>
      <c r="AN139" s="1030">
        <f>INDEX(G139:R139,1,MATCH(Parametres!$B$3,G$1:R$1,0))*IF(OR(F139="L",F139="S",F139="I"),-1,1)</f>
        <v>0</v>
      </c>
      <c r="AO139" s="598" t="e">
        <f>+VLOOKUP($AJ139,Data_Validation!$A:$D,1,0)</f>
        <v>#N/A</v>
      </c>
      <c r="AP139" s="598" t="e">
        <f>+VLOOKUP($AJ139,Data_Validation!$A:$D,3,0)</f>
        <v>#N/A</v>
      </c>
      <c r="AQ139" s="598" t="e">
        <f>+VLOOKUP($AJ139,Data_Validation!$A:$D,4,0)</f>
        <v>#N/A</v>
      </c>
      <c r="AR139" s="598" t="s">
        <v>299</v>
      </c>
      <c r="AS139" s="598" t="e">
        <f>+VLOOKUP($AJ139,Data_Validation!$A:$E,5,0)</f>
        <v>#N/A</v>
      </c>
      <c r="AT139" s="1036">
        <f t="shared" si="10"/>
        <v>0</v>
      </c>
      <c r="AU139" s="599">
        <f t="shared" si="10"/>
        <v>0</v>
      </c>
      <c r="AV139" s="1030">
        <f>IFERROR(INDEX(V139:AG139,1,MATCH(Parametres!$B$3,V$1:AG$1,0)-1)*IF(OR(C139="L",C139="S",C139="I"),-1,1),"")</f>
        <v>0</v>
      </c>
      <c r="AW139" s="1030">
        <f t="shared" si="11"/>
        <v>0</v>
      </c>
      <c r="AX139" s="1030">
        <f>INDEX(V139:AG139,1,MATCH(Parametres!$B$3,V$1:AG$1,0))*IF(OR(C139="L",C139="S",C139="I"),-1,1)</f>
        <v>0</v>
      </c>
      <c r="AY139" s="598" t="s">
        <v>337</v>
      </c>
      <c r="AZ139" s="598" t="e">
        <f>+VLOOKUP($AJ139,Data_Validation!$A:$E,5,0)</f>
        <v>#N/A</v>
      </c>
    </row>
    <row r="140" spans="36:52" ht="15" customHeight="1">
      <c r="AJ140" s="1030">
        <f t="shared" si="8"/>
        <v>0</v>
      </c>
      <c r="AK140" s="1030">
        <f t="shared" si="8"/>
        <v>0</v>
      </c>
      <c r="AL140" s="1030">
        <f>IFERROR(INDEX(G140:R140,1,MATCH(Parametres!$B$3,G$1:R$1,0)-1)*IF(OR(F140="L",F140="S",F140="I"),-1,1),"")</f>
        <v>0</v>
      </c>
      <c r="AM140" s="1030">
        <f t="shared" si="9"/>
        <v>0</v>
      </c>
      <c r="AN140" s="1030">
        <f>INDEX(G140:R140,1,MATCH(Parametres!$B$3,G$1:R$1,0))*IF(OR(F140="L",F140="S",F140="I"),-1,1)</f>
        <v>0</v>
      </c>
      <c r="AO140" s="598" t="e">
        <f>+VLOOKUP($AJ140,Data_Validation!$A:$D,1,0)</f>
        <v>#N/A</v>
      </c>
      <c r="AP140" s="598" t="e">
        <f>+VLOOKUP($AJ140,Data_Validation!$A:$D,3,0)</f>
        <v>#N/A</v>
      </c>
      <c r="AQ140" s="598" t="e">
        <f>+VLOOKUP($AJ140,Data_Validation!$A:$D,4,0)</f>
        <v>#N/A</v>
      </c>
      <c r="AR140" s="598" t="s">
        <v>299</v>
      </c>
      <c r="AS140" s="598" t="e">
        <f>+VLOOKUP($AJ140,Data_Validation!$A:$E,5,0)</f>
        <v>#N/A</v>
      </c>
      <c r="AT140" s="1036">
        <f t="shared" si="10"/>
        <v>0</v>
      </c>
      <c r="AU140" s="599">
        <f t="shared" si="10"/>
        <v>0</v>
      </c>
      <c r="AV140" s="1030">
        <f>IFERROR(INDEX(V140:AG140,1,MATCH(Parametres!$B$3,V$1:AG$1,0)-1)*IF(OR(C140="L",C140="S",C140="I"),-1,1),"")</f>
        <v>0</v>
      </c>
      <c r="AW140" s="1030">
        <f t="shared" si="11"/>
        <v>0</v>
      </c>
      <c r="AX140" s="1030">
        <f>INDEX(V140:AG140,1,MATCH(Parametres!$B$3,V$1:AG$1,0))*IF(OR(C140="L",C140="S",C140="I"),-1,1)</f>
        <v>0</v>
      </c>
      <c r="AY140" s="598" t="s">
        <v>337</v>
      </c>
      <c r="AZ140" s="598" t="e">
        <f>+VLOOKUP($AJ140,Data_Validation!$A:$E,5,0)</f>
        <v>#N/A</v>
      </c>
    </row>
    <row r="141" spans="36:52" ht="15" customHeight="1">
      <c r="AJ141" s="1030">
        <f t="shared" si="8"/>
        <v>0</v>
      </c>
      <c r="AK141" s="1030">
        <f t="shared" si="8"/>
        <v>0</v>
      </c>
      <c r="AL141" s="1030">
        <f>IFERROR(INDEX(G141:R141,1,MATCH(Parametres!$B$3,G$1:R$1,0)-1)*IF(OR(F141="L",F141="S",F141="I"),-1,1),"")</f>
        <v>0</v>
      </c>
      <c r="AM141" s="1030">
        <f t="shared" si="9"/>
        <v>0</v>
      </c>
      <c r="AN141" s="1030">
        <f>INDEX(G141:R141,1,MATCH(Parametres!$B$3,G$1:R$1,0))*IF(OR(F141="L",F141="S",F141="I"),-1,1)</f>
        <v>0</v>
      </c>
      <c r="AO141" s="598" t="e">
        <f>+VLOOKUP($AJ141,Data_Validation!$A:$D,1,0)</f>
        <v>#N/A</v>
      </c>
      <c r="AP141" s="598" t="e">
        <f>+VLOOKUP($AJ141,Data_Validation!$A:$D,3,0)</f>
        <v>#N/A</v>
      </c>
      <c r="AQ141" s="598" t="e">
        <f>+VLOOKUP($AJ141,Data_Validation!$A:$D,4,0)</f>
        <v>#N/A</v>
      </c>
      <c r="AR141" s="598" t="s">
        <v>299</v>
      </c>
      <c r="AS141" s="598" t="e">
        <f>+VLOOKUP($AJ141,Data_Validation!$A:$E,5,0)</f>
        <v>#N/A</v>
      </c>
      <c r="AT141" s="1036">
        <f t="shared" si="10"/>
        <v>0</v>
      </c>
      <c r="AU141" s="599">
        <f t="shared" si="10"/>
        <v>0</v>
      </c>
      <c r="AV141" s="1030">
        <f>IFERROR(INDEX(V141:AG141,1,MATCH(Parametres!$B$3,V$1:AG$1,0)-1)*IF(OR(C141="L",C141="S",C141="I"),-1,1),"")</f>
        <v>0</v>
      </c>
      <c r="AW141" s="1030">
        <f t="shared" si="11"/>
        <v>0</v>
      </c>
      <c r="AX141" s="1030">
        <f>INDEX(V141:AG141,1,MATCH(Parametres!$B$3,V$1:AG$1,0))*IF(OR(C141="L",C141="S",C141="I"),-1,1)</f>
        <v>0</v>
      </c>
      <c r="AY141" s="598" t="s">
        <v>337</v>
      </c>
      <c r="AZ141" s="598" t="e">
        <f>+VLOOKUP($AJ141,Data_Validation!$A:$E,5,0)</f>
        <v>#N/A</v>
      </c>
    </row>
    <row r="142" spans="36:52" ht="15" customHeight="1">
      <c r="AJ142" s="1030">
        <f t="shared" si="8"/>
        <v>0</v>
      </c>
      <c r="AK142" s="1030">
        <f t="shared" si="8"/>
        <v>0</v>
      </c>
      <c r="AL142" s="1030">
        <f>IFERROR(INDEX(G142:R142,1,MATCH(Parametres!$B$3,G$1:R$1,0)-1)*IF(OR(F142="L",F142="S",F142="I"),-1,1),"")</f>
        <v>0</v>
      </c>
      <c r="AM142" s="1030">
        <f t="shared" si="9"/>
        <v>0</v>
      </c>
      <c r="AN142" s="1030">
        <f>INDEX(G142:R142,1,MATCH(Parametres!$B$3,G$1:R$1,0))*IF(OR(F142="L",F142="S",F142="I"),-1,1)</f>
        <v>0</v>
      </c>
      <c r="AO142" s="598" t="e">
        <f>+VLOOKUP($AJ142,Data_Validation!$A:$D,1,0)</f>
        <v>#N/A</v>
      </c>
      <c r="AP142" s="598" t="e">
        <f>+VLOOKUP($AJ142,Data_Validation!$A:$D,3,0)</f>
        <v>#N/A</v>
      </c>
      <c r="AQ142" s="598" t="e">
        <f>+VLOOKUP($AJ142,Data_Validation!$A:$D,4,0)</f>
        <v>#N/A</v>
      </c>
      <c r="AR142" s="598" t="s">
        <v>299</v>
      </c>
      <c r="AS142" s="598" t="e">
        <f>+VLOOKUP($AJ142,Data_Validation!$A:$E,5,0)</f>
        <v>#N/A</v>
      </c>
      <c r="AT142" s="1036">
        <f t="shared" si="10"/>
        <v>0</v>
      </c>
      <c r="AU142" s="599">
        <f t="shared" si="10"/>
        <v>0</v>
      </c>
      <c r="AV142" s="1030">
        <f>IFERROR(INDEX(V142:AG142,1,MATCH(Parametres!$B$3,V$1:AG$1,0)-1)*IF(OR(C142="L",C142="S",C142="I"),-1,1),"")</f>
        <v>0</v>
      </c>
      <c r="AW142" s="1030">
        <f t="shared" si="11"/>
        <v>0</v>
      </c>
      <c r="AX142" s="1030">
        <f>INDEX(V142:AG142,1,MATCH(Parametres!$B$3,V$1:AG$1,0))*IF(OR(C142="L",C142="S",C142="I"),-1,1)</f>
        <v>0</v>
      </c>
      <c r="AY142" s="598" t="s">
        <v>337</v>
      </c>
      <c r="AZ142" s="598" t="e">
        <f>+VLOOKUP($AJ142,Data_Validation!$A:$E,5,0)</f>
        <v>#N/A</v>
      </c>
    </row>
    <row r="143" spans="36:52" ht="15.75" customHeight="1">
      <c r="AJ143" s="1030">
        <f t="shared" si="8"/>
        <v>0</v>
      </c>
      <c r="AK143" s="1030">
        <f t="shared" si="8"/>
        <v>0</v>
      </c>
      <c r="AL143" s="1030">
        <f>IFERROR(INDEX(G143:R143,1,MATCH(Parametres!$B$3,G$1:R$1,0)-1)*IF(OR(F143="L",F143="S",F143="I"),-1,1),"")</f>
        <v>0</v>
      </c>
      <c r="AM143" s="1030">
        <f t="shared" si="9"/>
        <v>0</v>
      </c>
      <c r="AN143" s="1030">
        <f>INDEX(G143:R143,1,MATCH(Parametres!$B$3,G$1:R$1,0))*IF(OR(F143="L",F143="S",F143="I"),-1,1)</f>
        <v>0</v>
      </c>
      <c r="AO143" s="598" t="e">
        <f>+VLOOKUP($AJ143,Data_Validation!$A:$D,1,0)</f>
        <v>#N/A</v>
      </c>
      <c r="AP143" s="598" t="e">
        <f>+VLOOKUP($AJ143,Data_Validation!$A:$D,3,0)</f>
        <v>#N/A</v>
      </c>
      <c r="AQ143" s="598" t="e">
        <f>+VLOOKUP($AJ143,Data_Validation!$A:$D,4,0)</f>
        <v>#N/A</v>
      </c>
      <c r="AR143" s="598" t="s">
        <v>299</v>
      </c>
      <c r="AS143" s="598" t="e">
        <f>+VLOOKUP($AJ143,Data_Validation!$A:$E,5,0)</f>
        <v>#N/A</v>
      </c>
      <c r="AT143" s="1036">
        <f t="shared" si="10"/>
        <v>0</v>
      </c>
      <c r="AU143" s="599">
        <f t="shared" si="10"/>
        <v>0</v>
      </c>
      <c r="AV143" s="1030">
        <f>IFERROR(INDEX(V143:AG143,1,MATCH(Parametres!$B$3,V$1:AG$1,0)-1)*IF(OR(C143="L",C143="S",C143="I"),-1,1),"")</f>
        <v>0</v>
      </c>
      <c r="AW143" s="1030">
        <f t="shared" si="11"/>
        <v>0</v>
      </c>
      <c r="AX143" s="1030">
        <f>INDEX(V143:AG143,1,MATCH(Parametres!$B$3,V$1:AG$1,0))*IF(OR(C143="L",C143="S",C143="I"),-1,1)</f>
        <v>0</v>
      </c>
      <c r="AY143" s="598" t="s">
        <v>337</v>
      </c>
      <c r="AZ143" s="598" t="e">
        <f>+VLOOKUP($AJ143,Data_Validation!$A:$E,5,0)</f>
        <v>#N/A</v>
      </c>
    </row>
    <row r="144" spans="36:52" ht="15" customHeight="1">
      <c r="AJ144" s="1030">
        <f t="shared" si="8"/>
        <v>0</v>
      </c>
      <c r="AK144" s="1030">
        <f t="shared" si="8"/>
        <v>0</v>
      </c>
      <c r="AL144" s="1030">
        <f>IFERROR(INDEX(G144:R144,1,MATCH(Parametres!$B$3,G$1:R$1,0)-1)*IF(OR(F144="L",F144="S",F144="I"),-1,1),"")</f>
        <v>0</v>
      </c>
      <c r="AM144" s="1030">
        <f t="shared" si="9"/>
        <v>0</v>
      </c>
      <c r="AN144" s="1030">
        <f>INDEX(G144:R144,1,MATCH(Parametres!$B$3,G$1:R$1,0))*IF(OR(F144="L",F144="S",F144="I"),-1,1)</f>
        <v>0</v>
      </c>
      <c r="AO144" s="598" t="e">
        <f>+VLOOKUP($AJ144,Data_Validation!$A:$D,1,0)</f>
        <v>#N/A</v>
      </c>
      <c r="AP144" s="598" t="e">
        <f>+VLOOKUP($AJ144,Data_Validation!$A:$D,3,0)</f>
        <v>#N/A</v>
      </c>
      <c r="AQ144" s="598" t="e">
        <f>+VLOOKUP($AJ144,Data_Validation!$A:$D,4,0)</f>
        <v>#N/A</v>
      </c>
      <c r="AR144" s="598" t="s">
        <v>299</v>
      </c>
      <c r="AS144" s="598" t="e">
        <f>+VLOOKUP($AJ144,Data_Validation!$A:$E,5,0)</f>
        <v>#N/A</v>
      </c>
      <c r="AT144" s="1036">
        <f t="shared" si="10"/>
        <v>0</v>
      </c>
      <c r="AU144" s="599">
        <f t="shared" si="10"/>
        <v>0</v>
      </c>
      <c r="AV144" s="1030">
        <f>IFERROR(INDEX(V144:AG144,1,MATCH(Parametres!$B$3,V$1:AG$1,0)-1)*IF(OR(C144="L",C144="S",C144="I"),-1,1),"")</f>
        <v>0</v>
      </c>
      <c r="AW144" s="1030">
        <f t="shared" si="11"/>
        <v>0</v>
      </c>
      <c r="AX144" s="1030">
        <f>INDEX(V144:AG144,1,MATCH(Parametres!$B$3,V$1:AG$1,0))*IF(OR(C144="L",C144="S",C144="I"),-1,1)</f>
        <v>0</v>
      </c>
      <c r="AY144" s="598" t="s">
        <v>337</v>
      </c>
      <c r="AZ144" s="598" t="e">
        <f>+VLOOKUP($AJ144,Data_Validation!$A:$E,5,0)</f>
        <v>#N/A</v>
      </c>
    </row>
    <row r="145" spans="36:52" ht="15" customHeight="1">
      <c r="AJ145" s="1030">
        <f t="shared" si="8"/>
        <v>0</v>
      </c>
      <c r="AK145" s="1030">
        <f t="shared" si="8"/>
        <v>0</v>
      </c>
      <c r="AL145" s="1030">
        <f>IFERROR(INDEX(G145:R145,1,MATCH(Parametres!$B$3,G$1:R$1,0)-1)*IF(OR(F145="L",F145="S",F145="I"),-1,1),"")</f>
        <v>0</v>
      </c>
      <c r="AM145" s="1030">
        <f t="shared" si="9"/>
        <v>0</v>
      </c>
      <c r="AN145" s="1030">
        <f>INDEX(G145:R145,1,MATCH(Parametres!$B$3,G$1:R$1,0))*IF(OR(F145="L",F145="S",F145="I"),-1,1)</f>
        <v>0</v>
      </c>
      <c r="AO145" s="598" t="e">
        <f>+VLOOKUP($AJ145,Data_Validation!$A:$D,1,0)</f>
        <v>#N/A</v>
      </c>
      <c r="AP145" s="598" t="e">
        <f>+VLOOKUP($AJ145,Data_Validation!$A:$D,3,0)</f>
        <v>#N/A</v>
      </c>
      <c r="AQ145" s="598" t="e">
        <f>+VLOOKUP($AJ145,Data_Validation!$A:$D,4,0)</f>
        <v>#N/A</v>
      </c>
      <c r="AR145" s="598" t="s">
        <v>299</v>
      </c>
      <c r="AS145" s="598" t="e">
        <f>+VLOOKUP($AJ145,Data_Validation!$A:$E,5,0)</f>
        <v>#N/A</v>
      </c>
      <c r="AT145" s="1036">
        <f t="shared" si="10"/>
        <v>0</v>
      </c>
      <c r="AU145" s="599">
        <f t="shared" si="10"/>
        <v>0</v>
      </c>
      <c r="AV145" s="1030">
        <f>IFERROR(INDEX(V145:AG145,1,MATCH(Parametres!$B$3,V$1:AG$1,0)-1)*IF(OR(C145="L",C145="S",C145="I"),-1,1),"")</f>
        <v>0</v>
      </c>
      <c r="AW145" s="1030">
        <f t="shared" si="11"/>
        <v>0</v>
      </c>
      <c r="AX145" s="1030">
        <f>INDEX(V145:AG145,1,MATCH(Parametres!$B$3,V$1:AG$1,0))*IF(OR(C145="L",C145="S",C145="I"),-1,1)</f>
        <v>0</v>
      </c>
      <c r="AY145" s="598" t="s">
        <v>337</v>
      </c>
      <c r="AZ145" s="598" t="e">
        <f>+VLOOKUP($AJ145,Data_Validation!$A:$E,5,0)</f>
        <v>#N/A</v>
      </c>
    </row>
    <row r="146" spans="36:52" ht="15" customHeight="1">
      <c r="AJ146" s="1030">
        <f t="shared" si="8"/>
        <v>0</v>
      </c>
      <c r="AK146" s="1030">
        <f t="shared" si="8"/>
        <v>0</v>
      </c>
      <c r="AL146" s="1030">
        <f>IFERROR(INDEX(G146:R146,1,MATCH(Parametres!$B$3,G$1:R$1,0)-1)*IF(OR(F146="L",F146="S",F146="I"),-1,1),"")</f>
        <v>0</v>
      </c>
      <c r="AM146" s="1030">
        <f t="shared" si="9"/>
        <v>0</v>
      </c>
      <c r="AN146" s="1030">
        <f>INDEX(G146:R146,1,MATCH(Parametres!$B$3,G$1:R$1,0))*IF(OR(F146="L",F146="S",F146="I"),-1,1)</f>
        <v>0</v>
      </c>
      <c r="AO146" s="598" t="e">
        <f>+VLOOKUP($AJ146,Data_Validation!$A:$D,1,0)</f>
        <v>#N/A</v>
      </c>
      <c r="AP146" s="598" t="e">
        <f>+VLOOKUP($AJ146,Data_Validation!$A:$D,3,0)</f>
        <v>#N/A</v>
      </c>
      <c r="AQ146" s="598" t="e">
        <f>+VLOOKUP($AJ146,Data_Validation!$A:$D,4,0)</f>
        <v>#N/A</v>
      </c>
      <c r="AR146" s="598" t="s">
        <v>299</v>
      </c>
      <c r="AS146" s="598" t="e">
        <f>+VLOOKUP($AJ146,Data_Validation!$A:$E,5,0)</f>
        <v>#N/A</v>
      </c>
      <c r="AT146" s="1036">
        <f t="shared" si="10"/>
        <v>0</v>
      </c>
      <c r="AU146" s="599">
        <f t="shared" si="10"/>
        <v>0</v>
      </c>
      <c r="AV146" s="1030">
        <f>IFERROR(INDEX(V146:AG146,1,MATCH(Parametres!$B$3,V$1:AG$1,0)-1)*IF(OR(C146="L",C146="S",C146="I"),-1,1),"")</f>
        <v>0</v>
      </c>
      <c r="AW146" s="1030">
        <f t="shared" si="11"/>
        <v>0</v>
      </c>
      <c r="AX146" s="1030">
        <f>INDEX(V146:AG146,1,MATCH(Parametres!$B$3,V$1:AG$1,0))*IF(OR(C146="L",C146="S",C146="I"),-1,1)</f>
        <v>0</v>
      </c>
      <c r="AY146" s="598" t="s">
        <v>337</v>
      </c>
      <c r="AZ146" s="598" t="e">
        <f>+VLOOKUP($AJ146,Data_Validation!$A:$E,5,0)</f>
        <v>#N/A</v>
      </c>
    </row>
    <row r="147" spans="36:52" ht="15" customHeight="1">
      <c r="AJ147" s="1030">
        <f t="shared" si="8"/>
        <v>0</v>
      </c>
      <c r="AK147" s="1030">
        <f t="shared" si="8"/>
        <v>0</v>
      </c>
      <c r="AL147" s="1030">
        <f>IFERROR(INDEX(G147:R147,1,MATCH(Parametres!$B$3,G$1:R$1,0)-1)*IF(OR(F147="L",F147="S",F147="I"),-1,1),"")</f>
        <v>0</v>
      </c>
      <c r="AM147" s="1030">
        <f t="shared" si="9"/>
        <v>0</v>
      </c>
      <c r="AN147" s="1030">
        <f>INDEX(G147:R147,1,MATCH(Parametres!$B$3,G$1:R$1,0))*IF(OR(F147="L",F147="S",F147="I"),-1,1)</f>
        <v>0</v>
      </c>
      <c r="AO147" s="598" t="e">
        <f>+VLOOKUP($AJ147,Data_Validation!$A:$D,1,0)</f>
        <v>#N/A</v>
      </c>
      <c r="AP147" s="598" t="e">
        <f>+VLOOKUP($AJ147,Data_Validation!$A:$D,3,0)</f>
        <v>#N/A</v>
      </c>
      <c r="AQ147" s="598" t="e">
        <f>+VLOOKUP($AJ147,Data_Validation!$A:$D,4,0)</f>
        <v>#N/A</v>
      </c>
      <c r="AR147" s="598" t="s">
        <v>299</v>
      </c>
      <c r="AS147" s="598" t="e">
        <f>+VLOOKUP($AJ147,Data_Validation!$A:$E,5,0)</f>
        <v>#N/A</v>
      </c>
      <c r="AT147" s="1036">
        <f t="shared" si="10"/>
        <v>0</v>
      </c>
      <c r="AU147" s="599">
        <f t="shared" si="10"/>
        <v>0</v>
      </c>
      <c r="AV147" s="1030">
        <f>IFERROR(INDEX(V147:AG147,1,MATCH(Parametres!$B$3,V$1:AG$1,0)-1)*IF(OR(C147="L",C147="S",C147="I"),-1,1),"")</f>
        <v>0</v>
      </c>
      <c r="AW147" s="1030">
        <f t="shared" si="11"/>
        <v>0</v>
      </c>
      <c r="AX147" s="1030">
        <f>INDEX(V147:AG147,1,MATCH(Parametres!$B$3,V$1:AG$1,0))*IF(OR(C147="L",C147="S",C147="I"),-1,1)</f>
        <v>0</v>
      </c>
      <c r="AY147" s="598" t="s">
        <v>337</v>
      </c>
      <c r="AZ147" s="598" t="e">
        <f>+VLOOKUP($AJ147,Data_Validation!$A:$E,5,0)</f>
        <v>#N/A</v>
      </c>
    </row>
    <row r="148" spans="36:52" ht="15" customHeight="1">
      <c r="AJ148" s="1030">
        <f t="shared" si="8"/>
        <v>0</v>
      </c>
      <c r="AK148" s="1030">
        <f t="shared" si="8"/>
        <v>0</v>
      </c>
      <c r="AL148" s="1030">
        <f>IFERROR(INDEX(G148:R148,1,MATCH(Parametres!$B$3,G$1:R$1,0)-1)*IF(OR(F148="L",F148="S",F148="I"),-1,1),"")</f>
        <v>0</v>
      </c>
      <c r="AM148" s="1030">
        <f t="shared" si="9"/>
        <v>0</v>
      </c>
      <c r="AN148" s="1030">
        <f>INDEX(G148:R148,1,MATCH(Parametres!$B$3,G$1:R$1,0))*IF(OR(F148="L",F148="S",F148="I"),-1,1)</f>
        <v>0</v>
      </c>
      <c r="AO148" s="598" t="e">
        <f>+VLOOKUP($AJ148,Data_Validation!$A:$D,1,0)</f>
        <v>#N/A</v>
      </c>
      <c r="AP148" s="598" t="e">
        <f>+VLOOKUP($AJ148,Data_Validation!$A:$D,3,0)</f>
        <v>#N/A</v>
      </c>
      <c r="AQ148" s="598" t="e">
        <f>+VLOOKUP($AJ148,Data_Validation!$A:$D,4,0)</f>
        <v>#N/A</v>
      </c>
      <c r="AR148" s="598" t="s">
        <v>299</v>
      </c>
      <c r="AS148" s="598" t="e">
        <f>+VLOOKUP($AJ148,Data_Validation!$A:$E,5,0)</f>
        <v>#N/A</v>
      </c>
      <c r="AT148" s="1036">
        <f t="shared" si="10"/>
        <v>0</v>
      </c>
      <c r="AU148" s="599">
        <f t="shared" si="10"/>
        <v>0</v>
      </c>
      <c r="AV148" s="1030">
        <f>IFERROR(INDEX(V148:AG148,1,MATCH(Parametres!$B$3,V$1:AG$1,0)-1)*IF(OR(C148="L",C148="S",C148="I"),-1,1),"")</f>
        <v>0</v>
      </c>
      <c r="AW148" s="1030">
        <f t="shared" si="11"/>
        <v>0</v>
      </c>
      <c r="AX148" s="1030">
        <f>INDEX(V148:AG148,1,MATCH(Parametres!$B$3,V$1:AG$1,0))*IF(OR(C148="L",C148="S",C148="I"),-1,1)</f>
        <v>0</v>
      </c>
      <c r="AY148" s="598" t="s">
        <v>337</v>
      </c>
      <c r="AZ148" s="598" t="e">
        <f>+VLOOKUP($AJ148,Data_Validation!$A:$E,5,0)</f>
        <v>#N/A</v>
      </c>
    </row>
    <row r="149" spans="36:52" ht="15" customHeight="1">
      <c r="AJ149" s="1030">
        <f t="shared" si="8"/>
        <v>0</v>
      </c>
      <c r="AK149" s="1030">
        <f t="shared" si="8"/>
        <v>0</v>
      </c>
      <c r="AL149" s="1030">
        <f>IFERROR(INDEX(G149:R149,1,MATCH(Parametres!$B$3,G$1:R$1,0)-1)*IF(OR(F149="L",F149="S",F149="I"),-1,1),"")</f>
        <v>0</v>
      </c>
      <c r="AM149" s="1030">
        <f t="shared" si="9"/>
        <v>0</v>
      </c>
      <c r="AN149" s="1030">
        <f>INDEX(G149:R149,1,MATCH(Parametres!$B$3,G$1:R$1,0))*IF(OR(F149="L",F149="S",F149="I"),-1,1)</f>
        <v>0</v>
      </c>
      <c r="AO149" s="598" t="e">
        <f>+VLOOKUP($AJ149,Data_Validation!$A:$D,1,0)</f>
        <v>#N/A</v>
      </c>
      <c r="AP149" s="598" t="e">
        <f>+VLOOKUP($AJ149,Data_Validation!$A:$D,3,0)</f>
        <v>#N/A</v>
      </c>
      <c r="AQ149" s="598" t="e">
        <f>+VLOOKUP($AJ149,Data_Validation!$A:$D,4,0)</f>
        <v>#N/A</v>
      </c>
      <c r="AR149" s="598" t="s">
        <v>299</v>
      </c>
      <c r="AS149" s="598" t="e">
        <f>+VLOOKUP($AJ149,Data_Validation!$A:$E,5,0)</f>
        <v>#N/A</v>
      </c>
      <c r="AT149" s="1036">
        <f t="shared" si="10"/>
        <v>0</v>
      </c>
      <c r="AU149" s="599">
        <f t="shared" si="10"/>
        <v>0</v>
      </c>
      <c r="AV149" s="1030">
        <f>IFERROR(INDEX(V149:AG149,1,MATCH(Parametres!$B$3,V$1:AG$1,0)-1)*IF(OR(C149="L",C149="S",C149="I"),-1,1),"")</f>
        <v>0</v>
      </c>
      <c r="AW149" s="1030">
        <f t="shared" si="11"/>
        <v>0</v>
      </c>
      <c r="AX149" s="1030">
        <f>INDEX(V149:AG149,1,MATCH(Parametres!$B$3,V$1:AG$1,0))*IF(OR(C149="L",C149="S",C149="I"),-1,1)</f>
        <v>0</v>
      </c>
      <c r="AY149" s="598" t="s">
        <v>337</v>
      </c>
      <c r="AZ149" s="598" t="e">
        <f>+VLOOKUP($AJ149,Data_Validation!$A:$E,5,0)</f>
        <v>#N/A</v>
      </c>
    </row>
    <row r="150" spans="36:52" ht="15" customHeight="1">
      <c r="AJ150" s="1030">
        <f t="shared" si="8"/>
        <v>0</v>
      </c>
      <c r="AK150" s="1030">
        <f t="shared" si="8"/>
        <v>0</v>
      </c>
      <c r="AL150" s="1030">
        <f>IFERROR(INDEX(G150:R150,1,MATCH(Parametres!$B$3,G$1:R$1,0)-1)*IF(OR(F150="L",F150="S",F150="I"),-1,1),"")</f>
        <v>0</v>
      </c>
      <c r="AM150" s="1030">
        <f t="shared" si="9"/>
        <v>0</v>
      </c>
      <c r="AN150" s="1030">
        <f>INDEX(G150:R150,1,MATCH(Parametres!$B$3,G$1:R$1,0))*IF(OR(F150="L",F150="S",F150="I"),-1,1)</f>
        <v>0</v>
      </c>
      <c r="AO150" s="598" t="e">
        <f>+VLOOKUP($AJ150,Data_Validation!$A:$D,1,0)</f>
        <v>#N/A</v>
      </c>
      <c r="AP150" s="598" t="e">
        <f>+VLOOKUP($AJ150,Data_Validation!$A:$D,3,0)</f>
        <v>#N/A</v>
      </c>
      <c r="AQ150" s="598" t="e">
        <f>+VLOOKUP($AJ150,Data_Validation!$A:$D,4,0)</f>
        <v>#N/A</v>
      </c>
      <c r="AR150" s="598" t="s">
        <v>299</v>
      </c>
      <c r="AS150" s="598" t="e">
        <f>+VLOOKUP($AJ150,Data_Validation!$A:$E,5,0)</f>
        <v>#N/A</v>
      </c>
      <c r="AT150" s="1036">
        <f t="shared" si="10"/>
        <v>0</v>
      </c>
      <c r="AU150" s="599">
        <f t="shared" si="10"/>
        <v>0</v>
      </c>
      <c r="AV150" s="1030">
        <f>IFERROR(INDEX(V150:AG150,1,MATCH(Parametres!$B$3,V$1:AG$1,0)-1)*IF(OR(C150="L",C150="S",C150="I"),-1,1),"")</f>
        <v>0</v>
      </c>
      <c r="AW150" s="1030">
        <f t="shared" si="11"/>
        <v>0</v>
      </c>
      <c r="AX150" s="1030">
        <f>INDEX(V150:AG150,1,MATCH(Parametres!$B$3,V$1:AG$1,0))*IF(OR(C150="L",C150="S",C150="I"),-1,1)</f>
        <v>0</v>
      </c>
      <c r="AY150" s="598" t="s">
        <v>337</v>
      </c>
      <c r="AZ150" s="598" t="e">
        <f>+VLOOKUP($AJ150,Data_Validation!$A:$E,5,0)</f>
        <v>#N/A</v>
      </c>
    </row>
    <row r="151" spans="36:52" ht="15.75" customHeight="1">
      <c r="AJ151" s="1030">
        <f t="shared" si="8"/>
        <v>0</v>
      </c>
      <c r="AK151" s="1030">
        <f t="shared" si="8"/>
        <v>0</v>
      </c>
      <c r="AL151" s="1030">
        <f>IFERROR(INDEX(G151:R151,1,MATCH(Parametres!$B$3,G$1:R$1,0)-1)*IF(OR(F151="L",F151="S",F151="I"),-1,1),"")</f>
        <v>0</v>
      </c>
      <c r="AM151" s="1030">
        <f t="shared" si="9"/>
        <v>0</v>
      </c>
      <c r="AN151" s="1030">
        <f>INDEX(G151:R151,1,MATCH(Parametres!$B$3,G$1:R$1,0))*IF(OR(F151="L",F151="S",F151="I"),-1,1)</f>
        <v>0</v>
      </c>
      <c r="AO151" s="598" t="e">
        <f>+VLOOKUP($AJ151,Data_Validation!$A:$D,1,0)</f>
        <v>#N/A</v>
      </c>
      <c r="AP151" s="598" t="e">
        <f>+VLOOKUP($AJ151,Data_Validation!$A:$D,3,0)</f>
        <v>#N/A</v>
      </c>
      <c r="AQ151" s="598" t="e">
        <f>+VLOOKUP($AJ151,Data_Validation!$A:$D,4,0)</f>
        <v>#N/A</v>
      </c>
      <c r="AR151" s="598" t="s">
        <v>299</v>
      </c>
      <c r="AS151" s="598" t="e">
        <f>+VLOOKUP($AJ151,Data_Validation!$A:$E,5,0)</f>
        <v>#N/A</v>
      </c>
      <c r="AT151" s="1036">
        <f t="shared" si="10"/>
        <v>0</v>
      </c>
      <c r="AU151" s="599">
        <f t="shared" si="10"/>
        <v>0</v>
      </c>
      <c r="AV151" s="1030">
        <f>IFERROR(INDEX(V151:AG151,1,MATCH(Parametres!$B$3,V$1:AG$1,0)-1)*IF(OR(C151="L",C151="S",C151="I"),-1,1),"")</f>
        <v>0</v>
      </c>
      <c r="AW151" s="1030">
        <f t="shared" si="11"/>
        <v>0</v>
      </c>
      <c r="AX151" s="1030">
        <f>INDEX(V151:AG151,1,MATCH(Parametres!$B$3,V$1:AG$1,0))*IF(OR(C151="L",C151="S",C151="I"),-1,1)</f>
        <v>0</v>
      </c>
      <c r="AY151" s="598" t="s">
        <v>337</v>
      </c>
      <c r="AZ151" s="598" t="e">
        <f>+VLOOKUP($AJ151,Data_Validation!$A:$E,5,0)</f>
        <v>#N/A</v>
      </c>
    </row>
    <row r="152" spans="36:52" ht="15" customHeight="1">
      <c r="AJ152" s="1030">
        <f t="shared" si="8"/>
        <v>0</v>
      </c>
      <c r="AK152" s="1030">
        <f t="shared" si="8"/>
        <v>0</v>
      </c>
      <c r="AL152" s="1030">
        <f>IFERROR(INDEX(G152:R152,1,MATCH(Parametres!$B$3,G$1:R$1,0)-1)*IF(OR(F152="L",F152="S",F152="I"),-1,1),"")</f>
        <v>0</v>
      </c>
      <c r="AM152" s="1030">
        <f t="shared" si="9"/>
        <v>0</v>
      </c>
      <c r="AN152" s="1030">
        <f>INDEX(G152:R152,1,MATCH(Parametres!$B$3,G$1:R$1,0))*IF(OR(F152="L",F152="S",F152="I"),-1,1)</f>
        <v>0</v>
      </c>
      <c r="AO152" s="598" t="e">
        <f>+VLOOKUP($AJ152,Data_Validation!$A:$D,1,0)</f>
        <v>#N/A</v>
      </c>
      <c r="AP152" s="598" t="e">
        <f>+VLOOKUP($AJ152,Data_Validation!$A:$D,3,0)</f>
        <v>#N/A</v>
      </c>
      <c r="AQ152" s="598" t="e">
        <f>+VLOOKUP($AJ152,Data_Validation!$A:$D,4,0)</f>
        <v>#N/A</v>
      </c>
      <c r="AR152" s="598" t="s">
        <v>299</v>
      </c>
      <c r="AS152" s="598" t="e">
        <f>+VLOOKUP($AJ152,Data_Validation!$A:$E,5,0)</f>
        <v>#N/A</v>
      </c>
      <c r="AT152" s="1036">
        <f t="shared" si="10"/>
        <v>0</v>
      </c>
      <c r="AU152" s="599">
        <f t="shared" si="10"/>
        <v>0</v>
      </c>
      <c r="AV152" s="1030">
        <f>IFERROR(INDEX(V152:AG152,1,MATCH(Parametres!$B$3,V$1:AG$1,0)-1)*IF(OR(C152="L",C152="S",C152="I"),-1,1),"")</f>
        <v>0</v>
      </c>
      <c r="AW152" s="1030">
        <f t="shared" si="11"/>
        <v>0</v>
      </c>
      <c r="AX152" s="1030">
        <f>INDEX(V152:AG152,1,MATCH(Parametres!$B$3,V$1:AG$1,0))*IF(OR(C152="L",C152="S",C152="I"),-1,1)</f>
        <v>0</v>
      </c>
      <c r="AY152" s="598" t="s">
        <v>337</v>
      </c>
      <c r="AZ152" s="598" t="e">
        <f>+VLOOKUP($AJ152,Data_Validation!$A:$E,5,0)</f>
        <v>#N/A</v>
      </c>
    </row>
    <row r="153" spans="36:52" ht="15" customHeight="1">
      <c r="AJ153" s="1030">
        <f t="shared" si="8"/>
        <v>0</v>
      </c>
      <c r="AK153" s="1030">
        <f t="shared" si="8"/>
        <v>0</v>
      </c>
      <c r="AL153" s="1030">
        <f>IFERROR(INDEX(G153:R153,1,MATCH(Parametres!$B$3,G$1:R$1,0)-1)*IF(OR(F153="L",F153="S",F153="I"),-1,1),"")</f>
        <v>0</v>
      </c>
      <c r="AM153" s="1030">
        <f t="shared" si="9"/>
        <v>0</v>
      </c>
      <c r="AN153" s="1030">
        <f>INDEX(G153:R153,1,MATCH(Parametres!$B$3,G$1:R$1,0))*IF(OR(F153="L",F153="S",F153="I"),-1,1)</f>
        <v>0</v>
      </c>
      <c r="AO153" s="598" t="e">
        <f>+VLOOKUP($AJ153,Data_Validation!$A:$D,1,0)</f>
        <v>#N/A</v>
      </c>
      <c r="AP153" s="598" t="e">
        <f>+VLOOKUP($AJ153,Data_Validation!$A:$D,3,0)</f>
        <v>#N/A</v>
      </c>
      <c r="AQ153" s="598" t="e">
        <f>+VLOOKUP($AJ153,Data_Validation!$A:$D,4,0)</f>
        <v>#N/A</v>
      </c>
      <c r="AR153" s="598" t="s">
        <v>299</v>
      </c>
      <c r="AS153" s="598" t="e">
        <f>+VLOOKUP($AJ153,Data_Validation!$A:$E,5,0)</f>
        <v>#N/A</v>
      </c>
      <c r="AT153" s="1036">
        <f t="shared" si="10"/>
        <v>0</v>
      </c>
      <c r="AU153" s="599">
        <f t="shared" si="10"/>
        <v>0</v>
      </c>
      <c r="AV153" s="1030">
        <f>IFERROR(INDEX(V153:AG153,1,MATCH(Parametres!$B$3,V$1:AG$1,0)-1)*IF(OR(C153="L",C153="S",C153="I"),-1,1),"")</f>
        <v>0</v>
      </c>
      <c r="AW153" s="1030">
        <f t="shared" si="11"/>
        <v>0</v>
      </c>
      <c r="AX153" s="1030">
        <f>INDEX(V153:AG153,1,MATCH(Parametres!$B$3,V$1:AG$1,0))*IF(OR(C153="L",C153="S",C153="I"),-1,1)</f>
        <v>0</v>
      </c>
      <c r="AY153" s="598" t="s">
        <v>337</v>
      </c>
      <c r="AZ153" s="598" t="e">
        <f>+VLOOKUP($AJ153,Data_Validation!$A:$E,5,0)</f>
        <v>#N/A</v>
      </c>
    </row>
    <row r="154" spans="36:52" ht="15" customHeight="1">
      <c r="AJ154" s="1030">
        <f t="shared" si="8"/>
        <v>0</v>
      </c>
      <c r="AK154" s="1030">
        <f t="shared" si="8"/>
        <v>0</v>
      </c>
      <c r="AL154" s="1030">
        <f>IFERROR(INDEX(G154:R154,1,MATCH(Parametres!$B$3,G$1:R$1,0)-1)*IF(OR(F154="L",F154="S",F154="I"),-1,1),"")</f>
        <v>0</v>
      </c>
      <c r="AM154" s="1030">
        <f t="shared" si="9"/>
        <v>0</v>
      </c>
      <c r="AN154" s="1030">
        <f>INDEX(G154:R154,1,MATCH(Parametres!$B$3,G$1:R$1,0))*IF(OR(F154="L",F154="S",F154="I"),-1,1)</f>
        <v>0</v>
      </c>
      <c r="AO154" s="598" t="e">
        <f>+VLOOKUP($AJ154,Data_Validation!$A:$D,1,0)</f>
        <v>#N/A</v>
      </c>
      <c r="AP154" s="598" t="e">
        <f>+VLOOKUP($AJ154,Data_Validation!$A:$D,3,0)</f>
        <v>#N/A</v>
      </c>
      <c r="AQ154" s="598" t="e">
        <f>+VLOOKUP($AJ154,Data_Validation!$A:$D,4,0)</f>
        <v>#N/A</v>
      </c>
      <c r="AR154" s="598" t="s">
        <v>299</v>
      </c>
      <c r="AS154" s="598" t="e">
        <f>+VLOOKUP($AJ154,Data_Validation!$A:$E,5,0)</f>
        <v>#N/A</v>
      </c>
      <c r="AT154" s="1036">
        <f t="shared" si="10"/>
        <v>0</v>
      </c>
      <c r="AU154" s="599">
        <f t="shared" si="10"/>
        <v>0</v>
      </c>
      <c r="AV154" s="1030">
        <f>IFERROR(INDEX(V154:AG154,1,MATCH(Parametres!$B$3,V$1:AG$1,0)-1)*IF(OR(C154="L",C154="S",C154="I"),-1,1),"")</f>
        <v>0</v>
      </c>
      <c r="AW154" s="1030">
        <f t="shared" si="11"/>
        <v>0</v>
      </c>
      <c r="AX154" s="1030">
        <f>INDEX(V154:AG154,1,MATCH(Parametres!$B$3,V$1:AG$1,0))*IF(OR(C154="L",C154="S",C154="I"),-1,1)</f>
        <v>0</v>
      </c>
      <c r="AY154" s="598" t="s">
        <v>337</v>
      </c>
      <c r="AZ154" s="598" t="e">
        <f>+VLOOKUP($AJ154,Data_Validation!$A:$E,5,0)</f>
        <v>#N/A</v>
      </c>
    </row>
    <row r="155" spans="36:52" ht="15.75" customHeight="1">
      <c r="AJ155" s="1030">
        <f t="shared" si="8"/>
        <v>0</v>
      </c>
      <c r="AK155" s="1030">
        <f t="shared" si="8"/>
        <v>0</v>
      </c>
      <c r="AL155" s="1030">
        <f>IFERROR(INDEX(G155:R155,1,MATCH(Parametres!$B$3,G$1:R$1,0)-1)*IF(OR(F155="L",F155="S",F155="I"),-1,1),"")</f>
        <v>0</v>
      </c>
      <c r="AM155" s="1030">
        <f t="shared" si="9"/>
        <v>0</v>
      </c>
      <c r="AN155" s="1030">
        <f>INDEX(G155:R155,1,MATCH(Parametres!$B$3,G$1:R$1,0))*IF(OR(F155="L",F155="S",F155="I"),-1,1)</f>
        <v>0</v>
      </c>
      <c r="AO155" s="598" t="e">
        <f>+VLOOKUP($AJ155,Data_Validation!$A:$D,1,0)</f>
        <v>#N/A</v>
      </c>
      <c r="AP155" s="598" t="e">
        <f>+VLOOKUP($AJ155,Data_Validation!$A:$D,3,0)</f>
        <v>#N/A</v>
      </c>
      <c r="AQ155" s="598" t="e">
        <f>+VLOOKUP($AJ155,Data_Validation!$A:$D,4,0)</f>
        <v>#N/A</v>
      </c>
      <c r="AR155" s="598" t="s">
        <v>299</v>
      </c>
      <c r="AS155" s="598" t="e">
        <f>+VLOOKUP($AJ155,Data_Validation!$A:$E,5,0)</f>
        <v>#N/A</v>
      </c>
      <c r="AT155" s="1036">
        <f t="shared" si="10"/>
        <v>0</v>
      </c>
      <c r="AU155" s="599">
        <f t="shared" si="10"/>
        <v>0</v>
      </c>
      <c r="AV155" s="1030">
        <f>IFERROR(INDEX(V155:AG155,1,MATCH(Parametres!$B$3,V$1:AG$1,0)-1)*IF(OR(C155="L",C155="S",C155="I"),-1,1),"")</f>
        <v>0</v>
      </c>
      <c r="AW155" s="1030">
        <f t="shared" si="11"/>
        <v>0</v>
      </c>
      <c r="AX155" s="1030">
        <f>INDEX(V155:AG155,1,MATCH(Parametres!$B$3,V$1:AG$1,0))*IF(OR(C155="L",C155="S",C155="I"),-1,1)</f>
        <v>0</v>
      </c>
      <c r="AY155" s="598" t="s">
        <v>337</v>
      </c>
      <c r="AZ155" s="598" t="e">
        <f>+VLOOKUP($AJ155,Data_Validation!$A:$E,5,0)</f>
        <v>#N/A</v>
      </c>
    </row>
    <row r="156" spans="36:52" ht="15" customHeight="1">
      <c r="AJ156" s="1030">
        <f t="shared" si="8"/>
        <v>0</v>
      </c>
      <c r="AK156" s="1030">
        <f t="shared" si="8"/>
        <v>0</v>
      </c>
      <c r="AL156" s="1030">
        <f>IFERROR(INDEX(G156:R156,1,MATCH(Parametres!$B$3,G$1:R$1,0)-1)*IF(OR(F156="L",F156="S",F156="I"),-1,1),"")</f>
        <v>0</v>
      </c>
      <c r="AM156" s="1030">
        <f t="shared" si="9"/>
        <v>0</v>
      </c>
      <c r="AN156" s="1030">
        <f>INDEX(G156:R156,1,MATCH(Parametres!$B$3,G$1:R$1,0))*IF(OR(F156="L",F156="S",F156="I"),-1,1)</f>
        <v>0</v>
      </c>
      <c r="AO156" s="598" t="e">
        <f>+VLOOKUP($AJ156,Data_Validation!$A:$D,1,0)</f>
        <v>#N/A</v>
      </c>
      <c r="AP156" s="598" t="e">
        <f>+VLOOKUP($AJ156,Data_Validation!$A:$D,3,0)</f>
        <v>#N/A</v>
      </c>
      <c r="AQ156" s="598" t="e">
        <f>+VLOOKUP($AJ156,Data_Validation!$A:$D,4,0)</f>
        <v>#N/A</v>
      </c>
      <c r="AR156" s="598" t="s">
        <v>299</v>
      </c>
      <c r="AS156" s="598" t="e">
        <f>+VLOOKUP($AJ156,Data_Validation!$A:$E,5,0)</f>
        <v>#N/A</v>
      </c>
      <c r="AT156" s="1036">
        <f t="shared" si="10"/>
        <v>0</v>
      </c>
      <c r="AU156" s="599">
        <f t="shared" si="10"/>
        <v>0</v>
      </c>
      <c r="AV156" s="1030">
        <f>IFERROR(INDEX(V156:AG156,1,MATCH(Parametres!$B$3,V$1:AG$1,0)-1)*IF(OR(C156="L",C156="S",C156="I"),-1,1),"")</f>
        <v>0</v>
      </c>
      <c r="AW156" s="1030">
        <f t="shared" si="11"/>
        <v>0</v>
      </c>
      <c r="AX156" s="1030">
        <f>INDEX(V156:AG156,1,MATCH(Parametres!$B$3,V$1:AG$1,0))*IF(OR(C156="L",C156="S",C156="I"),-1,1)</f>
        <v>0</v>
      </c>
      <c r="AY156" s="598" t="s">
        <v>337</v>
      </c>
      <c r="AZ156" s="598" t="e">
        <f>+VLOOKUP($AJ156,Data_Validation!$A:$E,5,0)</f>
        <v>#N/A</v>
      </c>
    </row>
    <row r="157" spans="36:52" ht="15" customHeight="1">
      <c r="AJ157" s="1030">
        <f t="shared" si="8"/>
        <v>0</v>
      </c>
      <c r="AK157" s="1030">
        <f t="shared" si="8"/>
        <v>0</v>
      </c>
      <c r="AL157" s="1030">
        <f>IFERROR(INDEX(G157:R157,1,MATCH(Parametres!$B$3,G$1:R$1,0)-1)*IF(OR(F157="L",F157="S",F157="I"),-1,1),"")</f>
        <v>0</v>
      </c>
      <c r="AM157" s="1030">
        <f t="shared" si="9"/>
        <v>0</v>
      </c>
      <c r="AN157" s="1030">
        <f>INDEX(G157:R157,1,MATCH(Parametres!$B$3,G$1:R$1,0))*IF(OR(F157="L",F157="S",F157="I"),-1,1)</f>
        <v>0</v>
      </c>
      <c r="AO157" s="598" t="e">
        <f>+VLOOKUP($AJ157,Data_Validation!$A:$D,1,0)</f>
        <v>#N/A</v>
      </c>
      <c r="AP157" s="598" t="e">
        <f>+VLOOKUP($AJ157,Data_Validation!$A:$D,3,0)</f>
        <v>#N/A</v>
      </c>
      <c r="AQ157" s="598" t="e">
        <f>+VLOOKUP($AJ157,Data_Validation!$A:$D,4,0)</f>
        <v>#N/A</v>
      </c>
      <c r="AR157" s="598" t="s">
        <v>299</v>
      </c>
      <c r="AS157" s="598" t="e">
        <f>+VLOOKUP($AJ157,Data_Validation!$A:$E,5,0)</f>
        <v>#N/A</v>
      </c>
      <c r="AT157" s="1036">
        <f t="shared" si="10"/>
        <v>0</v>
      </c>
      <c r="AU157" s="599">
        <f t="shared" si="10"/>
        <v>0</v>
      </c>
      <c r="AV157" s="1030">
        <f>IFERROR(INDEX(V157:AG157,1,MATCH(Parametres!$B$3,V$1:AG$1,0)-1)*IF(OR(C157="L",C157="S",C157="I"),-1,1),"")</f>
        <v>0</v>
      </c>
      <c r="AW157" s="1030">
        <f t="shared" si="11"/>
        <v>0</v>
      </c>
      <c r="AX157" s="1030">
        <f>INDEX(V157:AG157,1,MATCH(Parametres!$B$3,V$1:AG$1,0))*IF(OR(C157="L",C157="S",C157="I"),-1,1)</f>
        <v>0</v>
      </c>
      <c r="AY157" s="598" t="s">
        <v>337</v>
      </c>
      <c r="AZ157" s="598" t="e">
        <f>+VLOOKUP($AJ157,Data_Validation!$A:$E,5,0)</f>
        <v>#N/A</v>
      </c>
    </row>
    <row r="158" spans="36:52" ht="15" customHeight="1">
      <c r="AJ158" s="1030">
        <f t="shared" si="8"/>
        <v>0</v>
      </c>
      <c r="AK158" s="1030">
        <f t="shared" si="8"/>
        <v>0</v>
      </c>
      <c r="AL158" s="1030">
        <f>IFERROR(INDEX(G158:R158,1,MATCH(Parametres!$B$3,G$1:R$1,0)-1)*IF(OR(F158="L",F158="S",F158="I"),-1,1),"")</f>
        <v>0</v>
      </c>
      <c r="AM158" s="1030">
        <f t="shared" si="9"/>
        <v>0</v>
      </c>
      <c r="AN158" s="1030">
        <f>INDEX(G158:R158,1,MATCH(Parametres!$B$3,G$1:R$1,0))*IF(OR(F158="L",F158="S",F158="I"),-1,1)</f>
        <v>0</v>
      </c>
      <c r="AO158" s="598" t="e">
        <f>+VLOOKUP($AJ158,Data_Validation!$A:$D,1,0)</f>
        <v>#N/A</v>
      </c>
      <c r="AP158" s="598" t="e">
        <f>+VLOOKUP($AJ158,Data_Validation!$A:$D,3,0)</f>
        <v>#N/A</v>
      </c>
      <c r="AQ158" s="598" t="e">
        <f>+VLOOKUP($AJ158,Data_Validation!$A:$D,4,0)</f>
        <v>#N/A</v>
      </c>
      <c r="AR158" s="598" t="s">
        <v>299</v>
      </c>
      <c r="AS158" s="598" t="e">
        <f>+VLOOKUP($AJ158,Data_Validation!$A:$E,5,0)</f>
        <v>#N/A</v>
      </c>
      <c r="AT158" s="1036">
        <f t="shared" si="10"/>
        <v>0</v>
      </c>
      <c r="AU158" s="599">
        <f t="shared" si="10"/>
        <v>0</v>
      </c>
      <c r="AV158" s="1030">
        <f>IFERROR(INDEX(V158:AG158,1,MATCH(Parametres!$B$3,V$1:AG$1,0)-1)*IF(OR(C158="L",C158="S",C158="I"),-1,1),"")</f>
        <v>0</v>
      </c>
      <c r="AW158" s="1030">
        <f t="shared" si="11"/>
        <v>0</v>
      </c>
      <c r="AX158" s="1030">
        <f>INDEX(V158:AG158,1,MATCH(Parametres!$B$3,V$1:AG$1,0))*IF(OR(C158="L",C158="S",C158="I"),-1,1)</f>
        <v>0</v>
      </c>
      <c r="AY158" s="598" t="s">
        <v>337</v>
      </c>
      <c r="AZ158" s="598" t="e">
        <f>+VLOOKUP($AJ158,Data_Validation!$A:$E,5,0)</f>
        <v>#N/A</v>
      </c>
    </row>
    <row r="159" spans="36:52" ht="15.75" customHeight="1">
      <c r="AJ159" s="1030">
        <f t="shared" si="8"/>
        <v>0</v>
      </c>
      <c r="AK159" s="1030">
        <f t="shared" si="8"/>
        <v>0</v>
      </c>
      <c r="AL159" s="1030">
        <f>IFERROR(INDEX(G159:R159,1,MATCH(Parametres!$B$3,G$1:R$1,0)-1)*IF(OR(F159="L",F159="S",F159="I"),-1,1),"")</f>
        <v>0</v>
      </c>
      <c r="AM159" s="1030">
        <f t="shared" si="9"/>
        <v>0</v>
      </c>
      <c r="AN159" s="1030">
        <f>INDEX(G159:R159,1,MATCH(Parametres!$B$3,G$1:R$1,0))*IF(OR(F159="L",F159="S",F159="I"),-1,1)</f>
        <v>0</v>
      </c>
      <c r="AO159" s="598" t="e">
        <f>+VLOOKUP($AJ159,Data_Validation!$A:$D,1,0)</f>
        <v>#N/A</v>
      </c>
      <c r="AP159" s="598" t="e">
        <f>+VLOOKUP($AJ159,Data_Validation!$A:$D,3,0)</f>
        <v>#N/A</v>
      </c>
      <c r="AQ159" s="598" t="e">
        <f>+VLOOKUP($AJ159,Data_Validation!$A:$D,4,0)</f>
        <v>#N/A</v>
      </c>
      <c r="AR159" s="598" t="s">
        <v>299</v>
      </c>
      <c r="AS159" s="598" t="e">
        <f>+VLOOKUP($AJ159,Data_Validation!$A:$E,5,0)</f>
        <v>#N/A</v>
      </c>
      <c r="AT159" s="1036">
        <f t="shared" si="10"/>
        <v>0</v>
      </c>
      <c r="AU159" s="599">
        <f t="shared" si="10"/>
        <v>0</v>
      </c>
      <c r="AV159" s="1030">
        <f>IFERROR(INDEX(V159:AG159,1,MATCH(Parametres!$B$3,V$1:AG$1,0)-1)*IF(OR(C159="L",C159="S",C159="I"),-1,1),"")</f>
        <v>0</v>
      </c>
      <c r="AW159" s="1030">
        <f t="shared" si="11"/>
        <v>0</v>
      </c>
      <c r="AX159" s="1030">
        <f>INDEX(V159:AG159,1,MATCH(Parametres!$B$3,V$1:AG$1,0))*IF(OR(C159="L",C159="S",C159="I"),-1,1)</f>
        <v>0</v>
      </c>
      <c r="AY159" s="598" t="s">
        <v>337</v>
      </c>
      <c r="AZ159" s="598" t="e">
        <f>+VLOOKUP($AJ159,Data_Validation!$A:$E,5,0)</f>
        <v>#N/A</v>
      </c>
    </row>
    <row r="160" spans="36:52" ht="15" customHeight="1">
      <c r="AJ160" s="1030">
        <f t="shared" si="8"/>
        <v>0</v>
      </c>
      <c r="AK160" s="1030">
        <f t="shared" si="8"/>
        <v>0</v>
      </c>
      <c r="AL160" s="1030">
        <f>IFERROR(INDEX(G160:R160,1,MATCH(Parametres!$B$3,G$1:R$1,0)-1)*IF(OR(F160="L",F160="S",F160="I"),-1,1),"")</f>
        <v>0</v>
      </c>
      <c r="AM160" s="1030">
        <f t="shared" si="9"/>
        <v>0</v>
      </c>
      <c r="AN160" s="1030">
        <f>INDEX(G160:R160,1,MATCH(Parametres!$B$3,G$1:R$1,0))*IF(OR(F160="L",F160="S",F160="I"),-1,1)</f>
        <v>0</v>
      </c>
      <c r="AO160" s="598" t="e">
        <f>+VLOOKUP($AJ160,Data_Validation!$A:$D,1,0)</f>
        <v>#N/A</v>
      </c>
      <c r="AP160" s="598" t="e">
        <f>+VLOOKUP($AJ160,Data_Validation!$A:$D,3,0)</f>
        <v>#N/A</v>
      </c>
      <c r="AQ160" s="598" t="e">
        <f>+VLOOKUP($AJ160,Data_Validation!$A:$D,4,0)</f>
        <v>#N/A</v>
      </c>
      <c r="AR160" s="598" t="s">
        <v>299</v>
      </c>
      <c r="AS160" s="598" t="e">
        <f>+VLOOKUP($AJ160,Data_Validation!$A:$E,5,0)</f>
        <v>#N/A</v>
      </c>
      <c r="AT160" s="1036">
        <f t="shared" si="10"/>
        <v>0</v>
      </c>
      <c r="AU160" s="599">
        <f t="shared" si="10"/>
        <v>0</v>
      </c>
      <c r="AV160" s="1030">
        <f>IFERROR(INDEX(V160:AG160,1,MATCH(Parametres!$B$3,V$1:AG$1,0)-1)*IF(OR(C160="L",C160="S",C160="I"),-1,1),"")</f>
        <v>0</v>
      </c>
      <c r="AW160" s="1030">
        <f t="shared" si="11"/>
        <v>0</v>
      </c>
      <c r="AX160" s="1030">
        <f>INDEX(V160:AG160,1,MATCH(Parametres!$B$3,V$1:AG$1,0))*IF(OR(C160="L",C160="S",C160="I"),-1,1)</f>
        <v>0</v>
      </c>
      <c r="AY160" s="598" t="s">
        <v>337</v>
      </c>
      <c r="AZ160" s="598" t="e">
        <f>+VLOOKUP($AJ160,Data_Validation!$A:$E,5,0)</f>
        <v>#N/A</v>
      </c>
    </row>
    <row r="161" spans="36:52" ht="15" customHeight="1">
      <c r="AJ161" s="1030">
        <f t="shared" si="8"/>
        <v>0</v>
      </c>
      <c r="AK161" s="1030">
        <f t="shared" si="8"/>
        <v>0</v>
      </c>
      <c r="AL161" s="1030">
        <f>IFERROR(INDEX(G161:R161,1,MATCH(Parametres!$B$3,G$1:R$1,0)-1)*IF(OR(F161="L",F161="S",F161="I"),-1,1),"")</f>
        <v>0</v>
      </c>
      <c r="AM161" s="1030">
        <f t="shared" si="9"/>
        <v>0</v>
      </c>
      <c r="AN161" s="1030">
        <f>INDEX(G161:R161,1,MATCH(Parametres!$B$3,G$1:R$1,0))*IF(OR(F161="L",F161="S",F161="I"),-1,1)</f>
        <v>0</v>
      </c>
      <c r="AO161" s="598" t="e">
        <f>+VLOOKUP($AJ161,Data_Validation!$A:$D,1,0)</f>
        <v>#N/A</v>
      </c>
      <c r="AP161" s="598" t="e">
        <f>+VLOOKUP($AJ161,Data_Validation!$A:$D,3,0)</f>
        <v>#N/A</v>
      </c>
      <c r="AQ161" s="598" t="e">
        <f>+VLOOKUP($AJ161,Data_Validation!$A:$D,4,0)</f>
        <v>#N/A</v>
      </c>
      <c r="AR161" s="598" t="s">
        <v>299</v>
      </c>
      <c r="AS161" s="598" t="e">
        <f>+VLOOKUP($AJ161,Data_Validation!$A:$E,5,0)</f>
        <v>#N/A</v>
      </c>
      <c r="AT161" s="1036">
        <f t="shared" si="10"/>
        <v>0</v>
      </c>
      <c r="AU161" s="599">
        <f t="shared" si="10"/>
        <v>0</v>
      </c>
      <c r="AV161" s="1030">
        <f>IFERROR(INDEX(V161:AG161,1,MATCH(Parametres!$B$3,V$1:AG$1,0)-1)*IF(OR(C161="L",C161="S",C161="I"),-1,1),"")</f>
        <v>0</v>
      </c>
      <c r="AW161" s="1030">
        <f t="shared" si="11"/>
        <v>0</v>
      </c>
      <c r="AX161" s="1030">
        <f>INDEX(V161:AG161,1,MATCH(Parametres!$B$3,V$1:AG$1,0))*IF(OR(C161="L",C161="S",C161="I"),-1,1)</f>
        <v>0</v>
      </c>
      <c r="AY161" s="598" t="s">
        <v>337</v>
      </c>
      <c r="AZ161" s="598" t="e">
        <f>+VLOOKUP($AJ161,Data_Validation!$A:$E,5,0)</f>
        <v>#N/A</v>
      </c>
    </row>
    <row r="162" spans="36:52" ht="15" customHeight="1">
      <c r="AJ162" s="1030">
        <f t="shared" si="8"/>
        <v>0</v>
      </c>
      <c r="AK162" s="1030">
        <f t="shared" si="8"/>
        <v>0</v>
      </c>
      <c r="AL162" s="1030">
        <f>IFERROR(INDEX(G162:R162,1,MATCH(Parametres!$B$3,G$1:R$1,0)-1)*IF(OR(F162="L",F162="S",F162="I"),-1,1),"")</f>
        <v>0</v>
      </c>
      <c r="AM162" s="1030">
        <f t="shared" si="9"/>
        <v>0</v>
      </c>
      <c r="AN162" s="1030">
        <f>INDEX(G162:R162,1,MATCH(Parametres!$B$3,G$1:R$1,0))*IF(OR(F162="L",F162="S",F162="I"),-1,1)</f>
        <v>0</v>
      </c>
      <c r="AO162" s="598" t="e">
        <f>+VLOOKUP($AJ162,Data_Validation!$A:$D,1,0)</f>
        <v>#N/A</v>
      </c>
      <c r="AP162" s="598" t="e">
        <f>+VLOOKUP($AJ162,Data_Validation!$A:$D,3,0)</f>
        <v>#N/A</v>
      </c>
      <c r="AQ162" s="598" t="e">
        <f>+VLOOKUP($AJ162,Data_Validation!$A:$D,4,0)</f>
        <v>#N/A</v>
      </c>
      <c r="AR162" s="598" t="s">
        <v>299</v>
      </c>
      <c r="AS162" s="598" t="e">
        <f>+VLOOKUP($AJ162,Data_Validation!$A:$E,5,0)</f>
        <v>#N/A</v>
      </c>
      <c r="AT162" s="1036">
        <f t="shared" si="10"/>
        <v>0</v>
      </c>
      <c r="AU162" s="599">
        <f t="shared" si="10"/>
        <v>0</v>
      </c>
      <c r="AV162" s="1030">
        <f>IFERROR(INDEX(V162:AG162,1,MATCH(Parametres!$B$3,V$1:AG$1,0)-1)*IF(OR(C162="L",C162="S",C162="I"),-1,1),"")</f>
        <v>0</v>
      </c>
      <c r="AW162" s="1030">
        <f t="shared" si="11"/>
        <v>0</v>
      </c>
      <c r="AX162" s="1030">
        <f>INDEX(V162:AG162,1,MATCH(Parametres!$B$3,V$1:AG$1,0))*IF(OR(C162="L",C162="S",C162="I"),-1,1)</f>
        <v>0</v>
      </c>
      <c r="AY162" s="598" t="s">
        <v>337</v>
      </c>
      <c r="AZ162" s="598" t="e">
        <f>+VLOOKUP($AJ162,Data_Validation!$A:$E,5,0)</f>
        <v>#N/A</v>
      </c>
    </row>
    <row r="163" spans="36:52" ht="15.75" customHeight="1">
      <c r="AJ163" s="1030">
        <f t="shared" si="8"/>
        <v>0</v>
      </c>
      <c r="AK163" s="1030">
        <f t="shared" si="8"/>
        <v>0</v>
      </c>
      <c r="AL163" s="1030">
        <f>IFERROR(INDEX(G163:R163,1,MATCH(Parametres!$B$3,G$1:R$1,0)-1)*IF(OR(F163="L",F163="S",F163="I"),-1,1),"")</f>
        <v>0</v>
      </c>
      <c r="AM163" s="1030">
        <f t="shared" si="9"/>
        <v>0</v>
      </c>
      <c r="AN163" s="1030">
        <f>INDEX(G163:R163,1,MATCH(Parametres!$B$3,G$1:R$1,0))*IF(OR(F163="L",F163="S",F163="I"),-1,1)</f>
        <v>0</v>
      </c>
      <c r="AO163" s="598" t="e">
        <f>+VLOOKUP($AJ163,Data_Validation!$A:$D,1,0)</f>
        <v>#N/A</v>
      </c>
      <c r="AP163" s="598" t="e">
        <f>+VLOOKUP($AJ163,Data_Validation!$A:$D,3,0)</f>
        <v>#N/A</v>
      </c>
      <c r="AQ163" s="598" t="e">
        <f>+VLOOKUP($AJ163,Data_Validation!$A:$D,4,0)</f>
        <v>#N/A</v>
      </c>
      <c r="AR163" s="598" t="s">
        <v>299</v>
      </c>
      <c r="AS163" s="598" t="e">
        <f>+VLOOKUP($AJ163,Data_Validation!$A:$E,5,0)</f>
        <v>#N/A</v>
      </c>
      <c r="AT163" s="1036">
        <f t="shared" si="10"/>
        <v>0</v>
      </c>
      <c r="AU163" s="599">
        <f t="shared" si="10"/>
        <v>0</v>
      </c>
      <c r="AV163" s="1030">
        <f>IFERROR(INDEX(V163:AG163,1,MATCH(Parametres!$B$3,V$1:AG$1,0)-1)*IF(OR(C163="L",C163="S",C163="I"),-1,1),"")</f>
        <v>0</v>
      </c>
      <c r="AW163" s="1030">
        <f t="shared" si="11"/>
        <v>0</v>
      </c>
      <c r="AX163" s="1030">
        <f>INDEX(V163:AG163,1,MATCH(Parametres!$B$3,V$1:AG$1,0))*IF(OR(C163="L",C163="S",C163="I"),-1,1)</f>
        <v>0</v>
      </c>
      <c r="AY163" s="598" t="s">
        <v>337</v>
      </c>
      <c r="AZ163" s="598" t="e">
        <f>+VLOOKUP($AJ163,Data_Validation!$A:$E,5,0)</f>
        <v>#N/A</v>
      </c>
    </row>
    <row r="164" spans="36:52" ht="15" customHeight="1">
      <c r="AJ164" s="1030">
        <f t="shared" si="8"/>
        <v>0</v>
      </c>
      <c r="AK164" s="1030">
        <f t="shared" si="8"/>
        <v>0</v>
      </c>
      <c r="AL164" s="1030">
        <f>IFERROR(INDEX(G164:R164,1,MATCH(Parametres!$B$3,G$1:R$1,0)-1)*IF(OR(F164="L",F164="S",F164="I"),-1,1),"")</f>
        <v>0</v>
      </c>
      <c r="AM164" s="1030">
        <f t="shared" si="9"/>
        <v>0</v>
      </c>
      <c r="AN164" s="1030">
        <f>INDEX(G164:R164,1,MATCH(Parametres!$B$3,G$1:R$1,0))*IF(OR(F164="L",F164="S",F164="I"),-1,1)</f>
        <v>0</v>
      </c>
      <c r="AO164" s="598" t="e">
        <f>+VLOOKUP($AJ164,Data_Validation!$A:$D,1,0)</f>
        <v>#N/A</v>
      </c>
      <c r="AP164" s="598" t="e">
        <f>+VLOOKUP($AJ164,Data_Validation!$A:$D,3,0)</f>
        <v>#N/A</v>
      </c>
      <c r="AQ164" s="598" t="e">
        <f>+VLOOKUP($AJ164,Data_Validation!$A:$D,4,0)</f>
        <v>#N/A</v>
      </c>
      <c r="AR164" s="598" t="s">
        <v>299</v>
      </c>
      <c r="AS164" s="598" t="e">
        <f>+VLOOKUP($AJ164,Data_Validation!$A:$E,5,0)</f>
        <v>#N/A</v>
      </c>
      <c r="AT164" s="1036">
        <f t="shared" si="10"/>
        <v>0</v>
      </c>
      <c r="AU164" s="599">
        <f t="shared" si="10"/>
        <v>0</v>
      </c>
      <c r="AV164" s="1030">
        <f>IFERROR(INDEX(V164:AG164,1,MATCH(Parametres!$B$3,V$1:AG$1,0)-1)*IF(OR(C164="L",C164="S",C164="I"),-1,1),"")</f>
        <v>0</v>
      </c>
      <c r="AW164" s="1030">
        <f t="shared" si="11"/>
        <v>0</v>
      </c>
      <c r="AX164" s="1030">
        <f>INDEX(V164:AG164,1,MATCH(Parametres!$B$3,V$1:AG$1,0))*IF(OR(C164="L",C164="S",C164="I"),-1,1)</f>
        <v>0</v>
      </c>
      <c r="AY164" s="598" t="s">
        <v>337</v>
      </c>
      <c r="AZ164" s="598" t="e">
        <f>+VLOOKUP($AJ164,Data_Validation!$A:$E,5,0)</f>
        <v>#N/A</v>
      </c>
    </row>
    <row r="165" spans="36:52" ht="15" customHeight="1">
      <c r="AJ165" s="1030">
        <f t="shared" si="8"/>
        <v>0</v>
      </c>
      <c r="AK165" s="1030">
        <f t="shared" si="8"/>
        <v>0</v>
      </c>
      <c r="AL165" s="1030">
        <f>IFERROR(INDEX(G165:R165,1,MATCH(Parametres!$B$3,G$1:R$1,0)-1)*IF(OR(F165="L",F165="S",F165="I"),-1,1),"")</f>
        <v>0</v>
      </c>
      <c r="AM165" s="1030">
        <f t="shared" si="9"/>
        <v>0</v>
      </c>
      <c r="AN165" s="1030">
        <f>INDEX(G165:R165,1,MATCH(Parametres!$B$3,G$1:R$1,0))*IF(OR(F165="L",F165="S",F165="I"),-1,1)</f>
        <v>0</v>
      </c>
      <c r="AO165" s="598" t="e">
        <f>+VLOOKUP($AJ165,Data_Validation!$A:$D,1,0)</f>
        <v>#N/A</v>
      </c>
      <c r="AP165" s="598" t="e">
        <f>+VLOOKUP($AJ165,Data_Validation!$A:$D,3,0)</f>
        <v>#N/A</v>
      </c>
      <c r="AQ165" s="598" t="e">
        <f>+VLOOKUP($AJ165,Data_Validation!$A:$D,4,0)</f>
        <v>#N/A</v>
      </c>
      <c r="AR165" s="598" t="s">
        <v>299</v>
      </c>
      <c r="AS165" s="598" t="e">
        <f>+VLOOKUP($AJ165,Data_Validation!$A:$E,5,0)</f>
        <v>#N/A</v>
      </c>
      <c r="AT165" s="1036">
        <f t="shared" si="10"/>
        <v>0</v>
      </c>
      <c r="AU165" s="599">
        <f t="shared" si="10"/>
        <v>0</v>
      </c>
      <c r="AV165" s="1030">
        <f>IFERROR(INDEX(V165:AG165,1,MATCH(Parametres!$B$3,V$1:AG$1,0)-1)*IF(OR(C165="L",C165="S",C165="I"),-1,1),"")</f>
        <v>0</v>
      </c>
      <c r="AW165" s="1030">
        <f t="shared" si="11"/>
        <v>0</v>
      </c>
      <c r="AX165" s="1030">
        <f>INDEX(V165:AG165,1,MATCH(Parametres!$B$3,V$1:AG$1,0))*IF(OR(C165="L",C165="S",C165="I"),-1,1)</f>
        <v>0</v>
      </c>
      <c r="AY165" s="598" t="s">
        <v>337</v>
      </c>
      <c r="AZ165" s="598" t="e">
        <f>+VLOOKUP($AJ165,Data_Validation!$A:$E,5,0)</f>
        <v>#N/A</v>
      </c>
    </row>
    <row r="166" spans="36:52" ht="15" customHeight="1">
      <c r="AJ166" s="1030">
        <f t="shared" si="8"/>
        <v>0</v>
      </c>
      <c r="AK166" s="1030">
        <f t="shared" si="8"/>
        <v>0</v>
      </c>
      <c r="AL166" s="1030">
        <f>IFERROR(INDEX(G166:R166,1,MATCH(Parametres!$B$3,G$1:R$1,0)-1)*IF(OR(F166="L",F166="S",F166="I"),-1,1),"")</f>
        <v>0</v>
      </c>
      <c r="AM166" s="1030">
        <f t="shared" si="9"/>
        <v>0</v>
      </c>
      <c r="AN166" s="1030">
        <f>INDEX(G166:R166,1,MATCH(Parametres!$B$3,G$1:R$1,0))*IF(OR(F166="L",F166="S",F166="I"),-1,1)</f>
        <v>0</v>
      </c>
      <c r="AO166" s="598" t="e">
        <f>+VLOOKUP($AJ166,Data_Validation!$A:$D,1,0)</f>
        <v>#N/A</v>
      </c>
      <c r="AP166" s="598" t="e">
        <f>+VLOOKUP($AJ166,Data_Validation!$A:$D,3,0)</f>
        <v>#N/A</v>
      </c>
      <c r="AQ166" s="598" t="e">
        <f>+VLOOKUP($AJ166,Data_Validation!$A:$D,4,0)</f>
        <v>#N/A</v>
      </c>
      <c r="AR166" s="598" t="s">
        <v>299</v>
      </c>
      <c r="AS166" s="598" t="e">
        <f>+VLOOKUP($AJ166,Data_Validation!$A:$E,5,0)</f>
        <v>#N/A</v>
      </c>
      <c r="AT166" s="1036">
        <f t="shared" si="10"/>
        <v>0</v>
      </c>
      <c r="AU166" s="599">
        <f t="shared" si="10"/>
        <v>0</v>
      </c>
      <c r="AV166" s="1030">
        <f>IFERROR(INDEX(V166:AG166,1,MATCH(Parametres!$B$3,V$1:AG$1,0)-1)*IF(OR(C166="L",C166="S",C166="I"),-1,1),"")</f>
        <v>0</v>
      </c>
      <c r="AW166" s="1030">
        <f t="shared" si="11"/>
        <v>0</v>
      </c>
      <c r="AX166" s="1030">
        <f>INDEX(V166:AG166,1,MATCH(Parametres!$B$3,V$1:AG$1,0))*IF(OR(C166="L",C166="S",C166="I"),-1,1)</f>
        <v>0</v>
      </c>
      <c r="AY166" s="598" t="s">
        <v>337</v>
      </c>
      <c r="AZ166" s="598" t="e">
        <f>+VLOOKUP($AJ166,Data_Validation!$A:$E,5,0)</f>
        <v>#N/A</v>
      </c>
    </row>
    <row r="167" spans="36:52" ht="15" customHeight="1">
      <c r="AJ167" s="1030">
        <f t="shared" si="8"/>
        <v>0</v>
      </c>
      <c r="AK167" s="1030">
        <f t="shared" si="8"/>
        <v>0</v>
      </c>
      <c r="AL167" s="1030">
        <f>IFERROR(INDEX(G167:R167,1,MATCH(Parametres!$B$3,G$1:R$1,0)-1)*IF(OR(F167="L",F167="S",F167="I"),-1,1),"")</f>
        <v>0</v>
      </c>
      <c r="AM167" s="1030">
        <f t="shared" si="9"/>
        <v>0</v>
      </c>
      <c r="AN167" s="1030">
        <f>INDEX(G167:R167,1,MATCH(Parametres!$B$3,G$1:R$1,0))*IF(OR(F167="L",F167="S",F167="I"),-1,1)</f>
        <v>0</v>
      </c>
      <c r="AO167" s="598" t="e">
        <f>+VLOOKUP($AJ167,Data_Validation!$A:$D,1,0)</f>
        <v>#N/A</v>
      </c>
      <c r="AP167" s="598" t="e">
        <f>+VLOOKUP($AJ167,Data_Validation!$A:$D,3,0)</f>
        <v>#N/A</v>
      </c>
      <c r="AQ167" s="598" t="e">
        <f>+VLOOKUP($AJ167,Data_Validation!$A:$D,4,0)</f>
        <v>#N/A</v>
      </c>
      <c r="AR167" s="598" t="s">
        <v>299</v>
      </c>
      <c r="AS167" s="598" t="e">
        <f>+VLOOKUP($AJ167,Data_Validation!$A:$E,5,0)</f>
        <v>#N/A</v>
      </c>
      <c r="AT167" s="1036">
        <f t="shared" si="10"/>
        <v>0</v>
      </c>
      <c r="AU167" s="599">
        <f t="shared" si="10"/>
        <v>0</v>
      </c>
      <c r="AV167" s="1030">
        <f>IFERROR(INDEX(V167:AG167,1,MATCH(Parametres!$B$3,V$1:AG$1,0)-1)*IF(OR(C167="L",C167="S",C167="I"),-1,1),"")</f>
        <v>0</v>
      </c>
      <c r="AW167" s="1030">
        <f t="shared" si="11"/>
        <v>0</v>
      </c>
      <c r="AX167" s="1030">
        <f>INDEX(V167:AG167,1,MATCH(Parametres!$B$3,V$1:AG$1,0))*IF(OR(C167="L",C167="S",C167="I"),-1,1)</f>
        <v>0</v>
      </c>
      <c r="AY167" s="598" t="s">
        <v>337</v>
      </c>
      <c r="AZ167" s="598" t="e">
        <f>+VLOOKUP($AJ167,Data_Validation!$A:$E,5,0)</f>
        <v>#N/A</v>
      </c>
    </row>
    <row r="168" spans="36:52" ht="15.75" customHeight="1">
      <c r="AJ168" s="1030">
        <f t="shared" si="8"/>
        <v>0</v>
      </c>
      <c r="AK168" s="1030">
        <f t="shared" si="8"/>
        <v>0</v>
      </c>
      <c r="AL168" s="1030">
        <f>IFERROR(INDEX(G168:R168,1,MATCH(Parametres!$B$3,G$1:R$1,0)-1)*IF(OR(F168="L",F168="S",F168="I"),-1,1),"")</f>
        <v>0</v>
      </c>
      <c r="AM168" s="1030">
        <f t="shared" si="9"/>
        <v>0</v>
      </c>
      <c r="AN168" s="1030">
        <f>INDEX(G168:R168,1,MATCH(Parametres!$B$3,G$1:R$1,0))*IF(OR(F168="L",F168="S",F168="I"),-1,1)</f>
        <v>0</v>
      </c>
      <c r="AO168" s="598" t="e">
        <f>+VLOOKUP($AJ168,Data_Validation!$A:$D,1,0)</f>
        <v>#N/A</v>
      </c>
      <c r="AP168" s="598" t="e">
        <f>+VLOOKUP($AJ168,Data_Validation!$A:$D,3,0)</f>
        <v>#N/A</v>
      </c>
      <c r="AQ168" s="598" t="e">
        <f>+VLOOKUP($AJ168,Data_Validation!$A:$D,4,0)</f>
        <v>#N/A</v>
      </c>
      <c r="AR168" s="598" t="s">
        <v>299</v>
      </c>
      <c r="AS168" s="598" t="e">
        <f>+VLOOKUP($AJ168,Data_Validation!$A:$E,5,0)</f>
        <v>#N/A</v>
      </c>
      <c r="AT168" s="1036">
        <f t="shared" si="10"/>
        <v>0</v>
      </c>
      <c r="AU168" s="599">
        <f t="shared" si="10"/>
        <v>0</v>
      </c>
      <c r="AV168" s="1030">
        <f>IFERROR(INDEX(V168:AG168,1,MATCH(Parametres!$B$3,V$1:AG$1,0)-1)*IF(OR(C168="L",C168="S",C168="I"),-1,1),"")</f>
        <v>0</v>
      </c>
      <c r="AW168" s="1030">
        <f t="shared" si="11"/>
        <v>0</v>
      </c>
      <c r="AX168" s="1030">
        <f>INDEX(V168:AG168,1,MATCH(Parametres!$B$3,V$1:AG$1,0))*IF(OR(C168="L",C168="S",C168="I"),-1,1)</f>
        <v>0</v>
      </c>
      <c r="AY168" s="598" t="s">
        <v>337</v>
      </c>
      <c r="AZ168" s="598" t="e">
        <f>+VLOOKUP($AJ168,Data_Validation!$A:$E,5,0)</f>
        <v>#N/A</v>
      </c>
    </row>
    <row r="169" spans="36:52" ht="15" customHeight="1">
      <c r="AJ169" s="1030">
        <f t="shared" si="8"/>
        <v>0</v>
      </c>
      <c r="AK169" s="1030">
        <f t="shared" si="8"/>
        <v>0</v>
      </c>
      <c r="AL169" s="1030">
        <f>IFERROR(INDEX(G169:R169,1,MATCH(Parametres!$B$3,G$1:R$1,0)-1)*IF(OR(F169="L",F169="S",F169="I"),-1,1),"")</f>
        <v>0</v>
      </c>
      <c r="AM169" s="1030">
        <f t="shared" si="9"/>
        <v>0</v>
      </c>
      <c r="AN169" s="1030">
        <f>INDEX(G169:R169,1,MATCH(Parametres!$B$3,G$1:R$1,0))*IF(OR(F169="L",F169="S",F169="I"),-1,1)</f>
        <v>0</v>
      </c>
      <c r="AO169" s="598" t="e">
        <f>+VLOOKUP($AJ169,Data_Validation!$A:$D,1,0)</f>
        <v>#N/A</v>
      </c>
      <c r="AP169" s="598" t="e">
        <f>+VLOOKUP($AJ169,Data_Validation!$A:$D,3,0)</f>
        <v>#N/A</v>
      </c>
      <c r="AQ169" s="598" t="e">
        <f>+VLOOKUP($AJ169,Data_Validation!$A:$D,4,0)</f>
        <v>#N/A</v>
      </c>
      <c r="AR169" s="598" t="s">
        <v>299</v>
      </c>
      <c r="AS169" s="598" t="e">
        <f>+VLOOKUP($AJ169,Data_Validation!$A:$E,5,0)</f>
        <v>#N/A</v>
      </c>
      <c r="AT169" s="1036">
        <f t="shared" si="10"/>
        <v>0</v>
      </c>
      <c r="AU169" s="599">
        <f t="shared" si="10"/>
        <v>0</v>
      </c>
      <c r="AV169" s="1030">
        <f>IFERROR(INDEX(V169:AG169,1,MATCH(Parametres!$B$3,V$1:AG$1,0)-1)*IF(OR(C169="L",C169="S",C169="I"),-1,1),"")</f>
        <v>0</v>
      </c>
      <c r="AW169" s="1030">
        <f t="shared" si="11"/>
        <v>0</v>
      </c>
      <c r="AX169" s="1030">
        <f>INDEX(V169:AG169,1,MATCH(Parametres!$B$3,V$1:AG$1,0))*IF(OR(C169="L",C169="S",C169="I"),-1,1)</f>
        <v>0</v>
      </c>
      <c r="AY169" s="598" t="s">
        <v>337</v>
      </c>
      <c r="AZ169" s="598" t="e">
        <f>+VLOOKUP($AJ169,Data_Validation!$A:$E,5,0)</f>
        <v>#N/A</v>
      </c>
    </row>
    <row r="170" spans="36:52" ht="15" customHeight="1">
      <c r="AJ170" s="1030">
        <f t="shared" si="8"/>
        <v>0</v>
      </c>
      <c r="AK170" s="1030">
        <f t="shared" si="8"/>
        <v>0</v>
      </c>
      <c r="AL170" s="1030">
        <f>IFERROR(INDEX(G170:R170,1,MATCH(Parametres!$B$3,G$1:R$1,0)-1)*IF(OR(F170="L",F170="S",F170="I"),-1,1),"")</f>
        <v>0</v>
      </c>
      <c r="AM170" s="1030">
        <f t="shared" si="9"/>
        <v>0</v>
      </c>
      <c r="AN170" s="1030">
        <f>INDEX(G170:R170,1,MATCH(Parametres!$B$3,G$1:R$1,0))*IF(OR(F170="L",F170="S",F170="I"),-1,1)</f>
        <v>0</v>
      </c>
      <c r="AO170" s="598" t="e">
        <f>+VLOOKUP($AJ170,Data_Validation!$A:$D,1,0)</f>
        <v>#N/A</v>
      </c>
      <c r="AP170" s="598" t="e">
        <f>+VLOOKUP($AJ170,Data_Validation!$A:$D,3,0)</f>
        <v>#N/A</v>
      </c>
      <c r="AQ170" s="598" t="e">
        <f>+VLOOKUP($AJ170,Data_Validation!$A:$D,4,0)</f>
        <v>#N/A</v>
      </c>
      <c r="AR170" s="598" t="s">
        <v>299</v>
      </c>
      <c r="AS170" s="598" t="e">
        <f>+VLOOKUP($AJ170,Data_Validation!$A:$E,5,0)</f>
        <v>#N/A</v>
      </c>
      <c r="AT170" s="1036">
        <f t="shared" si="10"/>
        <v>0</v>
      </c>
      <c r="AU170" s="599">
        <f t="shared" si="10"/>
        <v>0</v>
      </c>
      <c r="AV170" s="1030">
        <f>IFERROR(INDEX(V170:AG170,1,MATCH(Parametres!$B$3,V$1:AG$1,0)-1)*IF(OR(C170="L",C170="S",C170="I"),-1,1),"")</f>
        <v>0</v>
      </c>
      <c r="AW170" s="1030">
        <f t="shared" si="11"/>
        <v>0</v>
      </c>
      <c r="AX170" s="1030">
        <f>INDEX(V170:AG170,1,MATCH(Parametres!$B$3,V$1:AG$1,0))*IF(OR(C170="L",C170="S",C170="I"),-1,1)</f>
        <v>0</v>
      </c>
      <c r="AY170" s="598" t="s">
        <v>337</v>
      </c>
      <c r="AZ170" s="598" t="e">
        <f>+VLOOKUP($AJ170,Data_Validation!$A:$E,5,0)</f>
        <v>#N/A</v>
      </c>
    </row>
    <row r="171" spans="36:52" ht="15" customHeight="1">
      <c r="AJ171" s="1030">
        <f t="shared" si="8"/>
        <v>0</v>
      </c>
      <c r="AK171" s="1030">
        <f t="shared" si="8"/>
        <v>0</v>
      </c>
      <c r="AL171" s="1030">
        <f>IFERROR(INDEX(G171:R171,1,MATCH(Parametres!$B$3,G$1:R$1,0)-1)*IF(OR(F171="L",F171="S",F171="I"),-1,1),"")</f>
        <v>0</v>
      </c>
      <c r="AM171" s="1030">
        <f t="shared" si="9"/>
        <v>0</v>
      </c>
      <c r="AN171" s="1030">
        <f>INDEX(G171:R171,1,MATCH(Parametres!$B$3,G$1:R$1,0))*IF(OR(F171="L",F171="S",F171="I"),-1,1)</f>
        <v>0</v>
      </c>
      <c r="AO171" s="598" t="e">
        <f>+VLOOKUP($AJ171,Data_Validation!$A:$D,1,0)</f>
        <v>#N/A</v>
      </c>
      <c r="AP171" s="598" t="e">
        <f>+VLOOKUP($AJ171,Data_Validation!$A:$D,3,0)</f>
        <v>#N/A</v>
      </c>
      <c r="AQ171" s="598" t="e">
        <f>+VLOOKUP($AJ171,Data_Validation!$A:$D,4,0)</f>
        <v>#N/A</v>
      </c>
      <c r="AR171" s="598" t="s">
        <v>299</v>
      </c>
      <c r="AS171" s="598" t="e">
        <f>+VLOOKUP($AJ171,Data_Validation!$A:$E,5,0)</f>
        <v>#N/A</v>
      </c>
      <c r="AT171" s="1036">
        <f t="shared" si="10"/>
        <v>0</v>
      </c>
      <c r="AU171" s="599">
        <f t="shared" si="10"/>
        <v>0</v>
      </c>
      <c r="AV171" s="1030">
        <f>IFERROR(INDEX(V171:AG171,1,MATCH(Parametres!$B$3,V$1:AG$1,0)-1)*IF(OR(C171="L",C171="S",C171="I"),-1,1),"")</f>
        <v>0</v>
      </c>
      <c r="AW171" s="1030">
        <f t="shared" si="11"/>
        <v>0</v>
      </c>
      <c r="AX171" s="1030">
        <f>INDEX(V171:AG171,1,MATCH(Parametres!$B$3,V$1:AG$1,0))*IF(OR(C171="L",C171="S",C171="I"),-1,1)</f>
        <v>0</v>
      </c>
      <c r="AY171" s="598" t="s">
        <v>337</v>
      </c>
      <c r="AZ171" s="598" t="e">
        <f>+VLOOKUP($AJ171,Data_Validation!$A:$E,5,0)</f>
        <v>#N/A</v>
      </c>
    </row>
    <row r="172" spans="36:52" ht="15.75" customHeight="1">
      <c r="AJ172" s="1030">
        <f t="shared" si="8"/>
        <v>0</v>
      </c>
      <c r="AK172" s="1030">
        <f t="shared" si="8"/>
        <v>0</v>
      </c>
      <c r="AL172" s="1030">
        <f>IFERROR(INDEX(G172:R172,1,MATCH(Parametres!$B$3,G$1:R$1,0)-1)*IF(OR(F172="L",F172="S",F172="I"),-1,1),"")</f>
        <v>0</v>
      </c>
      <c r="AM172" s="1030">
        <f t="shared" si="9"/>
        <v>0</v>
      </c>
      <c r="AN172" s="1030">
        <f>INDEX(G172:R172,1,MATCH(Parametres!$B$3,G$1:R$1,0))*IF(OR(F172="L",F172="S",F172="I"),-1,1)</f>
        <v>0</v>
      </c>
      <c r="AO172" s="598" t="e">
        <f>+VLOOKUP($AJ172,Data_Validation!$A:$D,1,0)</f>
        <v>#N/A</v>
      </c>
      <c r="AP172" s="598" t="e">
        <f>+VLOOKUP($AJ172,Data_Validation!$A:$D,3,0)</f>
        <v>#N/A</v>
      </c>
      <c r="AQ172" s="598" t="e">
        <f>+VLOOKUP($AJ172,Data_Validation!$A:$D,4,0)</f>
        <v>#N/A</v>
      </c>
      <c r="AR172" s="598" t="s">
        <v>299</v>
      </c>
      <c r="AS172" s="598" t="e">
        <f>+VLOOKUP($AJ172,Data_Validation!$A:$E,5,0)</f>
        <v>#N/A</v>
      </c>
      <c r="AT172" s="1036">
        <f t="shared" si="10"/>
        <v>0</v>
      </c>
      <c r="AU172" s="599">
        <f t="shared" si="10"/>
        <v>0</v>
      </c>
      <c r="AV172" s="1030">
        <f>IFERROR(INDEX(V172:AG172,1,MATCH(Parametres!$B$3,V$1:AG$1,0)-1)*IF(OR(C172="L",C172="S",C172="I"),-1,1),"")</f>
        <v>0</v>
      </c>
      <c r="AW172" s="1030">
        <f t="shared" si="11"/>
        <v>0</v>
      </c>
      <c r="AX172" s="1030">
        <f>INDEX(V172:AG172,1,MATCH(Parametres!$B$3,V$1:AG$1,0))*IF(OR(C172="L",C172="S",C172="I"),-1,1)</f>
        <v>0</v>
      </c>
      <c r="AY172" s="598" t="s">
        <v>337</v>
      </c>
      <c r="AZ172" s="598" t="e">
        <f>+VLOOKUP($AJ172,Data_Validation!$A:$E,5,0)</f>
        <v>#N/A</v>
      </c>
    </row>
    <row r="173" spans="36:52" ht="15" customHeight="1">
      <c r="AJ173" s="1030">
        <f t="shared" si="8"/>
        <v>0</v>
      </c>
      <c r="AK173" s="1030">
        <f t="shared" si="8"/>
        <v>0</v>
      </c>
      <c r="AL173" s="1030">
        <f>IFERROR(INDEX(G173:R173,1,MATCH(Parametres!$B$3,G$1:R$1,0)-1)*IF(OR(F173="L",F173="S",F173="I"),-1,1),"")</f>
        <v>0</v>
      </c>
      <c r="AM173" s="1030">
        <f t="shared" si="9"/>
        <v>0</v>
      </c>
      <c r="AN173" s="1030">
        <f>INDEX(G173:R173,1,MATCH(Parametres!$B$3,G$1:R$1,0))*IF(OR(F173="L",F173="S",F173="I"),-1,1)</f>
        <v>0</v>
      </c>
      <c r="AO173" s="598" t="e">
        <f>+VLOOKUP($AJ173,Data_Validation!$A:$D,1,0)</f>
        <v>#N/A</v>
      </c>
      <c r="AP173" s="598" t="e">
        <f>+VLOOKUP($AJ173,Data_Validation!$A:$D,3,0)</f>
        <v>#N/A</v>
      </c>
      <c r="AQ173" s="598" t="e">
        <f>+VLOOKUP($AJ173,Data_Validation!$A:$D,4,0)</f>
        <v>#N/A</v>
      </c>
      <c r="AR173" s="598" t="s">
        <v>299</v>
      </c>
      <c r="AS173" s="598" t="e">
        <f>+VLOOKUP($AJ173,Data_Validation!$A:$E,5,0)</f>
        <v>#N/A</v>
      </c>
      <c r="AT173" s="1036">
        <f t="shared" si="10"/>
        <v>0</v>
      </c>
      <c r="AU173" s="599">
        <f t="shared" si="10"/>
        <v>0</v>
      </c>
      <c r="AV173" s="1030">
        <f>IFERROR(INDEX(V173:AG173,1,MATCH(Parametres!$B$3,V$1:AG$1,0)-1)*IF(OR(C173="L",C173="S",C173="I"),-1,1),"")</f>
        <v>0</v>
      </c>
      <c r="AW173" s="1030">
        <f t="shared" si="11"/>
        <v>0</v>
      </c>
      <c r="AX173" s="1030">
        <f>INDEX(V173:AG173,1,MATCH(Parametres!$B$3,V$1:AG$1,0))*IF(OR(C173="L",C173="S",C173="I"),-1,1)</f>
        <v>0</v>
      </c>
      <c r="AY173" s="598" t="s">
        <v>337</v>
      </c>
      <c r="AZ173" s="598" t="e">
        <f>+VLOOKUP($AJ173,Data_Validation!$A:$E,5,0)</f>
        <v>#N/A</v>
      </c>
    </row>
    <row r="174" spans="36:52" ht="15" customHeight="1">
      <c r="AJ174" s="1030">
        <f t="shared" si="8"/>
        <v>0</v>
      </c>
      <c r="AK174" s="1030">
        <f t="shared" si="8"/>
        <v>0</v>
      </c>
      <c r="AL174" s="1030">
        <f>IFERROR(INDEX(G174:R174,1,MATCH(Parametres!$B$3,G$1:R$1,0)-1)*IF(OR(F174="L",F174="S",F174="I"),-1,1),"")</f>
        <v>0</v>
      </c>
      <c r="AM174" s="1030">
        <f t="shared" si="9"/>
        <v>0</v>
      </c>
      <c r="AN174" s="1030">
        <f>INDEX(G174:R174,1,MATCH(Parametres!$B$3,G$1:R$1,0))*IF(OR(F174="L",F174="S",F174="I"),-1,1)</f>
        <v>0</v>
      </c>
      <c r="AO174" s="598" t="e">
        <f>+VLOOKUP($AJ174,Data_Validation!$A:$D,1,0)</f>
        <v>#N/A</v>
      </c>
      <c r="AP174" s="598" t="e">
        <f>+VLOOKUP($AJ174,Data_Validation!$A:$D,3,0)</f>
        <v>#N/A</v>
      </c>
      <c r="AQ174" s="598" t="e">
        <f>+VLOOKUP($AJ174,Data_Validation!$A:$D,4,0)</f>
        <v>#N/A</v>
      </c>
      <c r="AR174" s="598" t="s">
        <v>299</v>
      </c>
      <c r="AS174" s="598" t="e">
        <f>+VLOOKUP($AJ174,Data_Validation!$A:$E,5,0)</f>
        <v>#N/A</v>
      </c>
      <c r="AT174" s="1036">
        <f t="shared" si="10"/>
        <v>0</v>
      </c>
      <c r="AU174" s="599">
        <f t="shared" si="10"/>
        <v>0</v>
      </c>
      <c r="AV174" s="1030">
        <f>IFERROR(INDEX(V174:AG174,1,MATCH(Parametres!$B$3,V$1:AG$1,0)-1)*IF(OR(C174="L",C174="S",C174="I"),-1,1),"")</f>
        <v>0</v>
      </c>
      <c r="AW174" s="1030">
        <f t="shared" si="11"/>
        <v>0</v>
      </c>
      <c r="AX174" s="1030">
        <f>INDEX(V174:AG174,1,MATCH(Parametres!$B$3,V$1:AG$1,0))*IF(OR(C174="L",C174="S",C174="I"),-1,1)</f>
        <v>0</v>
      </c>
      <c r="AY174" s="598" t="s">
        <v>337</v>
      </c>
      <c r="AZ174" s="598" t="e">
        <f>+VLOOKUP($AJ174,Data_Validation!$A:$E,5,0)</f>
        <v>#N/A</v>
      </c>
    </row>
    <row r="175" spans="36:52" ht="15" customHeight="1">
      <c r="AJ175" s="1030">
        <f t="shared" si="8"/>
        <v>0</v>
      </c>
      <c r="AK175" s="1030">
        <f t="shared" si="8"/>
        <v>0</v>
      </c>
      <c r="AL175" s="1030">
        <f>IFERROR(INDEX(G175:R175,1,MATCH(Parametres!$B$3,G$1:R$1,0)-1)*IF(OR(F175="L",F175="S",F175="I"),-1,1),"")</f>
        <v>0</v>
      </c>
      <c r="AM175" s="1030">
        <f t="shared" si="9"/>
        <v>0</v>
      </c>
      <c r="AN175" s="1030">
        <f>INDEX(G175:R175,1,MATCH(Parametres!$B$3,G$1:R$1,0))*IF(OR(F175="L",F175="S",F175="I"),-1,1)</f>
        <v>0</v>
      </c>
      <c r="AO175" s="598" t="e">
        <f>+VLOOKUP($AJ175,Data_Validation!$A:$D,1,0)</f>
        <v>#N/A</v>
      </c>
      <c r="AP175" s="598" t="e">
        <f>+VLOOKUP($AJ175,Data_Validation!$A:$D,3,0)</f>
        <v>#N/A</v>
      </c>
      <c r="AQ175" s="598" t="e">
        <f>+VLOOKUP($AJ175,Data_Validation!$A:$D,4,0)</f>
        <v>#N/A</v>
      </c>
      <c r="AR175" s="598" t="s">
        <v>299</v>
      </c>
      <c r="AS175" s="598" t="e">
        <f>+VLOOKUP($AJ175,Data_Validation!$A:$E,5,0)</f>
        <v>#N/A</v>
      </c>
      <c r="AT175" s="1036">
        <f t="shared" si="10"/>
        <v>0</v>
      </c>
      <c r="AU175" s="599">
        <f t="shared" si="10"/>
        <v>0</v>
      </c>
      <c r="AV175" s="1030">
        <f>IFERROR(INDEX(V175:AG175,1,MATCH(Parametres!$B$3,V$1:AG$1,0)-1)*IF(OR(C175="L",C175="S",C175="I"),-1,1),"")</f>
        <v>0</v>
      </c>
      <c r="AW175" s="1030">
        <f t="shared" si="11"/>
        <v>0</v>
      </c>
      <c r="AX175" s="1030">
        <f>INDEX(V175:AG175,1,MATCH(Parametres!$B$3,V$1:AG$1,0))*IF(OR(C175="L",C175="S",C175="I"),-1,1)</f>
        <v>0</v>
      </c>
      <c r="AY175" s="598" t="s">
        <v>337</v>
      </c>
      <c r="AZ175" s="598" t="e">
        <f>+VLOOKUP($AJ175,Data_Validation!$A:$E,5,0)</f>
        <v>#N/A</v>
      </c>
    </row>
    <row r="176" spans="36:52" ht="15.75" customHeight="1">
      <c r="AJ176" s="1030">
        <f t="shared" si="8"/>
        <v>0</v>
      </c>
      <c r="AK176" s="1030">
        <f t="shared" si="8"/>
        <v>0</v>
      </c>
      <c r="AL176" s="1030">
        <f>IFERROR(INDEX(G176:R176,1,MATCH(Parametres!$B$3,G$1:R$1,0)-1)*IF(OR(F176="L",F176="S",F176="I"),-1,1),"")</f>
        <v>0</v>
      </c>
      <c r="AM176" s="1030">
        <f t="shared" si="9"/>
        <v>0</v>
      </c>
      <c r="AN176" s="1030">
        <f>INDEX(G176:R176,1,MATCH(Parametres!$B$3,G$1:R$1,0))*IF(OR(F176="L",F176="S",F176="I"),-1,1)</f>
        <v>0</v>
      </c>
      <c r="AO176" s="598" t="e">
        <f>+VLOOKUP($AJ176,Data_Validation!$A:$D,1,0)</f>
        <v>#N/A</v>
      </c>
      <c r="AP176" s="598" t="e">
        <f>+VLOOKUP($AJ176,Data_Validation!$A:$D,3,0)</f>
        <v>#N/A</v>
      </c>
      <c r="AQ176" s="598" t="e">
        <f>+VLOOKUP($AJ176,Data_Validation!$A:$D,4,0)</f>
        <v>#N/A</v>
      </c>
      <c r="AR176" s="598" t="s">
        <v>299</v>
      </c>
      <c r="AS176" s="598" t="e">
        <f>+VLOOKUP($AJ176,Data_Validation!$A:$E,5,0)</f>
        <v>#N/A</v>
      </c>
      <c r="AT176" s="1036">
        <f t="shared" si="10"/>
        <v>0</v>
      </c>
      <c r="AU176" s="599">
        <f t="shared" si="10"/>
        <v>0</v>
      </c>
      <c r="AV176" s="1030">
        <f>IFERROR(INDEX(V176:AG176,1,MATCH(Parametres!$B$3,V$1:AG$1,0)-1)*IF(OR(C176="L",C176="S",C176="I"),-1,1),"")</f>
        <v>0</v>
      </c>
      <c r="AW176" s="1030">
        <f t="shared" si="11"/>
        <v>0</v>
      </c>
      <c r="AX176" s="1030">
        <f>INDEX(V176:AG176,1,MATCH(Parametres!$B$3,V$1:AG$1,0))*IF(OR(C176="L",C176="S",C176="I"),-1,1)</f>
        <v>0</v>
      </c>
      <c r="AY176" s="598" t="s">
        <v>337</v>
      </c>
      <c r="AZ176" s="598" t="e">
        <f>+VLOOKUP($AJ176,Data_Validation!$A:$E,5,0)</f>
        <v>#N/A</v>
      </c>
    </row>
    <row r="177" spans="36:52" ht="15" customHeight="1">
      <c r="AJ177" s="1030">
        <f t="shared" si="8"/>
        <v>0</v>
      </c>
      <c r="AK177" s="1030">
        <f t="shared" si="8"/>
        <v>0</v>
      </c>
      <c r="AL177" s="1030">
        <f>IFERROR(INDEX(G177:R177,1,MATCH(Parametres!$B$3,G$1:R$1,0)-1)*IF(OR(F177="L",F177="S",F177="I"),-1,1),"")</f>
        <v>0</v>
      </c>
      <c r="AM177" s="1030">
        <f t="shared" si="9"/>
        <v>0</v>
      </c>
      <c r="AN177" s="1030">
        <f>INDEX(G177:R177,1,MATCH(Parametres!$B$3,G$1:R$1,0))*IF(OR(F177="L",F177="S",F177="I"),-1,1)</f>
        <v>0</v>
      </c>
      <c r="AO177" s="598" t="e">
        <f>+VLOOKUP($AJ177,Data_Validation!$A:$D,1,0)</f>
        <v>#N/A</v>
      </c>
      <c r="AP177" s="598" t="e">
        <f>+VLOOKUP($AJ177,Data_Validation!$A:$D,3,0)</f>
        <v>#N/A</v>
      </c>
      <c r="AQ177" s="598" t="e">
        <f>+VLOOKUP($AJ177,Data_Validation!$A:$D,4,0)</f>
        <v>#N/A</v>
      </c>
      <c r="AR177" s="598" t="s">
        <v>299</v>
      </c>
      <c r="AS177" s="598" t="e">
        <f>+VLOOKUP($AJ177,Data_Validation!$A:$E,5,0)</f>
        <v>#N/A</v>
      </c>
      <c r="AT177" s="1036">
        <f t="shared" si="10"/>
        <v>0</v>
      </c>
      <c r="AU177" s="599">
        <f t="shared" si="10"/>
        <v>0</v>
      </c>
      <c r="AV177" s="1030">
        <f>IFERROR(INDEX(V177:AG177,1,MATCH(Parametres!$B$3,V$1:AG$1,0)-1)*IF(OR(C177="L",C177="S",C177="I"),-1,1),"")</f>
        <v>0</v>
      </c>
      <c r="AW177" s="1030">
        <f t="shared" si="11"/>
        <v>0</v>
      </c>
      <c r="AX177" s="1030">
        <f>INDEX(V177:AG177,1,MATCH(Parametres!$B$3,V$1:AG$1,0))*IF(OR(C177="L",C177="S",C177="I"),-1,1)</f>
        <v>0</v>
      </c>
      <c r="AY177" s="598" t="s">
        <v>337</v>
      </c>
      <c r="AZ177" s="598" t="e">
        <f>+VLOOKUP($AJ177,Data_Validation!$A:$E,5,0)</f>
        <v>#N/A</v>
      </c>
    </row>
    <row r="178" spans="36:52" ht="15" customHeight="1">
      <c r="AJ178" s="1030">
        <f t="shared" si="8"/>
        <v>0</v>
      </c>
      <c r="AK178" s="1030">
        <f t="shared" si="8"/>
        <v>0</v>
      </c>
      <c r="AL178" s="1030">
        <f>IFERROR(INDEX(G178:R178,1,MATCH(Parametres!$B$3,G$1:R$1,0)-1)*IF(OR(F178="L",F178="S",F178="I"),-1,1),"")</f>
        <v>0</v>
      </c>
      <c r="AM178" s="1030">
        <f t="shared" si="9"/>
        <v>0</v>
      </c>
      <c r="AN178" s="1030">
        <f>INDEX(G178:R178,1,MATCH(Parametres!$B$3,G$1:R$1,0))*IF(OR(F178="L",F178="S",F178="I"),-1,1)</f>
        <v>0</v>
      </c>
      <c r="AO178" s="598" t="e">
        <f>+VLOOKUP($AJ178,Data_Validation!$A:$D,1,0)</f>
        <v>#N/A</v>
      </c>
      <c r="AP178" s="598" t="e">
        <f>+VLOOKUP($AJ178,Data_Validation!$A:$D,3,0)</f>
        <v>#N/A</v>
      </c>
      <c r="AQ178" s="598" t="e">
        <f>+VLOOKUP($AJ178,Data_Validation!$A:$D,4,0)</f>
        <v>#N/A</v>
      </c>
      <c r="AR178" s="598" t="s">
        <v>299</v>
      </c>
      <c r="AS178" s="598" t="e">
        <f>+VLOOKUP($AJ178,Data_Validation!$A:$E,5,0)</f>
        <v>#N/A</v>
      </c>
      <c r="AT178" s="1036">
        <f t="shared" si="10"/>
        <v>0</v>
      </c>
      <c r="AU178" s="599">
        <f t="shared" si="10"/>
        <v>0</v>
      </c>
      <c r="AV178" s="1030">
        <f>IFERROR(INDEX(V178:AG178,1,MATCH(Parametres!$B$3,V$1:AG$1,0)-1)*IF(OR(C178="L",C178="S",C178="I"),-1,1),"")</f>
        <v>0</v>
      </c>
      <c r="AW178" s="1030">
        <f t="shared" si="11"/>
        <v>0</v>
      </c>
      <c r="AX178" s="1030">
        <f>INDEX(V178:AG178,1,MATCH(Parametres!$B$3,V$1:AG$1,0))*IF(OR(C178="L",C178="S",C178="I"),-1,1)</f>
        <v>0</v>
      </c>
      <c r="AY178" s="598" t="s">
        <v>337</v>
      </c>
      <c r="AZ178" s="598" t="e">
        <f>+VLOOKUP($AJ178,Data_Validation!$A:$E,5,0)</f>
        <v>#N/A</v>
      </c>
    </row>
    <row r="179" spans="36:52" ht="15" customHeight="1">
      <c r="AJ179" s="1030">
        <f t="shared" si="8"/>
        <v>0</v>
      </c>
      <c r="AK179" s="1030">
        <f t="shared" si="8"/>
        <v>0</v>
      </c>
      <c r="AL179" s="1030">
        <f>IFERROR(INDEX(G179:R179,1,MATCH(Parametres!$B$3,G$1:R$1,0)-1)*IF(OR(F179="L",F179="S",F179="I"),-1,1),"")</f>
        <v>0</v>
      </c>
      <c r="AM179" s="1030">
        <f t="shared" si="9"/>
        <v>0</v>
      </c>
      <c r="AN179" s="1030">
        <f>INDEX(G179:R179,1,MATCH(Parametres!$B$3,G$1:R$1,0))*IF(OR(F179="L",F179="S",F179="I"),-1,1)</f>
        <v>0</v>
      </c>
      <c r="AO179" s="598" t="e">
        <f>+VLOOKUP($AJ179,Data_Validation!$A:$D,1,0)</f>
        <v>#N/A</v>
      </c>
      <c r="AP179" s="598" t="e">
        <f>+VLOOKUP($AJ179,Data_Validation!$A:$D,3,0)</f>
        <v>#N/A</v>
      </c>
      <c r="AQ179" s="598" t="e">
        <f>+VLOOKUP($AJ179,Data_Validation!$A:$D,4,0)</f>
        <v>#N/A</v>
      </c>
      <c r="AR179" s="598" t="s">
        <v>299</v>
      </c>
      <c r="AS179" s="598" t="e">
        <f>+VLOOKUP($AJ179,Data_Validation!$A:$E,5,0)</f>
        <v>#N/A</v>
      </c>
      <c r="AT179" s="1036">
        <f t="shared" si="10"/>
        <v>0</v>
      </c>
      <c r="AU179" s="599">
        <f t="shared" si="10"/>
        <v>0</v>
      </c>
      <c r="AV179" s="1030">
        <f>IFERROR(INDEX(V179:AG179,1,MATCH(Parametres!$B$3,V$1:AG$1,0)-1)*IF(OR(C179="L",C179="S",C179="I"),-1,1),"")</f>
        <v>0</v>
      </c>
      <c r="AW179" s="1030">
        <f t="shared" si="11"/>
        <v>0</v>
      </c>
      <c r="AX179" s="1030">
        <f>INDEX(V179:AG179,1,MATCH(Parametres!$B$3,V$1:AG$1,0))*IF(OR(C179="L",C179="S",C179="I"),-1,1)</f>
        <v>0</v>
      </c>
      <c r="AY179" s="598" t="s">
        <v>337</v>
      </c>
      <c r="AZ179" s="598" t="e">
        <f>+VLOOKUP($AJ179,Data_Validation!$A:$E,5,0)</f>
        <v>#N/A</v>
      </c>
    </row>
    <row r="180" spans="36:52" ht="15" customHeight="1">
      <c r="AJ180" s="1030">
        <f t="shared" si="8"/>
        <v>0</v>
      </c>
      <c r="AK180" s="1030">
        <f t="shared" si="8"/>
        <v>0</v>
      </c>
      <c r="AL180" s="1030">
        <f>IFERROR(INDEX(G180:R180,1,MATCH(Parametres!$B$3,G$1:R$1,0)-1)*IF(OR(F180="L",F180="S",F180="I"),-1,1),"")</f>
        <v>0</v>
      </c>
      <c r="AM180" s="1030">
        <f t="shared" si="9"/>
        <v>0</v>
      </c>
      <c r="AN180" s="1030">
        <f>INDEX(G180:R180,1,MATCH(Parametres!$B$3,G$1:R$1,0))*IF(OR(F180="L",F180="S",F180="I"),-1,1)</f>
        <v>0</v>
      </c>
      <c r="AO180" s="598" t="e">
        <f>+VLOOKUP($AJ180,Data_Validation!$A:$D,1,0)</f>
        <v>#N/A</v>
      </c>
      <c r="AP180" s="598" t="e">
        <f>+VLOOKUP($AJ180,Data_Validation!$A:$D,3,0)</f>
        <v>#N/A</v>
      </c>
      <c r="AQ180" s="598" t="e">
        <f>+VLOOKUP($AJ180,Data_Validation!$A:$D,4,0)</f>
        <v>#N/A</v>
      </c>
      <c r="AR180" s="598" t="s">
        <v>299</v>
      </c>
      <c r="AS180" s="598" t="e">
        <f>+VLOOKUP($AJ180,Data_Validation!$A:$E,5,0)</f>
        <v>#N/A</v>
      </c>
      <c r="AT180" s="1036">
        <f t="shared" si="10"/>
        <v>0</v>
      </c>
      <c r="AU180" s="599">
        <f t="shared" si="10"/>
        <v>0</v>
      </c>
      <c r="AV180" s="1030">
        <f>IFERROR(INDEX(V180:AG180,1,MATCH(Parametres!$B$3,V$1:AG$1,0)-1)*IF(OR(C180="L",C180="S",C180="I"),-1,1),"")</f>
        <v>0</v>
      </c>
      <c r="AW180" s="1030">
        <f t="shared" si="11"/>
        <v>0</v>
      </c>
      <c r="AX180" s="1030">
        <f>INDEX(V180:AG180,1,MATCH(Parametres!$B$3,V$1:AG$1,0))*IF(OR(C180="L",C180="S",C180="I"),-1,1)</f>
        <v>0</v>
      </c>
      <c r="AY180" s="598" t="s">
        <v>337</v>
      </c>
      <c r="AZ180" s="598" t="e">
        <f>+VLOOKUP($AJ180,Data_Validation!$A:$E,5,0)</f>
        <v>#N/A</v>
      </c>
    </row>
    <row r="181" spans="36:52" ht="15.75" customHeight="1">
      <c r="AJ181" s="1030">
        <f t="shared" si="8"/>
        <v>0</v>
      </c>
      <c r="AK181" s="1030">
        <f t="shared" si="8"/>
        <v>0</v>
      </c>
      <c r="AL181" s="1030">
        <f>IFERROR(INDEX(G181:R181,1,MATCH(Parametres!$B$3,G$1:R$1,0)-1)*IF(OR(F181="L",F181="S",F181="I"),-1,1),"")</f>
        <v>0</v>
      </c>
      <c r="AM181" s="1030">
        <f t="shared" si="9"/>
        <v>0</v>
      </c>
      <c r="AN181" s="1030">
        <f>INDEX(G181:R181,1,MATCH(Parametres!$B$3,G$1:R$1,0))*IF(OR(F181="L",F181="S",F181="I"),-1,1)</f>
        <v>0</v>
      </c>
      <c r="AO181" s="598" t="e">
        <f>+VLOOKUP($AJ181,Data_Validation!$A:$D,1,0)</f>
        <v>#N/A</v>
      </c>
      <c r="AP181" s="598" t="e">
        <f>+VLOOKUP($AJ181,Data_Validation!$A:$D,3,0)</f>
        <v>#N/A</v>
      </c>
      <c r="AQ181" s="598" t="e">
        <f>+VLOOKUP($AJ181,Data_Validation!$A:$D,4,0)</f>
        <v>#N/A</v>
      </c>
      <c r="AR181" s="598" t="s">
        <v>299</v>
      </c>
      <c r="AS181" s="598" t="e">
        <f>+VLOOKUP($AJ181,Data_Validation!$A:$E,5,0)</f>
        <v>#N/A</v>
      </c>
      <c r="AT181" s="1036">
        <f t="shared" si="10"/>
        <v>0</v>
      </c>
      <c r="AU181" s="599">
        <f t="shared" si="10"/>
        <v>0</v>
      </c>
      <c r="AV181" s="1030">
        <f>IFERROR(INDEX(V181:AG181,1,MATCH(Parametres!$B$3,V$1:AG$1,0)-1)*IF(OR(C181="L",C181="S",C181="I"),-1,1),"")</f>
        <v>0</v>
      </c>
      <c r="AW181" s="1030">
        <f t="shared" si="11"/>
        <v>0</v>
      </c>
      <c r="AX181" s="1030">
        <f>INDEX(V181:AG181,1,MATCH(Parametres!$B$3,V$1:AG$1,0))*IF(OR(C181="L",C181="S",C181="I"),-1,1)</f>
        <v>0</v>
      </c>
      <c r="AY181" s="598" t="s">
        <v>337</v>
      </c>
      <c r="AZ181" s="598" t="e">
        <f>+VLOOKUP($AJ181,Data_Validation!$A:$E,5,0)</f>
        <v>#N/A</v>
      </c>
    </row>
    <row r="182" spans="36:52" ht="15.75" customHeight="1">
      <c r="AJ182" s="1030">
        <f t="shared" si="8"/>
        <v>0</v>
      </c>
      <c r="AK182" s="1030">
        <f t="shared" si="8"/>
        <v>0</v>
      </c>
      <c r="AL182" s="1030">
        <f>IFERROR(INDEX(G182:R182,1,MATCH(Parametres!$B$3,G$1:R$1,0)-1)*IF(OR(F182="L",F182="S",F182="I"),-1,1),"")</f>
        <v>0</v>
      </c>
      <c r="AM182" s="1030">
        <f t="shared" si="9"/>
        <v>0</v>
      </c>
      <c r="AN182" s="1030">
        <f>INDEX(G182:R182,1,MATCH(Parametres!$B$3,G$1:R$1,0))*IF(OR(F182="L",F182="S",F182="I"),-1,1)</f>
        <v>0</v>
      </c>
      <c r="AO182" s="598" t="e">
        <f>+VLOOKUP($AJ182,Data_Validation!$A:$D,1,0)</f>
        <v>#N/A</v>
      </c>
      <c r="AP182" s="598" t="e">
        <f>+VLOOKUP($AJ182,Data_Validation!$A:$D,3,0)</f>
        <v>#N/A</v>
      </c>
      <c r="AQ182" s="598" t="e">
        <f>+VLOOKUP($AJ182,Data_Validation!$A:$D,4,0)</f>
        <v>#N/A</v>
      </c>
      <c r="AR182" s="598" t="s">
        <v>299</v>
      </c>
      <c r="AS182" s="598" t="e">
        <f>+VLOOKUP($AJ182,Data_Validation!$A:$E,5,0)</f>
        <v>#N/A</v>
      </c>
      <c r="AT182" s="1036">
        <f t="shared" si="10"/>
        <v>0</v>
      </c>
      <c r="AU182" s="599">
        <f t="shared" si="10"/>
        <v>0</v>
      </c>
      <c r="AV182" s="1030">
        <f>IFERROR(INDEX(V182:AG182,1,MATCH(Parametres!$B$3,V$1:AG$1,0)-1)*IF(OR(C182="L",C182="S",C182="I"),-1,1),"")</f>
        <v>0</v>
      </c>
      <c r="AW182" s="1030">
        <f t="shared" si="11"/>
        <v>0</v>
      </c>
      <c r="AX182" s="1030">
        <f>INDEX(V182:AG182,1,MATCH(Parametres!$B$3,V$1:AG$1,0))*IF(OR(C182="L",C182="S",C182="I"),-1,1)</f>
        <v>0</v>
      </c>
      <c r="AY182" s="598" t="s">
        <v>337</v>
      </c>
      <c r="AZ182" s="598" t="e">
        <f>+VLOOKUP($AJ182,Data_Validation!$A:$E,5,0)</f>
        <v>#N/A</v>
      </c>
    </row>
    <row r="183" spans="36:52" ht="15.75" customHeight="1">
      <c r="AJ183" s="1030">
        <f t="shared" si="8"/>
        <v>0</v>
      </c>
      <c r="AK183" s="1030">
        <f t="shared" si="8"/>
        <v>0</v>
      </c>
      <c r="AL183" s="1030">
        <f>IFERROR(INDEX(G183:R183,1,MATCH(Parametres!$B$3,G$1:R$1,0)-1)*IF(OR(F183="L",F183="S",F183="I"),-1,1),"")</f>
        <v>0</v>
      </c>
      <c r="AM183" s="1030">
        <f t="shared" si="9"/>
        <v>0</v>
      </c>
      <c r="AN183" s="1030">
        <f>INDEX(G183:R183,1,MATCH(Parametres!$B$3,G$1:R$1,0))*IF(OR(F183="L",F183="S",F183="I"),-1,1)</f>
        <v>0</v>
      </c>
      <c r="AO183" s="598" t="e">
        <f>+VLOOKUP($AJ183,Data_Validation!$A:$D,1,0)</f>
        <v>#N/A</v>
      </c>
      <c r="AP183" s="598" t="e">
        <f>+VLOOKUP($AJ183,Data_Validation!$A:$D,3,0)</f>
        <v>#N/A</v>
      </c>
      <c r="AQ183" s="598" t="e">
        <f>+VLOOKUP($AJ183,Data_Validation!$A:$D,4,0)</f>
        <v>#N/A</v>
      </c>
      <c r="AR183" s="598" t="s">
        <v>299</v>
      </c>
      <c r="AS183" s="598" t="e">
        <f>+VLOOKUP($AJ183,Data_Validation!$A:$E,5,0)</f>
        <v>#N/A</v>
      </c>
      <c r="AT183" s="1036">
        <f t="shared" si="10"/>
        <v>0</v>
      </c>
      <c r="AU183" s="599">
        <f t="shared" si="10"/>
        <v>0</v>
      </c>
      <c r="AV183" s="1030">
        <f>IFERROR(INDEX(V183:AG183,1,MATCH(Parametres!$B$3,V$1:AG$1,0)-1)*IF(OR(C183="L",C183="S",C183="I"),-1,1),"")</f>
        <v>0</v>
      </c>
      <c r="AW183" s="1030">
        <f t="shared" si="11"/>
        <v>0</v>
      </c>
      <c r="AX183" s="1030">
        <f>INDEX(V183:AG183,1,MATCH(Parametres!$B$3,V$1:AG$1,0))*IF(OR(C183="L",C183="S",C183="I"),-1,1)</f>
        <v>0</v>
      </c>
      <c r="AY183" s="598" t="s">
        <v>337</v>
      </c>
      <c r="AZ183" s="598" t="e">
        <f>+VLOOKUP($AJ183,Data_Validation!$A:$E,5,0)</f>
        <v>#N/A</v>
      </c>
    </row>
    <row r="184" spans="36:52" ht="15.75" customHeight="1">
      <c r="AJ184" s="1030">
        <f t="shared" si="8"/>
        <v>0</v>
      </c>
      <c r="AK184" s="1030">
        <f t="shared" si="8"/>
        <v>0</v>
      </c>
      <c r="AL184" s="1030">
        <f>IFERROR(INDEX(G184:R184,1,MATCH(Parametres!$B$3,G$1:R$1,0)-1)*IF(OR(F184="L",F184="S",F184="I"),-1,1),"")</f>
        <v>0</v>
      </c>
      <c r="AM184" s="1030">
        <f t="shared" si="9"/>
        <v>0</v>
      </c>
      <c r="AN184" s="1030">
        <f>INDEX(G184:R184,1,MATCH(Parametres!$B$3,G$1:R$1,0))*IF(OR(F184="L",F184="S",F184="I"),-1,1)</f>
        <v>0</v>
      </c>
      <c r="AO184" s="598" t="e">
        <f>+VLOOKUP($AJ184,Data_Validation!$A:$D,1,0)</f>
        <v>#N/A</v>
      </c>
      <c r="AP184" s="598" t="e">
        <f>+VLOOKUP($AJ184,Data_Validation!$A:$D,3,0)</f>
        <v>#N/A</v>
      </c>
      <c r="AQ184" s="598" t="e">
        <f>+VLOOKUP($AJ184,Data_Validation!$A:$D,4,0)</f>
        <v>#N/A</v>
      </c>
      <c r="AR184" s="598" t="s">
        <v>299</v>
      </c>
      <c r="AS184" s="598" t="e">
        <f>+VLOOKUP($AJ184,Data_Validation!$A:$E,5,0)</f>
        <v>#N/A</v>
      </c>
      <c r="AT184" s="1036">
        <f t="shared" si="10"/>
        <v>0</v>
      </c>
      <c r="AU184" s="599">
        <f t="shared" si="10"/>
        <v>0</v>
      </c>
      <c r="AV184" s="1030">
        <f>IFERROR(INDEX(V184:AG184,1,MATCH(Parametres!$B$3,V$1:AG$1,0)-1)*IF(OR(C184="L",C184="S",C184="I"),-1,1),"")</f>
        <v>0</v>
      </c>
      <c r="AW184" s="1030">
        <f t="shared" si="11"/>
        <v>0</v>
      </c>
      <c r="AX184" s="1030">
        <f>INDEX(V184:AG184,1,MATCH(Parametres!$B$3,V$1:AG$1,0))*IF(OR(C184="L",C184="S",C184="I"),-1,1)</f>
        <v>0</v>
      </c>
      <c r="AY184" s="598" t="s">
        <v>337</v>
      </c>
      <c r="AZ184" s="598" t="e">
        <f>+VLOOKUP($AJ184,Data_Validation!$A:$E,5,0)</f>
        <v>#N/A</v>
      </c>
    </row>
    <row r="185" spans="36:52" ht="15.75" customHeight="1">
      <c r="AJ185" s="1030">
        <f t="shared" si="8"/>
        <v>0</v>
      </c>
      <c r="AK185" s="1030">
        <f t="shared" si="8"/>
        <v>0</v>
      </c>
      <c r="AL185" s="1030">
        <f>IFERROR(INDEX(G185:R185,1,MATCH(Parametres!$B$3,G$1:R$1,0)-1)*IF(OR(F185="L",F185="S",F185="I"),-1,1),"")</f>
        <v>0</v>
      </c>
      <c r="AM185" s="1030">
        <f t="shared" si="9"/>
        <v>0</v>
      </c>
      <c r="AN185" s="1030">
        <f>INDEX(G185:R185,1,MATCH(Parametres!$B$3,G$1:R$1,0))*IF(OR(F185="L",F185="S",F185="I"),-1,1)</f>
        <v>0</v>
      </c>
      <c r="AO185" s="598" t="e">
        <f>+VLOOKUP($AJ185,Data_Validation!$A:$D,1,0)</f>
        <v>#N/A</v>
      </c>
      <c r="AP185" s="598" t="e">
        <f>+VLOOKUP($AJ185,Data_Validation!$A:$D,3,0)</f>
        <v>#N/A</v>
      </c>
      <c r="AQ185" s="598" t="e">
        <f>+VLOOKUP($AJ185,Data_Validation!$A:$D,4,0)</f>
        <v>#N/A</v>
      </c>
      <c r="AR185" s="598" t="s">
        <v>299</v>
      </c>
      <c r="AS185" s="598" t="e">
        <f>+VLOOKUP($AJ185,Data_Validation!$A:$E,5,0)</f>
        <v>#N/A</v>
      </c>
      <c r="AT185" s="1036">
        <f t="shared" si="10"/>
        <v>0</v>
      </c>
      <c r="AU185" s="599">
        <f t="shared" si="10"/>
        <v>0</v>
      </c>
      <c r="AV185" s="1030">
        <f>IFERROR(INDEX(V185:AG185,1,MATCH(Parametres!$B$3,V$1:AG$1,0)-1)*IF(OR(C185="L",C185="S",C185="I"),-1,1),"")</f>
        <v>0</v>
      </c>
      <c r="AW185" s="1030">
        <f t="shared" si="11"/>
        <v>0</v>
      </c>
      <c r="AX185" s="1030">
        <f>INDEX(V185:AG185,1,MATCH(Parametres!$B$3,V$1:AG$1,0))*IF(OR(C185="L",C185="S",C185="I"),-1,1)</f>
        <v>0</v>
      </c>
      <c r="AY185" s="598" t="s">
        <v>337</v>
      </c>
      <c r="AZ185" s="598" t="e">
        <f>+VLOOKUP($AJ185,Data_Validation!$A:$E,5,0)</f>
        <v>#N/A</v>
      </c>
    </row>
    <row r="186" spans="36:52" ht="15.75" customHeight="1">
      <c r="AJ186" s="1030">
        <f t="shared" si="8"/>
        <v>0</v>
      </c>
      <c r="AK186" s="1030">
        <f t="shared" si="8"/>
        <v>0</v>
      </c>
      <c r="AL186" s="1030">
        <f>IFERROR(INDEX(G186:R186,1,MATCH(Parametres!$B$3,G$1:R$1,0)-1)*IF(OR(F186="L",F186="S",F186="I"),-1,1),"")</f>
        <v>0</v>
      </c>
      <c r="AM186" s="1030">
        <f t="shared" si="9"/>
        <v>0</v>
      </c>
      <c r="AN186" s="1030">
        <f>INDEX(G186:R186,1,MATCH(Parametres!$B$3,G$1:R$1,0))*IF(OR(F186="L",F186="S",F186="I"),-1,1)</f>
        <v>0</v>
      </c>
      <c r="AO186" s="598" t="e">
        <f>+VLOOKUP($AJ186,Data_Validation!$A:$D,1,0)</f>
        <v>#N/A</v>
      </c>
      <c r="AP186" s="598" t="e">
        <f>+VLOOKUP($AJ186,Data_Validation!$A:$D,3,0)</f>
        <v>#N/A</v>
      </c>
      <c r="AQ186" s="598" t="e">
        <f>+VLOOKUP($AJ186,Data_Validation!$A:$D,4,0)</f>
        <v>#N/A</v>
      </c>
      <c r="AR186" s="598" t="s">
        <v>299</v>
      </c>
      <c r="AS186" s="598" t="e">
        <f>+VLOOKUP($AJ186,Data_Validation!$A:$E,5,0)</f>
        <v>#N/A</v>
      </c>
      <c r="AT186" s="1036">
        <f t="shared" si="10"/>
        <v>0</v>
      </c>
      <c r="AU186" s="599">
        <f t="shared" si="10"/>
        <v>0</v>
      </c>
      <c r="AV186" s="1030">
        <f>IFERROR(INDEX(V186:AG186,1,MATCH(Parametres!$B$3,V$1:AG$1,0)-1)*IF(OR(C186="L",C186="S",C186="I"),-1,1),"")</f>
        <v>0</v>
      </c>
      <c r="AW186" s="1030">
        <f t="shared" si="11"/>
        <v>0</v>
      </c>
      <c r="AX186" s="1030">
        <f>INDEX(V186:AG186,1,MATCH(Parametres!$B$3,V$1:AG$1,0))*IF(OR(C186="L",C186="S",C186="I"),-1,1)</f>
        <v>0</v>
      </c>
      <c r="AY186" s="598" t="s">
        <v>337</v>
      </c>
      <c r="AZ186" s="598" t="e">
        <f>+VLOOKUP($AJ186,Data_Validation!$A:$E,5,0)</f>
        <v>#N/A</v>
      </c>
    </row>
    <row r="187" spans="36:52" ht="15" customHeight="1">
      <c r="AJ187" s="1030">
        <f t="shared" si="8"/>
        <v>0</v>
      </c>
      <c r="AK187" s="1030">
        <f t="shared" si="8"/>
        <v>0</v>
      </c>
      <c r="AL187" s="1030">
        <f>IFERROR(INDEX(G187:R187,1,MATCH(Parametres!$B$3,G$1:R$1,0)-1)*IF(OR(F187="L",F187="S",F187="I"),-1,1),"")</f>
        <v>0</v>
      </c>
      <c r="AM187" s="1030">
        <f t="shared" si="9"/>
        <v>0</v>
      </c>
      <c r="AN187" s="1030">
        <f>INDEX(G187:R187,1,MATCH(Parametres!$B$3,G$1:R$1,0))*IF(OR(F187="L",F187="S",F187="I"),-1,1)</f>
        <v>0</v>
      </c>
      <c r="AO187" s="598" t="e">
        <f>+VLOOKUP($AJ187,Data_Validation!$A:$D,1,0)</f>
        <v>#N/A</v>
      </c>
      <c r="AP187" s="598" t="e">
        <f>+VLOOKUP($AJ187,Data_Validation!$A:$D,3,0)</f>
        <v>#N/A</v>
      </c>
      <c r="AQ187" s="598" t="e">
        <f>+VLOOKUP($AJ187,Data_Validation!$A:$D,4,0)</f>
        <v>#N/A</v>
      </c>
      <c r="AR187" s="598" t="s">
        <v>299</v>
      </c>
      <c r="AS187" s="598" t="e">
        <f>+VLOOKUP($AJ187,Data_Validation!$A:$E,5,0)</f>
        <v>#N/A</v>
      </c>
      <c r="AT187" s="1036">
        <f t="shared" si="10"/>
        <v>0</v>
      </c>
      <c r="AU187" s="599">
        <f t="shared" si="10"/>
        <v>0</v>
      </c>
      <c r="AV187" s="1030">
        <f>IFERROR(INDEX(V187:AG187,1,MATCH(Parametres!$B$3,V$1:AG$1,0)-1)*IF(OR(C187="L",C187="S",C187="I"),-1,1),"")</f>
        <v>0</v>
      </c>
      <c r="AW187" s="1030">
        <f t="shared" si="11"/>
        <v>0</v>
      </c>
      <c r="AX187" s="1030">
        <f>INDEX(V187:AG187,1,MATCH(Parametres!$B$3,V$1:AG$1,0))*IF(OR(C187="L",C187="S",C187="I"),-1,1)</f>
        <v>0</v>
      </c>
      <c r="AY187" s="598" t="s">
        <v>337</v>
      </c>
      <c r="AZ187" s="598" t="e">
        <f>+VLOOKUP($AJ187,Data_Validation!$A:$E,5,0)</f>
        <v>#N/A</v>
      </c>
    </row>
    <row r="188" spans="36:52" ht="15" customHeight="1">
      <c r="AJ188" s="1030">
        <f t="shared" si="8"/>
        <v>0</v>
      </c>
      <c r="AK188" s="1030">
        <f t="shared" si="8"/>
        <v>0</v>
      </c>
      <c r="AL188" s="1030">
        <f>IFERROR(INDEX(G188:R188,1,MATCH(Parametres!$B$3,G$1:R$1,0)-1)*IF(OR(F188="L",F188="S",F188="I"),-1,1),"")</f>
        <v>0</v>
      </c>
      <c r="AM188" s="1030">
        <f t="shared" si="9"/>
        <v>0</v>
      </c>
      <c r="AN188" s="1030">
        <f>INDEX(G188:R188,1,MATCH(Parametres!$B$3,G$1:R$1,0))*IF(OR(F188="L",F188="S",F188="I"),-1,1)</f>
        <v>0</v>
      </c>
      <c r="AO188" s="598" t="e">
        <f>+VLOOKUP($AJ188,Data_Validation!$A:$D,1,0)</f>
        <v>#N/A</v>
      </c>
      <c r="AP188" s="598" t="e">
        <f>+VLOOKUP($AJ188,Data_Validation!$A:$D,3,0)</f>
        <v>#N/A</v>
      </c>
      <c r="AQ188" s="598" t="e">
        <f>+VLOOKUP($AJ188,Data_Validation!$A:$D,4,0)</f>
        <v>#N/A</v>
      </c>
      <c r="AR188" s="598" t="s">
        <v>299</v>
      </c>
      <c r="AS188" s="598" t="e">
        <f>+VLOOKUP($AJ188,Data_Validation!$A:$E,5,0)</f>
        <v>#N/A</v>
      </c>
      <c r="AT188" s="1036">
        <f t="shared" si="10"/>
        <v>0</v>
      </c>
      <c r="AU188" s="599">
        <f t="shared" si="10"/>
        <v>0</v>
      </c>
      <c r="AV188" s="1030">
        <f>IFERROR(INDEX(V188:AG188,1,MATCH(Parametres!$B$3,V$1:AG$1,0)-1)*IF(OR(C188="L",C188="S",C188="I"),-1,1),"")</f>
        <v>0</v>
      </c>
      <c r="AW188" s="1030">
        <f t="shared" si="11"/>
        <v>0</v>
      </c>
      <c r="AX188" s="1030">
        <f>INDEX(V188:AG188,1,MATCH(Parametres!$B$3,V$1:AG$1,0))*IF(OR(C188="L",C188="S",C188="I"),-1,1)</f>
        <v>0</v>
      </c>
      <c r="AY188" s="598" t="s">
        <v>337</v>
      </c>
      <c r="AZ188" s="598" t="e">
        <f>+VLOOKUP($AJ188,Data_Validation!$A:$E,5,0)</f>
        <v>#N/A</v>
      </c>
    </row>
    <row r="189" spans="36:52" ht="15" customHeight="1">
      <c r="AJ189" s="1030">
        <f t="shared" si="8"/>
        <v>0</v>
      </c>
      <c r="AK189" s="1030">
        <f t="shared" si="8"/>
        <v>0</v>
      </c>
      <c r="AL189" s="1030">
        <f>IFERROR(INDEX(G189:R189,1,MATCH(Parametres!$B$3,G$1:R$1,0)-1)*IF(OR(F189="L",F189="S",F189="I"),-1,1),"")</f>
        <v>0</v>
      </c>
      <c r="AM189" s="1030">
        <f t="shared" si="9"/>
        <v>0</v>
      </c>
      <c r="AN189" s="1030">
        <f>INDEX(G189:R189,1,MATCH(Parametres!$B$3,G$1:R$1,0))*IF(OR(F189="L",F189="S",F189="I"),-1,1)</f>
        <v>0</v>
      </c>
      <c r="AO189" s="598" t="e">
        <f>+VLOOKUP($AJ189,Data_Validation!$A:$D,1,0)</f>
        <v>#N/A</v>
      </c>
      <c r="AP189" s="598" t="e">
        <f>+VLOOKUP($AJ189,Data_Validation!$A:$D,3,0)</f>
        <v>#N/A</v>
      </c>
      <c r="AQ189" s="598" t="e">
        <f>+VLOOKUP($AJ189,Data_Validation!$A:$D,4,0)</f>
        <v>#N/A</v>
      </c>
      <c r="AR189" s="598" t="s">
        <v>299</v>
      </c>
      <c r="AS189" s="598" t="e">
        <f>+VLOOKUP($AJ189,Data_Validation!$A:$E,5,0)</f>
        <v>#N/A</v>
      </c>
      <c r="AT189" s="1036">
        <f t="shared" si="10"/>
        <v>0</v>
      </c>
      <c r="AU189" s="599">
        <f t="shared" si="10"/>
        <v>0</v>
      </c>
      <c r="AV189" s="1030">
        <f>IFERROR(INDEX(V189:AG189,1,MATCH(Parametres!$B$3,V$1:AG$1,0)-1)*IF(OR(C189="L",C189="S",C189="I"),-1,1),"")</f>
        <v>0</v>
      </c>
      <c r="AW189" s="1030">
        <f t="shared" si="11"/>
        <v>0</v>
      </c>
      <c r="AX189" s="1030">
        <f>INDEX(V189:AG189,1,MATCH(Parametres!$B$3,V$1:AG$1,0))*IF(OR(C189="L",C189="S",C189="I"),-1,1)</f>
        <v>0</v>
      </c>
      <c r="AY189" s="598" t="s">
        <v>337</v>
      </c>
      <c r="AZ189" s="598" t="e">
        <f>+VLOOKUP($AJ189,Data_Validation!$A:$E,5,0)</f>
        <v>#N/A</v>
      </c>
    </row>
    <row r="190" spans="36:52" ht="15" customHeight="1">
      <c r="AJ190" s="1030">
        <f t="shared" si="8"/>
        <v>0</v>
      </c>
      <c r="AK190" s="1030">
        <f t="shared" si="8"/>
        <v>0</v>
      </c>
      <c r="AL190" s="1030">
        <f>IFERROR(INDEX(G190:R190,1,MATCH(Parametres!$B$3,G$1:R$1,0)-1)*IF(OR(F190="L",F190="S",F190="I"),-1,1),"")</f>
        <v>0</v>
      </c>
      <c r="AM190" s="1030">
        <f t="shared" si="9"/>
        <v>0</v>
      </c>
      <c r="AN190" s="1030">
        <f>INDEX(G190:R190,1,MATCH(Parametres!$B$3,G$1:R$1,0))*IF(OR(F190="L",F190="S",F190="I"),-1,1)</f>
        <v>0</v>
      </c>
      <c r="AO190" s="598" t="e">
        <f>+VLOOKUP($AJ190,Data_Validation!$A:$D,1,0)</f>
        <v>#N/A</v>
      </c>
      <c r="AP190" s="598" t="e">
        <f>+VLOOKUP($AJ190,Data_Validation!$A:$D,3,0)</f>
        <v>#N/A</v>
      </c>
      <c r="AQ190" s="598" t="e">
        <f>+VLOOKUP($AJ190,Data_Validation!$A:$D,4,0)</f>
        <v>#N/A</v>
      </c>
      <c r="AR190" s="598" t="s">
        <v>299</v>
      </c>
      <c r="AS190" s="598" t="e">
        <f>+VLOOKUP($AJ190,Data_Validation!$A:$E,5,0)</f>
        <v>#N/A</v>
      </c>
      <c r="AT190" s="1036">
        <f t="shared" si="10"/>
        <v>0</v>
      </c>
      <c r="AU190" s="599">
        <f t="shared" si="10"/>
        <v>0</v>
      </c>
      <c r="AV190" s="1030">
        <f>IFERROR(INDEX(V190:AG190,1,MATCH(Parametres!$B$3,V$1:AG$1,0)-1)*IF(OR(C190="L",C190="S",C190="I"),-1,1),"")</f>
        <v>0</v>
      </c>
      <c r="AW190" s="1030">
        <f t="shared" si="11"/>
        <v>0</v>
      </c>
      <c r="AX190" s="1030">
        <f>INDEX(V190:AG190,1,MATCH(Parametres!$B$3,V$1:AG$1,0))*IF(OR(C190="L",C190="S",C190="I"),-1,1)</f>
        <v>0</v>
      </c>
      <c r="AY190" s="598" t="s">
        <v>337</v>
      </c>
      <c r="AZ190" s="598" t="e">
        <f>+VLOOKUP($AJ190,Data_Validation!$A:$E,5,0)</f>
        <v>#N/A</v>
      </c>
    </row>
    <row r="191" spans="36:52" ht="15" customHeight="1">
      <c r="AJ191" s="1030">
        <f t="shared" si="8"/>
        <v>0</v>
      </c>
      <c r="AK191" s="1030">
        <f t="shared" si="8"/>
        <v>0</v>
      </c>
      <c r="AL191" s="1030">
        <f>IFERROR(INDEX(G191:R191,1,MATCH(Parametres!$B$3,G$1:R$1,0)-1)*IF(OR(F191="L",F191="S",F191="I"),-1,1),"")</f>
        <v>0</v>
      </c>
      <c r="AM191" s="1030">
        <f t="shared" si="9"/>
        <v>0</v>
      </c>
      <c r="AN191" s="1030">
        <f>INDEX(G191:R191,1,MATCH(Parametres!$B$3,G$1:R$1,0))*IF(OR(F191="L",F191="S",F191="I"),-1,1)</f>
        <v>0</v>
      </c>
      <c r="AO191" s="598" t="e">
        <f>+VLOOKUP($AJ191,Data_Validation!$A:$D,1,0)</f>
        <v>#N/A</v>
      </c>
      <c r="AP191" s="598" t="e">
        <f>+VLOOKUP($AJ191,Data_Validation!$A:$D,3,0)</f>
        <v>#N/A</v>
      </c>
      <c r="AQ191" s="598" t="e">
        <f>+VLOOKUP($AJ191,Data_Validation!$A:$D,4,0)</f>
        <v>#N/A</v>
      </c>
      <c r="AR191" s="598" t="s">
        <v>299</v>
      </c>
      <c r="AS191" s="598" t="e">
        <f>+VLOOKUP($AJ191,Data_Validation!$A:$E,5,0)</f>
        <v>#N/A</v>
      </c>
      <c r="AT191" s="1036">
        <f t="shared" si="10"/>
        <v>0</v>
      </c>
      <c r="AU191" s="599">
        <f t="shared" si="10"/>
        <v>0</v>
      </c>
      <c r="AV191" s="1030">
        <f>IFERROR(INDEX(V191:AG191,1,MATCH(Parametres!$B$3,V$1:AG$1,0)-1)*IF(OR(C191="L",C191="S",C191="I"),-1,1),"")</f>
        <v>0</v>
      </c>
      <c r="AW191" s="1030">
        <f t="shared" si="11"/>
        <v>0</v>
      </c>
      <c r="AX191" s="1030">
        <f>INDEX(V191:AG191,1,MATCH(Parametres!$B$3,V$1:AG$1,0))*IF(OR(C191="L",C191="S",C191="I"),-1,1)</f>
        <v>0</v>
      </c>
      <c r="AY191" s="598" t="s">
        <v>337</v>
      </c>
      <c r="AZ191" s="598" t="e">
        <f>+VLOOKUP($AJ191,Data_Validation!$A:$E,5,0)</f>
        <v>#N/A</v>
      </c>
    </row>
    <row r="192" spans="36:52" ht="15" customHeight="1">
      <c r="AJ192" s="1030">
        <f t="shared" si="8"/>
        <v>0</v>
      </c>
      <c r="AK192" s="1030">
        <f t="shared" si="8"/>
        <v>0</v>
      </c>
      <c r="AL192" s="1030">
        <f>IFERROR(INDEX(G192:R192,1,MATCH(Parametres!$B$3,G$1:R$1,0)-1)*IF(OR(F192="L",F192="S",F192="I"),-1,1),"")</f>
        <v>0</v>
      </c>
      <c r="AM192" s="1030">
        <f t="shared" si="9"/>
        <v>0</v>
      </c>
      <c r="AN192" s="1030">
        <f>INDEX(G192:R192,1,MATCH(Parametres!$B$3,G$1:R$1,0))*IF(OR(F192="L",F192="S",F192="I"),-1,1)</f>
        <v>0</v>
      </c>
      <c r="AO192" s="598" t="e">
        <f>+VLOOKUP($AJ192,Data_Validation!$A:$D,1,0)</f>
        <v>#N/A</v>
      </c>
      <c r="AP192" s="598" t="e">
        <f>+VLOOKUP($AJ192,Data_Validation!$A:$D,3,0)</f>
        <v>#N/A</v>
      </c>
      <c r="AQ192" s="598" t="e">
        <f>+VLOOKUP($AJ192,Data_Validation!$A:$D,4,0)</f>
        <v>#N/A</v>
      </c>
      <c r="AR192" s="598" t="s">
        <v>299</v>
      </c>
      <c r="AS192" s="598" t="e">
        <f>+VLOOKUP($AJ192,Data_Validation!$A:$E,5,0)</f>
        <v>#N/A</v>
      </c>
      <c r="AT192" s="1036">
        <f t="shared" si="10"/>
        <v>0</v>
      </c>
      <c r="AU192" s="599">
        <f t="shared" si="10"/>
        <v>0</v>
      </c>
      <c r="AV192" s="1030">
        <f>IFERROR(INDEX(V192:AG192,1,MATCH(Parametres!$B$3,V$1:AG$1,0)-1)*IF(OR(C192="L",C192="S",C192="I"),-1,1),"")</f>
        <v>0</v>
      </c>
      <c r="AW192" s="1030">
        <f t="shared" si="11"/>
        <v>0</v>
      </c>
      <c r="AX192" s="1030">
        <f>INDEX(V192:AG192,1,MATCH(Parametres!$B$3,V$1:AG$1,0))*IF(OR(C192="L",C192="S",C192="I"),-1,1)</f>
        <v>0</v>
      </c>
      <c r="AY192" s="598" t="s">
        <v>337</v>
      </c>
      <c r="AZ192" s="598" t="e">
        <f>+VLOOKUP($AJ192,Data_Validation!$A:$E,5,0)</f>
        <v>#N/A</v>
      </c>
    </row>
    <row r="193" spans="36:52" ht="15" customHeight="1">
      <c r="AJ193" s="1030">
        <f t="shared" si="8"/>
        <v>0</v>
      </c>
      <c r="AK193" s="1030">
        <f t="shared" si="8"/>
        <v>0</v>
      </c>
      <c r="AL193" s="1030">
        <f>IFERROR(INDEX(G193:R193,1,MATCH(Parametres!$B$3,G$1:R$1,0)-1)*IF(OR(F193="L",F193="S",F193="I"),-1,1),"")</f>
        <v>0</v>
      </c>
      <c r="AM193" s="1030">
        <f t="shared" si="9"/>
        <v>0</v>
      </c>
      <c r="AN193" s="1030">
        <f>INDEX(G193:R193,1,MATCH(Parametres!$B$3,G$1:R$1,0))*IF(OR(F193="L",F193="S",F193="I"),-1,1)</f>
        <v>0</v>
      </c>
      <c r="AO193" s="598" t="e">
        <f>+VLOOKUP($AJ193,Data_Validation!$A:$D,1,0)</f>
        <v>#N/A</v>
      </c>
      <c r="AP193" s="598" t="e">
        <f>+VLOOKUP($AJ193,Data_Validation!$A:$D,3,0)</f>
        <v>#N/A</v>
      </c>
      <c r="AQ193" s="598" t="e">
        <f>+VLOOKUP($AJ193,Data_Validation!$A:$D,4,0)</f>
        <v>#N/A</v>
      </c>
      <c r="AR193" s="598" t="s">
        <v>299</v>
      </c>
      <c r="AS193" s="598" t="e">
        <f>+VLOOKUP($AJ193,Data_Validation!$A:$E,5,0)</f>
        <v>#N/A</v>
      </c>
      <c r="AT193" s="1036">
        <f t="shared" si="10"/>
        <v>0</v>
      </c>
      <c r="AU193" s="599">
        <f t="shared" si="10"/>
        <v>0</v>
      </c>
      <c r="AV193" s="1030">
        <f>IFERROR(INDEX(V193:AG193,1,MATCH(Parametres!$B$3,V$1:AG$1,0)-1)*IF(OR(C193="L",C193="S",C193="I"),-1,1),"")</f>
        <v>0</v>
      </c>
      <c r="AW193" s="1030">
        <f t="shared" si="11"/>
        <v>0</v>
      </c>
      <c r="AX193" s="1030">
        <f>INDEX(V193:AG193,1,MATCH(Parametres!$B$3,V$1:AG$1,0))*IF(OR(C193="L",C193="S",C193="I"),-1,1)</f>
        <v>0</v>
      </c>
      <c r="AY193" s="598" t="s">
        <v>337</v>
      </c>
      <c r="AZ193" s="598" t="e">
        <f>+VLOOKUP($AJ193,Data_Validation!$A:$E,5,0)</f>
        <v>#N/A</v>
      </c>
    </row>
    <row r="194" spans="36:52" ht="15.75" customHeight="1">
      <c r="AJ194" s="1030">
        <f t="shared" si="8"/>
        <v>0</v>
      </c>
      <c r="AK194" s="1030">
        <f t="shared" si="8"/>
        <v>0</v>
      </c>
      <c r="AL194" s="1030">
        <f>IFERROR(INDEX(G194:R194,1,MATCH(Parametres!$B$3,G$1:R$1,0)-1)*IF(OR(F194="L",F194="S",F194="I"),-1,1),"")</f>
        <v>0</v>
      </c>
      <c r="AM194" s="1030">
        <f t="shared" si="9"/>
        <v>0</v>
      </c>
      <c r="AN194" s="1030">
        <f>INDEX(G194:R194,1,MATCH(Parametres!$B$3,G$1:R$1,0))*IF(OR(F194="L",F194="S",F194="I"),-1,1)</f>
        <v>0</v>
      </c>
      <c r="AO194" s="598" t="e">
        <f>+VLOOKUP($AJ194,Data_Validation!$A:$D,1,0)</f>
        <v>#N/A</v>
      </c>
      <c r="AP194" s="598" t="e">
        <f>+VLOOKUP($AJ194,Data_Validation!$A:$D,3,0)</f>
        <v>#N/A</v>
      </c>
      <c r="AQ194" s="598" t="e">
        <f>+VLOOKUP($AJ194,Data_Validation!$A:$D,4,0)</f>
        <v>#N/A</v>
      </c>
      <c r="AR194" s="598" t="s">
        <v>299</v>
      </c>
      <c r="AS194" s="598" t="e">
        <f>+VLOOKUP($AJ194,Data_Validation!$A:$E,5,0)</f>
        <v>#N/A</v>
      </c>
      <c r="AT194" s="1036">
        <f t="shared" si="10"/>
        <v>0</v>
      </c>
      <c r="AU194" s="599">
        <f t="shared" si="10"/>
        <v>0</v>
      </c>
      <c r="AV194" s="1030">
        <f>IFERROR(INDEX(V194:AG194,1,MATCH(Parametres!$B$3,V$1:AG$1,0)-1)*IF(OR(C194="L",C194="S",C194="I"),-1,1),"")</f>
        <v>0</v>
      </c>
      <c r="AW194" s="1030">
        <f t="shared" si="11"/>
        <v>0</v>
      </c>
      <c r="AX194" s="1030">
        <f>INDEX(V194:AG194,1,MATCH(Parametres!$B$3,V$1:AG$1,0))*IF(OR(C194="L",C194="S",C194="I"),-1,1)</f>
        <v>0</v>
      </c>
      <c r="AY194" s="598" t="s">
        <v>337</v>
      </c>
      <c r="AZ194" s="598" t="e">
        <f>+VLOOKUP($AJ194,Data_Validation!$A:$E,5,0)</f>
        <v>#N/A</v>
      </c>
    </row>
    <row r="195" spans="36:52" ht="15" customHeight="1">
      <c r="AJ195" s="1030">
        <f t="shared" si="8"/>
        <v>0</v>
      </c>
      <c r="AK195" s="1030">
        <f t="shared" si="8"/>
        <v>0</v>
      </c>
      <c r="AL195" s="1030">
        <f>IFERROR(INDEX(G195:R195,1,MATCH(Parametres!$B$3,G$1:R$1,0)-1)*IF(OR(F195="L",F195="S",F195="I"),-1,1),"")</f>
        <v>0</v>
      </c>
      <c r="AM195" s="1030">
        <f t="shared" si="9"/>
        <v>0</v>
      </c>
      <c r="AN195" s="1030">
        <f>INDEX(G195:R195,1,MATCH(Parametres!$B$3,G$1:R$1,0))*IF(OR(F195="L",F195="S",F195="I"),-1,1)</f>
        <v>0</v>
      </c>
      <c r="AO195" s="598" t="e">
        <f>+VLOOKUP($AJ195,Data_Validation!$A:$D,1,0)</f>
        <v>#N/A</v>
      </c>
      <c r="AP195" s="598" t="e">
        <f>+VLOOKUP($AJ195,Data_Validation!$A:$D,3,0)</f>
        <v>#N/A</v>
      </c>
      <c r="AQ195" s="598" t="e">
        <f>+VLOOKUP($AJ195,Data_Validation!$A:$D,4,0)</f>
        <v>#N/A</v>
      </c>
      <c r="AR195" s="598" t="s">
        <v>299</v>
      </c>
      <c r="AS195" s="598" t="e">
        <f>+VLOOKUP($AJ195,Data_Validation!$A:$E,5,0)</f>
        <v>#N/A</v>
      </c>
      <c r="AT195" s="1036">
        <f t="shared" si="10"/>
        <v>0</v>
      </c>
      <c r="AU195" s="599">
        <f t="shared" si="10"/>
        <v>0</v>
      </c>
      <c r="AV195" s="1030">
        <f>IFERROR(INDEX(V195:AG195,1,MATCH(Parametres!$B$3,V$1:AG$1,0)-1)*IF(OR(C195="L",C195="S",C195="I"),-1,1),"")</f>
        <v>0</v>
      </c>
      <c r="AW195" s="1030">
        <f t="shared" si="11"/>
        <v>0</v>
      </c>
      <c r="AX195" s="1030">
        <f>INDEX(V195:AG195,1,MATCH(Parametres!$B$3,V$1:AG$1,0))*IF(OR(C195="L",C195="S",C195="I"),-1,1)</f>
        <v>0</v>
      </c>
      <c r="AY195" s="598" t="s">
        <v>337</v>
      </c>
      <c r="AZ195" s="598" t="e">
        <f>+VLOOKUP($AJ195,Data_Validation!$A:$E,5,0)</f>
        <v>#N/A</v>
      </c>
    </row>
    <row r="196" spans="36:52" ht="15" customHeight="1">
      <c r="AJ196" s="1030">
        <f t="shared" ref="AJ196:AK259" si="12">C196</f>
        <v>0</v>
      </c>
      <c r="AK196" s="1030">
        <f t="shared" si="12"/>
        <v>0</v>
      </c>
      <c r="AL196" s="1030">
        <f>IFERROR(INDEX(G196:R196,1,MATCH(Parametres!$B$3,G$1:R$1,0)-1)*IF(OR(F196="L",F196="S",F196="I"),-1,1),"")</f>
        <v>0</v>
      </c>
      <c r="AM196" s="1030">
        <f t="shared" ref="AM196:AM259" si="13">AN196-N(AL196)</f>
        <v>0</v>
      </c>
      <c r="AN196" s="1030">
        <f>INDEX(G196:R196,1,MATCH(Parametres!$B$3,G$1:R$1,0))*IF(OR(F196="L",F196="S",F196="I"),-1,1)</f>
        <v>0</v>
      </c>
      <c r="AO196" s="598" t="e">
        <f>+VLOOKUP($AJ196,Data_Validation!$A:$D,1,0)</f>
        <v>#N/A</v>
      </c>
      <c r="AP196" s="598" t="e">
        <f>+VLOOKUP($AJ196,Data_Validation!$A:$D,3,0)</f>
        <v>#N/A</v>
      </c>
      <c r="AQ196" s="598" t="e">
        <f>+VLOOKUP($AJ196,Data_Validation!$A:$D,4,0)</f>
        <v>#N/A</v>
      </c>
      <c r="AR196" s="598" t="s">
        <v>299</v>
      </c>
      <c r="AS196" s="598" t="e">
        <f>+VLOOKUP($AJ196,Data_Validation!$A:$E,5,0)</f>
        <v>#N/A</v>
      </c>
      <c r="AT196" s="1036">
        <f t="shared" ref="AT196:AU259" si="14">C196</f>
        <v>0</v>
      </c>
      <c r="AU196" s="599">
        <f t="shared" si="14"/>
        <v>0</v>
      </c>
      <c r="AV196" s="1030">
        <f>IFERROR(INDEX(V196:AG196,1,MATCH(Parametres!$B$3,V$1:AG$1,0)-1)*IF(OR(C196="L",C196="S",C196="I"),-1,1),"")</f>
        <v>0</v>
      </c>
      <c r="AW196" s="1030">
        <f t="shared" ref="AW196:AW259" si="15">AX196-AV196</f>
        <v>0</v>
      </c>
      <c r="AX196" s="1030">
        <f>INDEX(V196:AG196,1,MATCH(Parametres!$B$3,V$1:AG$1,0))*IF(OR(C196="L",C196="S",C196="I"),-1,1)</f>
        <v>0</v>
      </c>
      <c r="AY196" s="598" t="s">
        <v>337</v>
      </c>
      <c r="AZ196" s="598" t="e">
        <f>+VLOOKUP($AJ196,Data_Validation!$A:$E,5,0)</f>
        <v>#N/A</v>
      </c>
    </row>
    <row r="197" spans="36:52" ht="15" customHeight="1">
      <c r="AJ197" s="1030">
        <f t="shared" si="12"/>
        <v>0</v>
      </c>
      <c r="AK197" s="1030">
        <f t="shared" si="12"/>
        <v>0</v>
      </c>
      <c r="AL197" s="1030">
        <f>IFERROR(INDEX(G197:R197,1,MATCH(Parametres!$B$3,G$1:R$1,0)-1)*IF(OR(F197="L",F197="S",F197="I"),-1,1),"")</f>
        <v>0</v>
      </c>
      <c r="AM197" s="1030">
        <f t="shared" si="13"/>
        <v>0</v>
      </c>
      <c r="AN197" s="1030">
        <f>INDEX(G197:R197,1,MATCH(Parametres!$B$3,G$1:R$1,0))*IF(OR(F197="L",F197="S",F197="I"),-1,1)</f>
        <v>0</v>
      </c>
      <c r="AO197" s="598" t="e">
        <f>+VLOOKUP($AJ197,Data_Validation!$A:$D,1,0)</f>
        <v>#N/A</v>
      </c>
      <c r="AP197" s="598" t="e">
        <f>+VLOOKUP($AJ197,Data_Validation!$A:$D,3,0)</f>
        <v>#N/A</v>
      </c>
      <c r="AQ197" s="598" t="e">
        <f>+VLOOKUP($AJ197,Data_Validation!$A:$D,4,0)</f>
        <v>#N/A</v>
      </c>
      <c r="AR197" s="598" t="s">
        <v>299</v>
      </c>
      <c r="AS197" s="598" t="e">
        <f>+VLOOKUP($AJ197,Data_Validation!$A:$E,5,0)</f>
        <v>#N/A</v>
      </c>
      <c r="AT197" s="1036">
        <f t="shared" si="14"/>
        <v>0</v>
      </c>
      <c r="AU197" s="599">
        <f t="shared" si="14"/>
        <v>0</v>
      </c>
      <c r="AV197" s="1030">
        <f>IFERROR(INDEX(V197:AG197,1,MATCH(Parametres!$B$3,V$1:AG$1,0)-1)*IF(OR(C197="L",C197="S",C197="I"),-1,1),"")</f>
        <v>0</v>
      </c>
      <c r="AW197" s="1030">
        <f t="shared" si="15"/>
        <v>0</v>
      </c>
      <c r="AX197" s="1030">
        <f>INDEX(V197:AG197,1,MATCH(Parametres!$B$3,V$1:AG$1,0))*IF(OR(C197="L",C197="S",C197="I"),-1,1)</f>
        <v>0</v>
      </c>
      <c r="AY197" s="598" t="s">
        <v>337</v>
      </c>
      <c r="AZ197" s="598" t="e">
        <f>+VLOOKUP($AJ197,Data_Validation!$A:$E,5,0)</f>
        <v>#N/A</v>
      </c>
    </row>
    <row r="198" spans="36:52" ht="15" customHeight="1">
      <c r="AJ198" s="1030">
        <f t="shared" si="12"/>
        <v>0</v>
      </c>
      <c r="AK198" s="1030">
        <f t="shared" si="12"/>
        <v>0</v>
      </c>
      <c r="AL198" s="1030">
        <f>IFERROR(INDEX(G198:R198,1,MATCH(Parametres!$B$3,G$1:R$1,0)-1)*IF(OR(F198="L",F198="S",F198="I"),-1,1),"")</f>
        <v>0</v>
      </c>
      <c r="AM198" s="1030">
        <f t="shared" si="13"/>
        <v>0</v>
      </c>
      <c r="AN198" s="1030">
        <f>INDEX(G198:R198,1,MATCH(Parametres!$B$3,G$1:R$1,0))*IF(OR(F198="L",F198="S",F198="I"),-1,1)</f>
        <v>0</v>
      </c>
      <c r="AO198" s="598" t="e">
        <f>+VLOOKUP($AJ198,Data_Validation!$A:$D,1,0)</f>
        <v>#N/A</v>
      </c>
      <c r="AP198" s="598" t="e">
        <f>+VLOOKUP($AJ198,Data_Validation!$A:$D,3,0)</f>
        <v>#N/A</v>
      </c>
      <c r="AQ198" s="598" t="e">
        <f>+VLOOKUP($AJ198,Data_Validation!$A:$D,4,0)</f>
        <v>#N/A</v>
      </c>
      <c r="AR198" s="598" t="s">
        <v>299</v>
      </c>
      <c r="AS198" s="598" t="e">
        <f>+VLOOKUP($AJ198,Data_Validation!$A:$E,5,0)</f>
        <v>#N/A</v>
      </c>
      <c r="AT198" s="1036">
        <f t="shared" si="14"/>
        <v>0</v>
      </c>
      <c r="AU198" s="599">
        <f t="shared" si="14"/>
        <v>0</v>
      </c>
      <c r="AV198" s="1030">
        <f>IFERROR(INDEX(V198:AG198,1,MATCH(Parametres!$B$3,V$1:AG$1,0)-1)*IF(OR(C198="L",C198="S",C198="I"),-1,1),"")</f>
        <v>0</v>
      </c>
      <c r="AW198" s="1030">
        <f t="shared" si="15"/>
        <v>0</v>
      </c>
      <c r="AX198" s="1030">
        <f>INDEX(V198:AG198,1,MATCH(Parametres!$B$3,V$1:AG$1,0))*IF(OR(C198="L",C198="S",C198="I"),-1,1)</f>
        <v>0</v>
      </c>
      <c r="AY198" s="598" t="s">
        <v>337</v>
      </c>
      <c r="AZ198" s="598" t="e">
        <f>+VLOOKUP($AJ198,Data_Validation!$A:$E,5,0)</f>
        <v>#N/A</v>
      </c>
    </row>
    <row r="199" spans="36:52" ht="15.75" customHeight="1">
      <c r="AJ199" s="1030">
        <f t="shared" si="12"/>
        <v>0</v>
      </c>
      <c r="AK199" s="1030">
        <f t="shared" si="12"/>
        <v>0</v>
      </c>
      <c r="AL199" s="1030">
        <f>IFERROR(INDEX(G199:R199,1,MATCH(Parametres!$B$3,G$1:R$1,0)-1)*IF(OR(F199="L",F199="S",F199="I"),-1,1),"")</f>
        <v>0</v>
      </c>
      <c r="AM199" s="1030">
        <f t="shared" si="13"/>
        <v>0</v>
      </c>
      <c r="AN199" s="1030">
        <f>INDEX(G199:R199,1,MATCH(Parametres!$B$3,G$1:R$1,0))*IF(OR(F199="L",F199="S",F199="I"),-1,1)</f>
        <v>0</v>
      </c>
      <c r="AO199" s="598" t="e">
        <f>+VLOOKUP($AJ199,Data_Validation!$A:$D,1,0)</f>
        <v>#N/A</v>
      </c>
      <c r="AP199" s="598" t="e">
        <f>+VLOOKUP($AJ199,Data_Validation!$A:$D,3,0)</f>
        <v>#N/A</v>
      </c>
      <c r="AQ199" s="598" t="e">
        <f>+VLOOKUP($AJ199,Data_Validation!$A:$D,4,0)</f>
        <v>#N/A</v>
      </c>
      <c r="AR199" s="598" t="s">
        <v>299</v>
      </c>
      <c r="AS199" s="598" t="e">
        <f>+VLOOKUP($AJ199,Data_Validation!$A:$E,5,0)</f>
        <v>#N/A</v>
      </c>
      <c r="AT199" s="1036">
        <f t="shared" si="14"/>
        <v>0</v>
      </c>
      <c r="AU199" s="599">
        <f t="shared" si="14"/>
        <v>0</v>
      </c>
      <c r="AV199" s="1030">
        <f>IFERROR(INDEX(V199:AG199,1,MATCH(Parametres!$B$3,V$1:AG$1,0)-1)*IF(OR(C199="L",C199="S",C199="I"),-1,1),"")</f>
        <v>0</v>
      </c>
      <c r="AW199" s="1030">
        <f t="shared" si="15"/>
        <v>0</v>
      </c>
      <c r="AX199" s="1030">
        <f>INDEX(V199:AG199,1,MATCH(Parametres!$B$3,V$1:AG$1,0))*IF(OR(C199="L",C199="S",C199="I"),-1,1)</f>
        <v>0</v>
      </c>
      <c r="AY199" s="598" t="s">
        <v>337</v>
      </c>
      <c r="AZ199" s="598" t="e">
        <f>+VLOOKUP($AJ199,Data_Validation!$A:$E,5,0)</f>
        <v>#N/A</v>
      </c>
    </row>
    <row r="200" spans="36:52" ht="15" customHeight="1">
      <c r="AJ200" s="1030">
        <f t="shared" si="12"/>
        <v>0</v>
      </c>
      <c r="AK200" s="1030">
        <f t="shared" si="12"/>
        <v>0</v>
      </c>
      <c r="AL200" s="1030">
        <f>IFERROR(INDEX(G200:R200,1,MATCH(Parametres!$B$3,G$1:R$1,0)-1)*IF(OR(F200="L",F200="S",F200="I"),-1,1),"")</f>
        <v>0</v>
      </c>
      <c r="AM200" s="1030">
        <f t="shared" si="13"/>
        <v>0</v>
      </c>
      <c r="AN200" s="1030">
        <f>INDEX(G200:R200,1,MATCH(Parametres!$B$3,G$1:R$1,0))*IF(OR(F200="L",F200="S",F200="I"),-1,1)</f>
        <v>0</v>
      </c>
      <c r="AO200" s="598" t="e">
        <f>+VLOOKUP($AJ200,Data_Validation!$A:$D,1,0)</f>
        <v>#N/A</v>
      </c>
      <c r="AP200" s="598" t="e">
        <f>+VLOOKUP($AJ200,Data_Validation!$A:$D,3,0)</f>
        <v>#N/A</v>
      </c>
      <c r="AQ200" s="598" t="e">
        <f>+VLOOKUP($AJ200,Data_Validation!$A:$D,4,0)</f>
        <v>#N/A</v>
      </c>
      <c r="AR200" s="598" t="s">
        <v>299</v>
      </c>
      <c r="AS200" s="598" t="e">
        <f>+VLOOKUP($AJ200,Data_Validation!$A:$E,5,0)</f>
        <v>#N/A</v>
      </c>
      <c r="AT200" s="1036">
        <f t="shared" si="14"/>
        <v>0</v>
      </c>
      <c r="AU200" s="599">
        <f t="shared" si="14"/>
        <v>0</v>
      </c>
      <c r="AV200" s="1030">
        <f>IFERROR(INDEX(V200:AG200,1,MATCH(Parametres!$B$3,V$1:AG$1,0)-1)*IF(OR(C200="L",C200="S",C200="I"),-1,1),"")</f>
        <v>0</v>
      </c>
      <c r="AW200" s="1030">
        <f t="shared" si="15"/>
        <v>0</v>
      </c>
      <c r="AX200" s="1030">
        <f>INDEX(V200:AG200,1,MATCH(Parametres!$B$3,V$1:AG$1,0))*IF(OR(C200="L",C200="S",C200="I"),-1,1)</f>
        <v>0</v>
      </c>
      <c r="AY200" s="598" t="s">
        <v>337</v>
      </c>
      <c r="AZ200" s="598" t="e">
        <f>+VLOOKUP($AJ200,Data_Validation!$A:$E,5,0)</f>
        <v>#N/A</v>
      </c>
    </row>
    <row r="201" spans="36:52" ht="15" customHeight="1">
      <c r="AJ201" s="1030">
        <f t="shared" si="12"/>
        <v>0</v>
      </c>
      <c r="AK201" s="1030">
        <f t="shared" si="12"/>
        <v>0</v>
      </c>
      <c r="AL201" s="1030">
        <f>IFERROR(INDEX(G201:R201,1,MATCH(Parametres!$B$3,G$1:R$1,0)-1)*IF(OR(F201="L",F201="S",F201="I"),-1,1),"")</f>
        <v>0</v>
      </c>
      <c r="AM201" s="1030">
        <f t="shared" si="13"/>
        <v>0</v>
      </c>
      <c r="AN201" s="1030">
        <f>INDEX(G201:R201,1,MATCH(Parametres!$B$3,G$1:R$1,0))*IF(OR(F201="L",F201="S",F201="I"),-1,1)</f>
        <v>0</v>
      </c>
      <c r="AO201" s="598" t="e">
        <f>+VLOOKUP($AJ201,Data_Validation!$A:$D,1,0)</f>
        <v>#N/A</v>
      </c>
      <c r="AP201" s="598" t="e">
        <f>+VLOOKUP($AJ201,Data_Validation!$A:$D,3,0)</f>
        <v>#N/A</v>
      </c>
      <c r="AQ201" s="598" t="e">
        <f>+VLOOKUP($AJ201,Data_Validation!$A:$D,4,0)</f>
        <v>#N/A</v>
      </c>
      <c r="AR201" s="598" t="s">
        <v>299</v>
      </c>
      <c r="AS201" s="598" t="e">
        <f>+VLOOKUP($AJ201,Data_Validation!$A:$E,5,0)</f>
        <v>#N/A</v>
      </c>
      <c r="AT201" s="1036">
        <f t="shared" si="14"/>
        <v>0</v>
      </c>
      <c r="AU201" s="599">
        <f t="shared" si="14"/>
        <v>0</v>
      </c>
      <c r="AV201" s="1030">
        <f>IFERROR(INDEX(V201:AG201,1,MATCH(Parametres!$B$3,V$1:AG$1,0)-1)*IF(OR(C201="L",C201="S",C201="I"),-1,1),"")</f>
        <v>0</v>
      </c>
      <c r="AW201" s="1030">
        <f t="shared" si="15"/>
        <v>0</v>
      </c>
      <c r="AX201" s="1030">
        <f>INDEX(V201:AG201,1,MATCH(Parametres!$B$3,V$1:AG$1,0))*IF(OR(C201="L",C201="S",C201="I"),-1,1)</f>
        <v>0</v>
      </c>
      <c r="AY201" s="598" t="s">
        <v>337</v>
      </c>
      <c r="AZ201" s="598" t="e">
        <f>+VLOOKUP($AJ201,Data_Validation!$A:$E,5,0)</f>
        <v>#N/A</v>
      </c>
    </row>
    <row r="202" spans="36:52" ht="15" customHeight="1">
      <c r="AJ202" s="1030">
        <f t="shared" si="12"/>
        <v>0</v>
      </c>
      <c r="AK202" s="1030">
        <f t="shared" si="12"/>
        <v>0</v>
      </c>
      <c r="AL202" s="1030">
        <f>IFERROR(INDEX(G202:R202,1,MATCH(Parametres!$B$3,G$1:R$1,0)-1)*IF(OR(F202="L",F202="S",F202="I"),-1,1),"")</f>
        <v>0</v>
      </c>
      <c r="AM202" s="1030">
        <f t="shared" si="13"/>
        <v>0</v>
      </c>
      <c r="AN202" s="1030">
        <f>INDEX(G202:R202,1,MATCH(Parametres!$B$3,G$1:R$1,0))*IF(OR(F202="L",F202="S",F202="I"),-1,1)</f>
        <v>0</v>
      </c>
      <c r="AO202" s="598" t="e">
        <f>+VLOOKUP($AJ202,Data_Validation!$A:$D,1,0)</f>
        <v>#N/A</v>
      </c>
      <c r="AP202" s="598" t="e">
        <f>+VLOOKUP($AJ202,Data_Validation!$A:$D,3,0)</f>
        <v>#N/A</v>
      </c>
      <c r="AQ202" s="598" t="e">
        <f>+VLOOKUP($AJ202,Data_Validation!$A:$D,4,0)</f>
        <v>#N/A</v>
      </c>
      <c r="AR202" s="598" t="s">
        <v>299</v>
      </c>
      <c r="AS202" s="598" t="e">
        <f>+VLOOKUP($AJ202,Data_Validation!$A:$E,5,0)</f>
        <v>#N/A</v>
      </c>
      <c r="AT202" s="1036">
        <f t="shared" si="14"/>
        <v>0</v>
      </c>
      <c r="AU202" s="599">
        <f t="shared" si="14"/>
        <v>0</v>
      </c>
      <c r="AV202" s="1030">
        <f>IFERROR(INDEX(V202:AG202,1,MATCH(Parametres!$B$3,V$1:AG$1,0)-1)*IF(OR(C202="L",C202="S",C202="I"),-1,1),"")</f>
        <v>0</v>
      </c>
      <c r="AW202" s="1030">
        <f t="shared" si="15"/>
        <v>0</v>
      </c>
      <c r="AX202" s="1030">
        <f>INDEX(V202:AG202,1,MATCH(Parametres!$B$3,V$1:AG$1,0))*IF(OR(C202="L",C202="S",C202="I"),-1,1)</f>
        <v>0</v>
      </c>
      <c r="AY202" s="598" t="s">
        <v>337</v>
      </c>
      <c r="AZ202" s="598" t="e">
        <f>+VLOOKUP($AJ202,Data_Validation!$A:$E,5,0)</f>
        <v>#N/A</v>
      </c>
    </row>
    <row r="203" spans="36:52" ht="15" customHeight="1">
      <c r="AJ203" s="1030">
        <f t="shared" si="12"/>
        <v>0</v>
      </c>
      <c r="AK203" s="1030">
        <f t="shared" si="12"/>
        <v>0</v>
      </c>
      <c r="AL203" s="1030">
        <f>IFERROR(INDEX(G203:R203,1,MATCH(Parametres!$B$3,G$1:R$1,0)-1)*IF(OR(F203="L",F203="S",F203="I"),-1,1),"")</f>
        <v>0</v>
      </c>
      <c r="AM203" s="1030">
        <f t="shared" si="13"/>
        <v>0</v>
      </c>
      <c r="AN203" s="1030">
        <f>INDEX(G203:R203,1,MATCH(Parametres!$B$3,G$1:R$1,0))*IF(OR(F203="L",F203="S",F203="I"),-1,1)</f>
        <v>0</v>
      </c>
      <c r="AO203" s="598" t="e">
        <f>+VLOOKUP($AJ203,Data_Validation!$A:$D,1,0)</f>
        <v>#N/A</v>
      </c>
      <c r="AP203" s="598" t="e">
        <f>+VLOOKUP($AJ203,Data_Validation!$A:$D,3,0)</f>
        <v>#N/A</v>
      </c>
      <c r="AQ203" s="598" t="e">
        <f>+VLOOKUP($AJ203,Data_Validation!$A:$D,4,0)</f>
        <v>#N/A</v>
      </c>
      <c r="AR203" s="598" t="s">
        <v>299</v>
      </c>
      <c r="AS203" s="598" t="e">
        <f>+VLOOKUP($AJ203,Data_Validation!$A:$E,5,0)</f>
        <v>#N/A</v>
      </c>
      <c r="AT203" s="1036">
        <f t="shared" si="14"/>
        <v>0</v>
      </c>
      <c r="AU203" s="599">
        <f t="shared" si="14"/>
        <v>0</v>
      </c>
      <c r="AV203" s="1030">
        <f>IFERROR(INDEX(V203:AG203,1,MATCH(Parametres!$B$3,V$1:AG$1,0)-1)*IF(OR(C203="L",C203="S",C203="I"),-1,1),"")</f>
        <v>0</v>
      </c>
      <c r="AW203" s="1030">
        <f t="shared" si="15"/>
        <v>0</v>
      </c>
      <c r="AX203" s="1030">
        <f>INDEX(V203:AG203,1,MATCH(Parametres!$B$3,V$1:AG$1,0))*IF(OR(C203="L",C203="S",C203="I"),-1,1)</f>
        <v>0</v>
      </c>
      <c r="AY203" s="598" t="s">
        <v>337</v>
      </c>
      <c r="AZ203" s="598" t="e">
        <f>+VLOOKUP($AJ203,Data_Validation!$A:$E,5,0)</f>
        <v>#N/A</v>
      </c>
    </row>
    <row r="204" spans="36:52" ht="15" customHeight="1">
      <c r="AJ204" s="1030">
        <f t="shared" si="12"/>
        <v>0</v>
      </c>
      <c r="AK204" s="1030">
        <f t="shared" si="12"/>
        <v>0</v>
      </c>
      <c r="AL204" s="1030">
        <f>IFERROR(INDEX(G204:R204,1,MATCH(Parametres!$B$3,G$1:R$1,0)-1)*IF(OR(F204="L",F204="S",F204="I"),-1,1),"")</f>
        <v>0</v>
      </c>
      <c r="AM204" s="1030">
        <f t="shared" si="13"/>
        <v>0</v>
      </c>
      <c r="AN204" s="1030">
        <f>INDEX(G204:R204,1,MATCH(Parametres!$B$3,G$1:R$1,0))*IF(OR(F204="L",F204="S",F204="I"),-1,1)</f>
        <v>0</v>
      </c>
      <c r="AO204" s="598" t="e">
        <f>+VLOOKUP($AJ204,Data_Validation!$A:$D,1,0)</f>
        <v>#N/A</v>
      </c>
      <c r="AP204" s="598" t="e">
        <f>+VLOOKUP($AJ204,Data_Validation!$A:$D,3,0)</f>
        <v>#N/A</v>
      </c>
      <c r="AQ204" s="598" t="e">
        <f>+VLOOKUP($AJ204,Data_Validation!$A:$D,4,0)</f>
        <v>#N/A</v>
      </c>
      <c r="AR204" s="598" t="s">
        <v>299</v>
      </c>
      <c r="AS204" s="598" t="e">
        <f>+VLOOKUP($AJ204,Data_Validation!$A:$E,5,0)</f>
        <v>#N/A</v>
      </c>
      <c r="AT204" s="1036">
        <f t="shared" si="14"/>
        <v>0</v>
      </c>
      <c r="AU204" s="599">
        <f t="shared" si="14"/>
        <v>0</v>
      </c>
      <c r="AV204" s="1030">
        <f>IFERROR(INDEX(V204:AG204,1,MATCH(Parametres!$B$3,V$1:AG$1,0)-1)*IF(OR(C204="L",C204="S",C204="I"),-1,1),"")</f>
        <v>0</v>
      </c>
      <c r="AW204" s="1030">
        <f t="shared" si="15"/>
        <v>0</v>
      </c>
      <c r="AX204" s="1030">
        <f>INDEX(V204:AG204,1,MATCH(Parametres!$B$3,V$1:AG$1,0))*IF(OR(C204="L",C204="S",C204="I"),-1,1)</f>
        <v>0</v>
      </c>
      <c r="AY204" s="598" t="s">
        <v>337</v>
      </c>
      <c r="AZ204" s="598" t="e">
        <f>+VLOOKUP($AJ204,Data_Validation!$A:$E,5,0)</f>
        <v>#N/A</v>
      </c>
    </row>
    <row r="205" spans="36:52" ht="15" customHeight="1">
      <c r="AJ205" s="1030">
        <f t="shared" si="12"/>
        <v>0</v>
      </c>
      <c r="AK205" s="1030">
        <f t="shared" si="12"/>
        <v>0</v>
      </c>
      <c r="AL205" s="1030">
        <f>IFERROR(INDEX(G205:R205,1,MATCH(Parametres!$B$3,G$1:R$1,0)-1)*IF(OR(F205="L",F205="S",F205="I"),-1,1),"")</f>
        <v>0</v>
      </c>
      <c r="AM205" s="1030">
        <f t="shared" si="13"/>
        <v>0</v>
      </c>
      <c r="AN205" s="1030">
        <f>INDEX(G205:R205,1,MATCH(Parametres!$B$3,G$1:R$1,0))*IF(OR(F205="L",F205="S",F205="I"),-1,1)</f>
        <v>0</v>
      </c>
      <c r="AO205" s="598" t="e">
        <f>+VLOOKUP($AJ205,Data_Validation!$A:$D,1,0)</f>
        <v>#N/A</v>
      </c>
      <c r="AP205" s="598" t="e">
        <f>+VLOOKUP($AJ205,Data_Validation!$A:$D,3,0)</f>
        <v>#N/A</v>
      </c>
      <c r="AQ205" s="598" t="e">
        <f>+VLOOKUP($AJ205,Data_Validation!$A:$D,4,0)</f>
        <v>#N/A</v>
      </c>
      <c r="AR205" s="598" t="s">
        <v>299</v>
      </c>
      <c r="AS205" s="598" t="e">
        <f>+VLOOKUP($AJ205,Data_Validation!$A:$E,5,0)</f>
        <v>#N/A</v>
      </c>
      <c r="AT205" s="1036">
        <f t="shared" si="14"/>
        <v>0</v>
      </c>
      <c r="AU205" s="599">
        <f t="shared" si="14"/>
        <v>0</v>
      </c>
      <c r="AV205" s="1030">
        <f>IFERROR(INDEX(V205:AG205,1,MATCH(Parametres!$B$3,V$1:AG$1,0)-1)*IF(OR(C205="L",C205="S",C205="I"),-1,1),"")</f>
        <v>0</v>
      </c>
      <c r="AW205" s="1030">
        <f t="shared" si="15"/>
        <v>0</v>
      </c>
      <c r="AX205" s="1030">
        <f>INDEX(V205:AG205,1,MATCH(Parametres!$B$3,V$1:AG$1,0))*IF(OR(C205="L",C205="S",C205="I"),-1,1)</f>
        <v>0</v>
      </c>
      <c r="AY205" s="598" t="s">
        <v>337</v>
      </c>
      <c r="AZ205" s="598" t="e">
        <f>+VLOOKUP($AJ205,Data_Validation!$A:$E,5,0)</f>
        <v>#N/A</v>
      </c>
    </row>
    <row r="206" spans="36:52" ht="15.75" customHeight="1">
      <c r="AJ206" s="1030">
        <f t="shared" si="12"/>
        <v>0</v>
      </c>
      <c r="AK206" s="1030">
        <f t="shared" si="12"/>
        <v>0</v>
      </c>
      <c r="AL206" s="1030">
        <f>IFERROR(INDEX(G206:R206,1,MATCH(Parametres!$B$3,G$1:R$1,0)-1)*IF(OR(F206="L",F206="S",F206="I"),-1,1),"")</f>
        <v>0</v>
      </c>
      <c r="AM206" s="1030">
        <f t="shared" si="13"/>
        <v>0</v>
      </c>
      <c r="AN206" s="1030">
        <f>INDEX(G206:R206,1,MATCH(Parametres!$B$3,G$1:R$1,0))*IF(OR(F206="L",F206="S",F206="I"),-1,1)</f>
        <v>0</v>
      </c>
      <c r="AO206" s="598" t="e">
        <f>+VLOOKUP($AJ206,Data_Validation!$A:$D,1,0)</f>
        <v>#N/A</v>
      </c>
      <c r="AP206" s="598" t="e">
        <f>+VLOOKUP($AJ206,Data_Validation!$A:$D,3,0)</f>
        <v>#N/A</v>
      </c>
      <c r="AQ206" s="598" t="e">
        <f>+VLOOKUP($AJ206,Data_Validation!$A:$D,4,0)</f>
        <v>#N/A</v>
      </c>
      <c r="AR206" s="598" t="s">
        <v>299</v>
      </c>
      <c r="AS206" s="598" t="e">
        <f>+VLOOKUP($AJ206,Data_Validation!$A:$E,5,0)</f>
        <v>#N/A</v>
      </c>
      <c r="AT206" s="1036">
        <f t="shared" si="14"/>
        <v>0</v>
      </c>
      <c r="AU206" s="599">
        <f t="shared" si="14"/>
        <v>0</v>
      </c>
      <c r="AV206" s="1030">
        <f>IFERROR(INDEX(V206:AG206,1,MATCH(Parametres!$B$3,V$1:AG$1,0)-1)*IF(OR(C206="L",C206="S",C206="I"),-1,1),"")</f>
        <v>0</v>
      </c>
      <c r="AW206" s="1030">
        <f t="shared" si="15"/>
        <v>0</v>
      </c>
      <c r="AX206" s="1030">
        <f>INDEX(V206:AG206,1,MATCH(Parametres!$B$3,V$1:AG$1,0))*IF(OR(C206="L",C206="S",C206="I"),-1,1)</f>
        <v>0</v>
      </c>
      <c r="AY206" s="598" t="s">
        <v>337</v>
      </c>
      <c r="AZ206" s="598" t="e">
        <f>+VLOOKUP($AJ206,Data_Validation!$A:$E,5,0)</f>
        <v>#N/A</v>
      </c>
    </row>
    <row r="207" spans="36:52" ht="15" customHeight="1">
      <c r="AJ207" s="1030">
        <f t="shared" si="12"/>
        <v>0</v>
      </c>
      <c r="AK207" s="1030">
        <f t="shared" si="12"/>
        <v>0</v>
      </c>
      <c r="AL207" s="1030">
        <f>IFERROR(INDEX(G207:R207,1,MATCH(Parametres!$B$3,G$1:R$1,0)-1)*IF(OR(F207="L",F207="S",F207="I"),-1,1),"")</f>
        <v>0</v>
      </c>
      <c r="AM207" s="1030">
        <f t="shared" si="13"/>
        <v>0</v>
      </c>
      <c r="AN207" s="1030">
        <f>INDEX(G207:R207,1,MATCH(Parametres!$B$3,G$1:R$1,0))*IF(OR(F207="L",F207="S",F207="I"),-1,1)</f>
        <v>0</v>
      </c>
      <c r="AO207" s="598" t="e">
        <f>+VLOOKUP($AJ207,Data_Validation!$A:$D,1,0)</f>
        <v>#N/A</v>
      </c>
      <c r="AP207" s="598" t="e">
        <f>+VLOOKUP($AJ207,Data_Validation!$A:$D,3,0)</f>
        <v>#N/A</v>
      </c>
      <c r="AQ207" s="598" t="e">
        <f>+VLOOKUP($AJ207,Data_Validation!$A:$D,4,0)</f>
        <v>#N/A</v>
      </c>
      <c r="AR207" s="598" t="s">
        <v>299</v>
      </c>
      <c r="AS207" s="598" t="e">
        <f>+VLOOKUP($AJ207,Data_Validation!$A:$E,5,0)</f>
        <v>#N/A</v>
      </c>
      <c r="AT207" s="1036">
        <f t="shared" si="14"/>
        <v>0</v>
      </c>
      <c r="AU207" s="599">
        <f t="shared" si="14"/>
        <v>0</v>
      </c>
      <c r="AV207" s="1030">
        <f>IFERROR(INDEX(V207:AG207,1,MATCH(Parametres!$B$3,V$1:AG$1,0)-1)*IF(OR(C207="L",C207="S",C207="I"),-1,1),"")</f>
        <v>0</v>
      </c>
      <c r="AW207" s="1030">
        <f t="shared" si="15"/>
        <v>0</v>
      </c>
      <c r="AX207" s="1030">
        <f>INDEX(V207:AG207,1,MATCH(Parametres!$B$3,V$1:AG$1,0))*IF(OR(C207="L",C207="S",C207="I"),-1,1)</f>
        <v>0</v>
      </c>
      <c r="AY207" s="598" t="s">
        <v>337</v>
      </c>
      <c r="AZ207" s="598" t="e">
        <f>+VLOOKUP($AJ207,Data_Validation!$A:$E,5,0)</f>
        <v>#N/A</v>
      </c>
    </row>
    <row r="208" spans="36:52" ht="15" customHeight="1">
      <c r="AJ208" s="1030">
        <f t="shared" si="12"/>
        <v>0</v>
      </c>
      <c r="AK208" s="1030">
        <f t="shared" si="12"/>
        <v>0</v>
      </c>
      <c r="AL208" s="1030">
        <f>IFERROR(INDEX(G208:R208,1,MATCH(Parametres!$B$3,G$1:R$1,0)-1)*IF(OR(F208="L",F208="S",F208="I"),-1,1),"")</f>
        <v>0</v>
      </c>
      <c r="AM208" s="1030">
        <f t="shared" si="13"/>
        <v>0</v>
      </c>
      <c r="AN208" s="1030">
        <f>INDEX(G208:R208,1,MATCH(Parametres!$B$3,G$1:R$1,0))*IF(OR(F208="L",F208="S",F208="I"),-1,1)</f>
        <v>0</v>
      </c>
      <c r="AO208" s="598" t="e">
        <f>+VLOOKUP($AJ208,Data_Validation!$A:$D,1,0)</f>
        <v>#N/A</v>
      </c>
      <c r="AP208" s="598" t="e">
        <f>+VLOOKUP($AJ208,Data_Validation!$A:$D,3,0)</f>
        <v>#N/A</v>
      </c>
      <c r="AQ208" s="598" t="e">
        <f>+VLOOKUP($AJ208,Data_Validation!$A:$D,4,0)</f>
        <v>#N/A</v>
      </c>
      <c r="AR208" s="598" t="s">
        <v>299</v>
      </c>
      <c r="AS208" s="598" t="e">
        <f>+VLOOKUP($AJ208,Data_Validation!$A:$E,5,0)</f>
        <v>#N/A</v>
      </c>
      <c r="AT208" s="1036">
        <f t="shared" si="14"/>
        <v>0</v>
      </c>
      <c r="AU208" s="599">
        <f t="shared" si="14"/>
        <v>0</v>
      </c>
      <c r="AV208" s="1030">
        <f>IFERROR(INDEX(V208:AG208,1,MATCH(Parametres!$B$3,V$1:AG$1,0)-1)*IF(OR(C208="L",C208="S",C208="I"),-1,1),"")</f>
        <v>0</v>
      </c>
      <c r="AW208" s="1030">
        <f t="shared" si="15"/>
        <v>0</v>
      </c>
      <c r="AX208" s="1030">
        <f>INDEX(V208:AG208,1,MATCH(Parametres!$B$3,V$1:AG$1,0))*IF(OR(C208="L",C208="S",C208="I"),-1,1)</f>
        <v>0</v>
      </c>
      <c r="AY208" s="598" t="s">
        <v>337</v>
      </c>
      <c r="AZ208" s="598" t="e">
        <f>+VLOOKUP($AJ208,Data_Validation!$A:$E,5,0)</f>
        <v>#N/A</v>
      </c>
    </row>
    <row r="209" spans="36:52" ht="15" customHeight="1">
      <c r="AJ209" s="1030">
        <f t="shared" si="12"/>
        <v>0</v>
      </c>
      <c r="AK209" s="1030">
        <f t="shared" si="12"/>
        <v>0</v>
      </c>
      <c r="AL209" s="1030">
        <f>IFERROR(INDEX(G209:R209,1,MATCH(Parametres!$B$3,G$1:R$1,0)-1)*IF(OR(F209="L",F209="S",F209="I"),-1,1),"")</f>
        <v>0</v>
      </c>
      <c r="AM209" s="1030">
        <f t="shared" si="13"/>
        <v>0</v>
      </c>
      <c r="AN209" s="1030">
        <f>INDEX(G209:R209,1,MATCH(Parametres!$B$3,G$1:R$1,0))*IF(OR(F209="L",F209="S",F209="I"),-1,1)</f>
        <v>0</v>
      </c>
      <c r="AO209" s="598" t="e">
        <f>+VLOOKUP($AJ209,Data_Validation!$A:$D,1,0)</f>
        <v>#N/A</v>
      </c>
      <c r="AP209" s="598" t="e">
        <f>+VLOOKUP($AJ209,Data_Validation!$A:$D,3,0)</f>
        <v>#N/A</v>
      </c>
      <c r="AQ209" s="598" t="e">
        <f>+VLOOKUP($AJ209,Data_Validation!$A:$D,4,0)</f>
        <v>#N/A</v>
      </c>
      <c r="AR209" s="598" t="s">
        <v>299</v>
      </c>
      <c r="AS209" s="598" t="e">
        <f>+VLOOKUP($AJ209,Data_Validation!$A:$E,5,0)</f>
        <v>#N/A</v>
      </c>
      <c r="AT209" s="1036">
        <f t="shared" si="14"/>
        <v>0</v>
      </c>
      <c r="AU209" s="599">
        <f t="shared" si="14"/>
        <v>0</v>
      </c>
      <c r="AV209" s="1030">
        <f>IFERROR(INDEX(V209:AG209,1,MATCH(Parametres!$B$3,V$1:AG$1,0)-1)*IF(OR(C209="L",C209="S",C209="I"),-1,1),"")</f>
        <v>0</v>
      </c>
      <c r="AW209" s="1030">
        <f t="shared" si="15"/>
        <v>0</v>
      </c>
      <c r="AX209" s="1030">
        <f>INDEX(V209:AG209,1,MATCH(Parametres!$B$3,V$1:AG$1,0))*IF(OR(C209="L",C209="S",C209="I"),-1,1)</f>
        <v>0</v>
      </c>
      <c r="AY209" s="598" t="s">
        <v>337</v>
      </c>
      <c r="AZ209" s="598" t="e">
        <f>+VLOOKUP($AJ209,Data_Validation!$A:$E,5,0)</f>
        <v>#N/A</v>
      </c>
    </row>
    <row r="210" spans="36:52" ht="15" customHeight="1">
      <c r="AJ210" s="1030">
        <f t="shared" si="12"/>
        <v>0</v>
      </c>
      <c r="AK210" s="1030">
        <f t="shared" si="12"/>
        <v>0</v>
      </c>
      <c r="AL210" s="1030">
        <f>IFERROR(INDEX(G210:R210,1,MATCH(Parametres!$B$3,G$1:R$1,0)-1)*IF(OR(F210="L",F210="S",F210="I"),-1,1),"")</f>
        <v>0</v>
      </c>
      <c r="AM210" s="1030">
        <f t="shared" si="13"/>
        <v>0</v>
      </c>
      <c r="AN210" s="1030">
        <f>INDEX(G210:R210,1,MATCH(Parametres!$B$3,G$1:R$1,0))*IF(OR(F210="L",F210="S",F210="I"),-1,1)</f>
        <v>0</v>
      </c>
      <c r="AO210" s="598" t="e">
        <f>+VLOOKUP($AJ210,Data_Validation!$A:$D,1,0)</f>
        <v>#N/A</v>
      </c>
      <c r="AP210" s="598" t="e">
        <f>+VLOOKUP($AJ210,Data_Validation!$A:$D,3,0)</f>
        <v>#N/A</v>
      </c>
      <c r="AQ210" s="598" t="e">
        <f>+VLOOKUP($AJ210,Data_Validation!$A:$D,4,0)</f>
        <v>#N/A</v>
      </c>
      <c r="AR210" s="598" t="s">
        <v>299</v>
      </c>
      <c r="AS210" s="598" t="e">
        <f>+VLOOKUP($AJ210,Data_Validation!$A:$E,5,0)</f>
        <v>#N/A</v>
      </c>
      <c r="AT210" s="1036">
        <f t="shared" si="14"/>
        <v>0</v>
      </c>
      <c r="AU210" s="599">
        <f t="shared" si="14"/>
        <v>0</v>
      </c>
      <c r="AV210" s="1030">
        <f>IFERROR(INDEX(V210:AG210,1,MATCH(Parametres!$B$3,V$1:AG$1,0)-1)*IF(OR(C210="L",C210="S",C210="I"),-1,1),"")</f>
        <v>0</v>
      </c>
      <c r="AW210" s="1030">
        <f t="shared" si="15"/>
        <v>0</v>
      </c>
      <c r="AX210" s="1030">
        <f>INDEX(V210:AG210,1,MATCH(Parametres!$B$3,V$1:AG$1,0))*IF(OR(C210="L",C210="S",C210="I"),-1,1)</f>
        <v>0</v>
      </c>
      <c r="AY210" s="598" t="s">
        <v>337</v>
      </c>
      <c r="AZ210" s="598" t="e">
        <f>+VLOOKUP($AJ210,Data_Validation!$A:$E,5,0)</f>
        <v>#N/A</v>
      </c>
    </row>
    <row r="211" spans="36:52" ht="15.75" customHeight="1">
      <c r="AJ211" s="1030">
        <f t="shared" si="12"/>
        <v>0</v>
      </c>
      <c r="AK211" s="1030">
        <f t="shared" si="12"/>
        <v>0</v>
      </c>
      <c r="AL211" s="1030">
        <f>IFERROR(INDEX(G211:R211,1,MATCH(Parametres!$B$3,G$1:R$1,0)-1)*IF(OR(F211="L",F211="S",F211="I"),-1,1),"")</f>
        <v>0</v>
      </c>
      <c r="AM211" s="1030">
        <f t="shared" si="13"/>
        <v>0</v>
      </c>
      <c r="AN211" s="1030">
        <f>INDEX(G211:R211,1,MATCH(Parametres!$B$3,G$1:R$1,0))*IF(OR(F211="L",F211="S",F211="I"),-1,1)</f>
        <v>0</v>
      </c>
      <c r="AO211" s="598" t="e">
        <f>+VLOOKUP($AJ211,Data_Validation!$A:$D,1,0)</f>
        <v>#N/A</v>
      </c>
      <c r="AP211" s="598" t="e">
        <f>+VLOOKUP($AJ211,Data_Validation!$A:$D,3,0)</f>
        <v>#N/A</v>
      </c>
      <c r="AQ211" s="598" t="e">
        <f>+VLOOKUP($AJ211,Data_Validation!$A:$D,4,0)</f>
        <v>#N/A</v>
      </c>
      <c r="AR211" s="598" t="s">
        <v>299</v>
      </c>
      <c r="AS211" s="598" t="e">
        <f>+VLOOKUP($AJ211,Data_Validation!$A:$E,5,0)</f>
        <v>#N/A</v>
      </c>
      <c r="AT211" s="1036">
        <f t="shared" si="14"/>
        <v>0</v>
      </c>
      <c r="AU211" s="599">
        <f t="shared" si="14"/>
        <v>0</v>
      </c>
      <c r="AV211" s="1030">
        <f>IFERROR(INDEX(V211:AG211,1,MATCH(Parametres!$B$3,V$1:AG$1,0)-1)*IF(OR(C211="L",C211="S",C211="I"),-1,1),"")</f>
        <v>0</v>
      </c>
      <c r="AW211" s="1030">
        <f t="shared" si="15"/>
        <v>0</v>
      </c>
      <c r="AX211" s="1030">
        <f>INDEX(V211:AG211,1,MATCH(Parametres!$B$3,V$1:AG$1,0))*IF(OR(C211="L",C211="S",C211="I"),-1,1)</f>
        <v>0</v>
      </c>
      <c r="AY211" s="598" t="s">
        <v>337</v>
      </c>
      <c r="AZ211" s="598" t="e">
        <f>+VLOOKUP($AJ211,Data_Validation!$A:$E,5,0)</f>
        <v>#N/A</v>
      </c>
    </row>
    <row r="212" spans="36:52" ht="15" customHeight="1">
      <c r="AJ212" s="1030">
        <f t="shared" si="12"/>
        <v>0</v>
      </c>
      <c r="AK212" s="1030">
        <f t="shared" si="12"/>
        <v>0</v>
      </c>
      <c r="AL212" s="1030">
        <f>IFERROR(INDEX(G212:R212,1,MATCH(Parametres!$B$3,G$1:R$1,0)-1)*IF(OR(F212="L",F212="S",F212="I"),-1,1),"")</f>
        <v>0</v>
      </c>
      <c r="AM212" s="1030">
        <f t="shared" si="13"/>
        <v>0</v>
      </c>
      <c r="AN212" s="1030">
        <f>INDEX(G212:R212,1,MATCH(Parametres!$B$3,G$1:R$1,0))*IF(OR(F212="L",F212="S",F212="I"),-1,1)</f>
        <v>0</v>
      </c>
      <c r="AO212" s="598" t="e">
        <f>+VLOOKUP($AJ212,Data_Validation!$A:$D,1,0)</f>
        <v>#N/A</v>
      </c>
      <c r="AP212" s="598" t="e">
        <f>+VLOOKUP($AJ212,Data_Validation!$A:$D,3,0)</f>
        <v>#N/A</v>
      </c>
      <c r="AQ212" s="598" t="e">
        <f>+VLOOKUP($AJ212,Data_Validation!$A:$D,4,0)</f>
        <v>#N/A</v>
      </c>
      <c r="AR212" s="598" t="s">
        <v>299</v>
      </c>
      <c r="AS212" s="598" t="e">
        <f>+VLOOKUP($AJ212,Data_Validation!$A:$E,5,0)</f>
        <v>#N/A</v>
      </c>
      <c r="AT212" s="1036">
        <f t="shared" si="14"/>
        <v>0</v>
      </c>
      <c r="AU212" s="599">
        <f t="shared" si="14"/>
        <v>0</v>
      </c>
      <c r="AV212" s="1030">
        <f>IFERROR(INDEX(V212:AG212,1,MATCH(Parametres!$B$3,V$1:AG$1,0)-1)*IF(OR(C212="L",C212="S",C212="I"),-1,1),"")</f>
        <v>0</v>
      </c>
      <c r="AW212" s="1030">
        <f t="shared" si="15"/>
        <v>0</v>
      </c>
      <c r="AX212" s="1030">
        <f>INDEX(V212:AG212,1,MATCH(Parametres!$B$3,V$1:AG$1,0))*IF(OR(C212="L",C212="S",C212="I"),-1,1)</f>
        <v>0</v>
      </c>
      <c r="AY212" s="598" t="s">
        <v>337</v>
      </c>
      <c r="AZ212" s="598" t="e">
        <f>+VLOOKUP($AJ212,Data_Validation!$A:$E,5,0)</f>
        <v>#N/A</v>
      </c>
    </row>
    <row r="213" spans="36:52" ht="15" customHeight="1">
      <c r="AJ213" s="1030">
        <f t="shared" si="12"/>
        <v>0</v>
      </c>
      <c r="AK213" s="1030">
        <f t="shared" si="12"/>
        <v>0</v>
      </c>
      <c r="AL213" s="1030">
        <f>IFERROR(INDEX(G213:R213,1,MATCH(Parametres!$B$3,G$1:R$1,0)-1)*IF(OR(F213="L",F213="S",F213="I"),-1,1),"")</f>
        <v>0</v>
      </c>
      <c r="AM213" s="1030">
        <f t="shared" si="13"/>
        <v>0</v>
      </c>
      <c r="AN213" s="1030">
        <f>INDEX(G213:R213,1,MATCH(Parametres!$B$3,G$1:R$1,0))*IF(OR(F213="L",F213="S",F213="I"),-1,1)</f>
        <v>0</v>
      </c>
      <c r="AO213" s="598" t="e">
        <f>+VLOOKUP($AJ213,Data_Validation!$A:$D,1,0)</f>
        <v>#N/A</v>
      </c>
      <c r="AP213" s="598" t="e">
        <f>+VLOOKUP($AJ213,Data_Validation!$A:$D,3,0)</f>
        <v>#N/A</v>
      </c>
      <c r="AQ213" s="598" t="e">
        <f>+VLOOKUP($AJ213,Data_Validation!$A:$D,4,0)</f>
        <v>#N/A</v>
      </c>
      <c r="AR213" s="598" t="s">
        <v>299</v>
      </c>
      <c r="AS213" s="598" t="e">
        <f>+VLOOKUP($AJ213,Data_Validation!$A:$E,5,0)</f>
        <v>#N/A</v>
      </c>
      <c r="AT213" s="1036">
        <f t="shared" si="14"/>
        <v>0</v>
      </c>
      <c r="AU213" s="599">
        <f t="shared" si="14"/>
        <v>0</v>
      </c>
      <c r="AV213" s="1030">
        <f>IFERROR(INDEX(V213:AG213,1,MATCH(Parametres!$B$3,V$1:AG$1,0)-1)*IF(OR(C213="L",C213="S",C213="I"),-1,1),"")</f>
        <v>0</v>
      </c>
      <c r="AW213" s="1030">
        <f t="shared" si="15"/>
        <v>0</v>
      </c>
      <c r="AX213" s="1030">
        <f>INDEX(V213:AG213,1,MATCH(Parametres!$B$3,V$1:AG$1,0))*IF(OR(C213="L",C213="S",C213="I"),-1,1)</f>
        <v>0</v>
      </c>
      <c r="AY213" s="598" t="s">
        <v>337</v>
      </c>
      <c r="AZ213" s="598" t="e">
        <f>+VLOOKUP($AJ213,Data_Validation!$A:$E,5,0)</f>
        <v>#N/A</v>
      </c>
    </row>
    <row r="214" spans="36:52" ht="15" customHeight="1">
      <c r="AJ214" s="1030">
        <f t="shared" si="12"/>
        <v>0</v>
      </c>
      <c r="AK214" s="1030">
        <f t="shared" si="12"/>
        <v>0</v>
      </c>
      <c r="AL214" s="1030">
        <f>IFERROR(INDEX(G214:R214,1,MATCH(Parametres!$B$3,G$1:R$1,0)-1)*IF(OR(F214="L",F214="S",F214="I"),-1,1),"")</f>
        <v>0</v>
      </c>
      <c r="AM214" s="1030">
        <f t="shared" si="13"/>
        <v>0</v>
      </c>
      <c r="AN214" s="1030">
        <f>INDEX(G214:R214,1,MATCH(Parametres!$B$3,G$1:R$1,0))*IF(OR(F214="L",F214="S",F214="I"),-1,1)</f>
        <v>0</v>
      </c>
      <c r="AO214" s="598" t="e">
        <f>+VLOOKUP($AJ214,Data_Validation!$A:$D,1,0)</f>
        <v>#N/A</v>
      </c>
      <c r="AP214" s="598" t="e">
        <f>+VLOOKUP($AJ214,Data_Validation!$A:$D,3,0)</f>
        <v>#N/A</v>
      </c>
      <c r="AQ214" s="598" t="e">
        <f>+VLOOKUP($AJ214,Data_Validation!$A:$D,4,0)</f>
        <v>#N/A</v>
      </c>
      <c r="AR214" s="598" t="s">
        <v>299</v>
      </c>
      <c r="AS214" s="598" t="e">
        <f>+VLOOKUP($AJ214,Data_Validation!$A:$E,5,0)</f>
        <v>#N/A</v>
      </c>
      <c r="AT214" s="1036">
        <f t="shared" si="14"/>
        <v>0</v>
      </c>
      <c r="AU214" s="599">
        <f t="shared" si="14"/>
        <v>0</v>
      </c>
      <c r="AV214" s="1030">
        <f>IFERROR(INDEX(V214:AG214,1,MATCH(Parametres!$B$3,V$1:AG$1,0)-1)*IF(OR(C214="L",C214="S",C214="I"),-1,1),"")</f>
        <v>0</v>
      </c>
      <c r="AW214" s="1030">
        <f t="shared" si="15"/>
        <v>0</v>
      </c>
      <c r="AX214" s="1030">
        <f>INDEX(V214:AG214,1,MATCH(Parametres!$B$3,V$1:AG$1,0))*IF(OR(C214="L",C214="S",C214="I"),-1,1)</f>
        <v>0</v>
      </c>
      <c r="AY214" s="598" t="s">
        <v>337</v>
      </c>
      <c r="AZ214" s="598" t="e">
        <f>+VLOOKUP($AJ214,Data_Validation!$A:$E,5,0)</f>
        <v>#N/A</v>
      </c>
    </row>
    <row r="215" spans="36:52" ht="15.75" customHeight="1">
      <c r="AJ215" s="1030">
        <f t="shared" si="12"/>
        <v>0</v>
      </c>
      <c r="AK215" s="1030">
        <f t="shared" si="12"/>
        <v>0</v>
      </c>
      <c r="AL215" s="1030">
        <f>IFERROR(INDEX(G215:R215,1,MATCH(Parametres!$B$3,G$1:R$1,0)-1)*IF(OR(F215="L",F215="S",F215="I"),-1,1),"")</f>
        <v>0</v>
      </c>
      <c r="AM215" s="1030">
        <f t="shared" si="13"/>
        <v>0</v>
      </c>
      <c r="AN215" s="1030">
        <f>INDEX(G215:R215,1,MATCH(Parametres!$B$3,G$1:R$1,0))*IF(OR(F215="L",F215="S",F215="I"),-1,1)</f>
        <v>0</v>
      </c>
      <c r="AO215" s="598" t="e">
        <f>+VLOOKUP($AJ215,Data_Validation!$A:$D,1,0)</f>
        <v>#N/A</v>
      </c>
      <c r="AP215" s="598" t="e">
        <f>+VLOOKUP($AJ215,Data_Validation!$A:$D,3,0)</f>
        <v>#N/A</v>
      </c>
      <c r="AQ215" s="598" t="e">
        <f>+VLOOKUP($AJ215,Data_Validation!$A:$D,4,0)</f>
        <v>#N/A</v>
      </c>
      <c r="AR215" s="598" t="s">
        <v>299</v>
      </c>
      <c r="AS215" s="598" t="e">
        <f>+VLOOKUP($AJ215,Data_Validation!$A:$E,5,0)</f>
        <v>#N/A</v>
      </c>
      <c r="AT215" s="1036">
        <f t="shared" si="14"/>
        <v>0</v>
      </c>
      <c r="AU215" s="599">
        <f t="shared" si="14"/>
        <v>0</v>
      </c>
      <c r="AV215" s="1030">
        <f>IFERROR(INDEX(V215:AG215,1,MATCH(Parametres!$B$3,V$1:AG$1,0)-1)*IF(OR(C215="L",C215="S",C215="I"),-1,1),"")</f>
        <v>0</v>
      </c>
      <c r="AW215" s="1030">
        <f t="shared" si="15"/>
        <v>0</v>
      </c>
      <c r="AX215" s="1030">
        <f>INDEX(V215:AG215,1,MATCH(Parametres!$B$3,V$1:AG$1,0))*IF(OR(C215="L",C215="S",C215="I"),-1,1)</f>
        <v>0</v>
      </c>
      <c r="AY215" s="598" t="s">
        <v>337</v>
      </c>
      <c r="AZ215" s="598" t="e">
        <f>+VLOOKUP($AJ215,Data_Validation!$A:$E,5,0)</f>
        <v>#N/A</v>
      </c>
    </row>
    <row r="216" spans="36:52" ht="15" customHeight="1">
      <c r="AJ216" s="1030">
        <f t="shared" si="12"/>
        <v>0</v>
      </c>
      <c r="AK216" s="1030">
        <f t="shared" si="12"/>
        <v>0</v>
      </c>
      <c r="AL216" s="1030">
        <f>IFERROR(INDEX(G216:R216,1,MATCH(Parametres!$B$3,G$1:R$1,0)-1)*IF(OR(F216="L",F216="S",F216="I"),-1,1),"")</f>
        <v>0</v>
      </c>
      <c r="AM216" s="1030">
        <f t="shared" si="13"/>
        <v>0</v>
      </c>
      <c r="AN216" s="1030">
        <f>INDEX(G216:R216,1,MATCH(Parametres!$B$3,G$1:R$1,0))*IF(OR(F216="L",F216="S",F216="I"),-1,1)</f>
        <v>0</v>
      </c>
      <c r="AO216" s="598" t="e">
        <f>+VLOOKUP($AJ216,Data_Validation!$A:$D,1,0)</f>
        <v>#N/A</v>
      </c>
      <c r="AP216" s="598" t="e">
        <f>+VLOOKUP($AJ216,Data_Validation!$A:$D,3,0)</f>
        <v>#N/A</v>
      </c>
      <c r="AQ216" s="598" t="e">
        <f>+VLOOKUP($AJ216,Data_Validation!$A:$D,4,0)</f>
        <v>#N/A</v>
      </c>
      <c r="AR216" s="598" t="s">
        <v>299</v>
      </c>
      <c r="AS216" s="598" t="e">
        <f>+VLOOKUP($AJ216,Data_Validation!$A:$E,5,0)</f>
        <v>#N/A</v>
      </c>
      <c r="AT216" s="1036">
        <f t="shared" si="14"/>
        <v>0</v>
      </c>
      <c r="AU216" s="599">
        <f t="shared" si="14"/>
        <v>0</v>
      </c>
      <c r="AV216" s="1030">
        <f>IFERROR(INDEX(V216:AG216,1,MATCH(Parametres!$B$3,V$1:AG$1,0)-1)*IF(OR(C216="L",C216="S",C216="I"),-1,1),"")</f>
        <v>0</v>
      </c>
      <c r="AW216" s="1030">
        <f t="shared" si="15"/>
        <v>0</v>
      </c>
      <c r="AX216" s="1030">
        <f>INDEX(V216:AG216,1,MATCH(Parametres!$B$3,V$1:AG$1,0))*IF(OR(C216="L",C216="S",C216="I"),-1,1)</f>
        <v>0</v>
      </c>
      <c r="AY216" s="598" t="s">
        <v>337</v>
      </c>
      <c r="AZ216" s="598" t="e">
        <f>+VLOOKUP($AJ216,Data_Validation!$A:$E,5,0)</f>
        <v>#N/A</v>
      </c>
    </row>
    <row r="217" spans="36:52" ht="15" customHeight="1">
      <c r="AJ217" s="1030">
        <f t="shared" si="12"/>
        <v>0</v>
      </c>
      <c r="AK217" s="1030">
        <f t="shared" si="12"/>
        <v>0</v>
      </c>
      <c r="AL217" s="1030">
        <f>IFERROR(INDEX(G217:R217,1,MATCH(Parametres!$B$3,G$1:R$1,0)-1)*IF(OR(F217="L",F217="S",F217="I"),-1,1),"")</f>
        <v>0</v>
      </c>
      <c r="AM217" s="1030">
        <f t="shared" si="13"/>
        <v>0</v>
      </c>
      <c r="AN217" s="1030">
        <f>INDEX(G217:R217,1,MATCH(Parametres!$B$3,G$1:R$1,0))*IF(OR(F217="L",F217="S",F217="I"),-1,1)</f>
        <v>0</v>
      </c>
      <c r="AO217" s="598" t="e">
        <f>+VLOOKUP($AJ217,Data_Validation!$A:$D,1,0)</f>
        <v>#N/A</v>
      </c>
      <c r="AP217" s="598" t="e">
        <f>+VLOOKUP($AJ217,Data_Validation!$A:$D,3,0)</f>
        <v>#N/A</v>
      </c>
      <c r="AQ217" s="598" t="e">
        <f>+VLOOKUP($AJ217,Data_Validation!$A:$D,4,0)</f>
        <v>#N/A</v>
      </c>
      <c r="AR217" s="598" t="s">
        <v>299</v>
      </c>
      <c r="AS217" s="598" t="e">
        <f>+VLOOKUP($AJ217,Data_Validation!$A:$E,5,0)</f>
        <v>#N/A</v>
      </c>
      <c r="AT217" s="1036">
        <f t="shared" si="14"/>
        <v>0</v>
      </c>
      <c r="AU217" s="599">
        <f t="shared" si="14"/>
        <v>0</v>
      </c>
      <c r="AV217" s="1030">
        <f>IFERROR(INDEX(V217:AG217,1,MATCH(Parametres!$B$3,V$1:AG$1,0)-1)*IF(OR(C217="L",C217="S",C217="I"),-1,1),"")</f>
        <v>0</v>
      </c>
      <c r="AW217" s="1030">
        <f t="shared" si="15"/>
        <v>0</v>
      </c>
      <c r="AX217" s="1030">
        <f>INDEX(V217:AG217,1,MATCH(Parametres!$B$3,V$1:AG$1,0))*IF(OR(C217="L",C217="S",C217="I"),-1,1)</f>
        <v>0</v>
      </c>
      <c r="AY217" s="598" t="s">
        <v>337</v>
      </c>
      <c r="AZ217" s="598" t="e">
        <f>+VLOOKUP($AJ217,Data_Validation!$A:$E,5,0)</f>
        <v>#N/A</v>
      </c>
    </row>
    <row r="218" spans="36:52" ht="15" customHeight="1">
      <c r="AJ218" s="1030">
        <f t="shared" si="12"/>
        <v>0</v>
      </c>
      <c r="AK218" s="1030">
        <f t="shared" si="12"/>
        <v>0</v>
      </c>
      <c r="AL218" s="1030">
        <f>IFERROR(INDEX(G218:R218,1,MATCH(Parametres!$B$3,G$1:R$1,0)-1)*IF(OR(F218="L",F218="S",F218="I"),-1,1),"")</f>
        <v>0</v>
      </c>
      <c r="AM218" s="1030">
        <f t="shared" si="13"/>
        <v>0</v>
      </c>
      <c r="AN218" s="1030">
        <f>INDEX(G218:R218,1,MATCH(Parametres!$B$3,G$1:R$1,0))*IF(OR(F218="L",F218="S",F218="I"),-1,1)</f>
        <v>0</v>
      </c>
      <c r="AO218" s="598" t="e">
        <f>+VLOOKUP($AJ218,Data_Validation!$A:$D,1,0)</f>
        <v>#N/A</v>
      </c>
      <c r="AP218" s="598" t="e">
        <f>+VLOOKUP($AJ218,Data_Validation!$A:$D,3,0)</f>
        <v>#N/A</v>
      </c>
      <c r="AQ218" s="598" t="e">
        <f>+VLOOKUP($AJ218,Data_Validation!$A:$D,4,0)</f>
        <v>#N/A</v>
      </c>
      <c r="AR218" s="598" t="s">
        <v>299</v>
      </c>
      <c r="AS218" s="598" t="e">
        <f>+VLOOKUP($AJ218,Data_Validation!$A:$E,5,0)</f>
        <v>#N/A</v>
      </c>
      <c r="AT218" s="1036">
        <f t="shared" si="14"/>
        <v>0</v>
      </c>
      <c r="AU218" s="599">
        <f t="shared" si="14"/>
        <v>0</v>
      </c>
      <c r="AV218" s="1030">
        <f>IFERROR(INDEX(V218:AG218,1,MATCH(Parametres!$B$3,V$1:AG$1,0)-1)*IF(OR(C218="L",C218="S",C218="I"),-1,1),"")</f>
        <v>0</v>
      </c>
      <c r="AW218" s="1030">
        <f t="shared" si="15"/>
        <v>0</v>
      </c>
      <c r="AX218" s="1030">
        <f>INDEX(V218:AG218,1,MATCH(Parametres!$B$3,V$1:AG$1,0))*IF(OR(C218="L",C218="S",C218="I"),-1,1)</f>
        <v>0</v>
      </c>
      <c r="AY218" s="598" t="s">
        <v>337</v>
      </c>
      <c r="AZ218" s="598" t="e">
        <f>+VLOOKUP($AJ218,Data_Validation!$A:$E,5,0)</f>
        <v>#N/A</v>
      </c>
    </row>
    <row r="219" spans="36:52" ht="15.75" customHeight="1">
      <c r="AJ219" s="1030">
        <f t="shared" si="12"/>
        <v>0</v>
      </c>
      <c r="AK219" s="1030">
        <f t="shared" si="12"/>
        <v>0</v>
      </c>
      <c r="AL219" s="1030">
        <f>IFERROR(INDEX(G219:R219,1,MATCH(Parametres!$B$3,G$1:R$1,0)-1)*IF(OR(F219="L",F219="S",F219="I"),-1,1),"")</f>
        <v>0</v>
      </c>
      <c r="AM219" s="1030">
        <f t="shared" si="13"/>
        <v>0</v>
      </c>
      <c r="AN219" s="1030">
        <f>INDEX(G219:R219,1,MATCH(Parametres!$B$3,G$1:R$1,0))*IF(OR(F219="L",F219="S",F219="I"),-1,1)</f>
        <v>0</v>
      </c>
      <c r="AO219" s="598" t="e">
        <f>+VLOOKUP($AJ219,Data_Validation!$A:$D,1,0)</f>
        <v>#N/A</v>
      </c>
      <c r="AP219" s="598" t="e">
        <f>+VLOOKUP($AJ219,Data_Validation!$A:$D,3,0)</f>
        <v>#N/A</v>
      </c>
      <c r="AQ219" s="598" t="e">
        <f>+VLOOKUP($AJ219,Data_Validation!$A:$D,4,0)</f>
        <v>#N/A</v>
      </c>
      <c r="AR219" s="598" t="s">
        <v>299</v>
      </c>
      <c r="AS219" s="598" t="e">
        <f>+VLOOKUP($AJ219,Data_Validation!$A:$E,5,0)</f>
        <v>#N/A</v>
      </c>
      <c r="AT219" s="1036">
        <f t="shared" si="14"/>
        <v>0</v>
      </c>
      <c r="AU219" s="599">
        <f t="shared" si="14"/>
        <v>0</v>
      </c>
      <c r="AV219" s="1030">
        <f>IFERROR(INDEX(V219:AG219,1,MATCH(Parametres!$B$3,V$1:AG$1,0)-1)*IF(OR(C219="L",C219="S",C219="I"),-1,1),"")</f>
        <v>0</v>
      </c>
      <c r="AW219" s="1030">
        <f t="shared" si="15"/>
        <v>0</v>
      </c>
      <c r="AX219" s="1030">
        <f>INDEX(V219:AG219,1,MATCH(Parametres!$B$3,V$1:AG$1,0))*IF(OR(C219="L",C219="S",C219="I"),-1,1)</f>
        <v>0</v>
      </c>
      <c r="AY219" s="598" t="s">
        <v>337</v>
      </c>
      <c r="AZ219" s="598" t="e">
        <f>+VLOOKUP($AJ219,Data_Validation!$A:$E,5,0)</f>
        <v>#N/A</v>
      </c>
    </row>
    <row r="220" spans="36:52" ht="15" customHeight="1">
      <c r="AJ220" s="1030">
        <f t="shared" si="12"/>
        <v>0</v>
      </c>
      <c r="AK220" s="1030">
        <f t="shared" si="12"/>
        <v>0</v>
      </c>
      <c r="AL220" s="1030">
        <f>IFERROR(INDEX(G220:R220,1,MATCH(Parametres!$B$3,G$1:R$1,0)-1)*IF(OR(F220="L",F220="S",F220="I"),-1,1),"")</f>
        <v>0</v>
      </c>
      <c r="AM220" s="1030">
        <f t="shared" si="13"/>
        <v>0</v>
      </c>
      <c r="AN220" s="1030">
        <f>INDEX(G220:R220,1,MATCH(Parametres!$B$3,G$1:R$1,0))*IF(OR(F220="L",F220="S",F220="I"),-1,1)</f>
        <v>0</v>
      </c>
      <c r="AO220" s="598" t="e">
        <f>+VLOOKUP($AJ220,Data_Validation!$A:$D,1,0)</f>
        <v>#N/A</v>
      </c>
      <c r="AP220" s="598" t="e">
        <f>+VLOOKUP($AJ220,Data_Validation!$A:$D,3,0)</f>
        <v>#N/A</v>
      </c>
      <c r="AQ220" s="598" t="e">
        <f>+VLOOKUP($AJ220,Data_Validation!$A:$D,4,0)</f>
        <v>#N/A</v>
      </c>
      <c r="AR220" s="598" t="s">
        <v>299</v>
      </c>
      <c r="AS220" s="598" t="e">
        <f>+VLOOKUP($AJ220,Data_Validation!$A:$E,5,0)</f>
        <v>#N/A</v>
      </c>
      <c r="AT220" s="1036">
        <f t="shared" si="14"/>
        <v>0</v>
      </c>
      <c r="AU220" s="599">
        <f t="shared" si="14"/>
        <v>0</v>
      </c>
      <c r="AV220" s="1030">
        <f>IFERROR(INDEX(V220:AG220,1,MATCH(Parametres!$B$3,V$1:AG$1,0)-1)*IF(OR(C220="L",C220="S",C220="I"),-1,1),"")</f>
        <v>0</v>
      </c>
      <c r="AW220" s="1030">
        <f t="shared" si="15"/>
        <v>0</v>
      </c>
      <c r="AX220" s="1030">
        <f>INDEX(V220:AG220,1,MATCH(Parametres!$B$3,V$1:AG$1,0))*IF(OR(C220="L",C220="S",C220="I"),-1,1)</f>
        <v>0</v>
      </c>
      <c r="AY220" s="598" t="s">
        <v>337</v>
      </c>
      <c r="AZ220" s="598" t="e">
        <f>+VLOOKUP($AJ220,Data_Validation!$A:$E,5,0)</f>
        <v>#N/A</v>
      </c>
    </row>
    <row r="221" spans="36:52" ht="15" customHeight="1">
      <c r="AJ221" s="1030">
        <f t="shared" si="12"/>
        <v>0</v>
      </c>
      <c r="AK221" s="1030">
        <f t="shared" si="12"/>
        <v>0</v>
      </c>
      <c r="AL221" s="1030">
        <f>IFERROR(INDEX(G221:R221,1,MATCH(Parametres!$B$3,G$1:R$1,0)-1)*IF(OR(F221="L",F221="S",F221="I"),-1,1),"")</f>
        <v>0</v>
      </c>
      <c r="AM221" s="1030">
        <f t="shared" si="13"/>
        <v>0</v>
      </c>
      <c r="AN221" s="1030">
        <f>INDEX(G221:R221,1,MATCH(Parametres!$B$3,G$1:R$1,0))*IF(OR(F221="L",F221="S",F221="I"),-1,1)</f>
        <v>0</v>
      </c>
      <c r="AO221" s="598" t="e">
        <f>+VLOOKUP($AJ221,Data_Validation!$A:$D,1,0)</f>
        <v>#N/A</v>
      </c>
      <c r="AP221" s="598" t="e">
        <f>+VLOOKUP($AJ221,Data_Validation!$A:$D,3,0)</f>
        <v>#N/A</v>
      </c>
      <c r="AQ221" s="598" t="e">
        <f>+VLOOKUP($AJ221,Data_Validation!$A:$D,4,0)</f>
        <v>#N/A</v>
      </c>
      <c r="AR221" s="598" t="s">
        <v>299</v>
      </c>
      <c r="AS221" s="598" t="e">
        <f>+VLOOKUP($AJ221,Data_Validation!$A:$E,5,0)</f>
        <v>#N/A</v>
      </c>
      <c r="AT221" s="1036">
        <f t="shared" si="14"/>
        <v>0</v>
      </c>
      <c r="AU221" s="599">
        <f t="shared" si="14"/>
        <v>0</v>
      </c>
      <c r="AV221" s="1030">
        <f>IFERROR(INDEX(V221:AG221,1,MATCH(Parametres!$B$3,V$1:AG$1,0)-1)*IF(OR(C221="L",C221="S",C221="I"),-1,1),"")</f>
        <v>0</v>
      </c>
      <c r="AW221" s="1030">
        <f t="shared" si="15"/>
        <v>0</v>
      </c>
      <c r="AX221" s="1030">
        <f>INDEX(V221:AG221,1,MATCH(Parametres!$B$3,V$1:AG$1,0))*IF(OR(C221="L",C221="S",C221="I"),-1,1)</f>
        <v>0</v>
      </c>
      <c r="AY221" s="598" t="s">
        <v>337</v>
      </c>
      <c r="AZ221" s="598" t="e">
        <f>+VLOOKUP($AJ221,Data_Validation!$A:$E,5,0)</f>
        <v>#N/A</v>
      </c>
    </row>
    <row r="222" spans="36:52" ht="15" customHeight="1">
      <c r="AJ222" s="1030">
        <f t="shared" si="12"/>
        <v>0</v>
      </c>
      <c r="AK222" s="1030">
        <f t="shared" si="12"/>
        <v>0</v>
      </c>
      <c r="AL222" s="1030">
        <f>IFERROR(INDEX(G222:R222,1,MATCH(Parametres!$B$3,G$1:R$1,0)-1)*IF(OR(F222="L",F222="S",F222="I"),-1,1),"")</f>
        <v>0</v>
      </c>
      <c r="AM222" s="1030">
        <f t="shared" si="13"/>
        <v>0</v>
      </c>
      <c r="AN222" s="1030">
        <f>INDEX(G222:R222,1,MATCH(Parametres!$B$3,G$1:R$1,0))*IF(OR(F222="L",F222="S",F222="I"),-1,1)</f>
        <v>0</v>
      </c>
      <c r="AO222" s="598" t="e">
        <f>+VLOOKUP($AJ222,Data_Validation!$A:$D,1,0)</f>
        <v>#N/A</v>
      </c>
      <c r="AP222" s="598" t="e">
        <f>+VLOOKUP($AJ222,Data_Validation!$A:$D,3,0)</f>
        <v>#N/A</v>
      </c>
      <c r="AQ222" s="598" t="e">
        <f>+VLOOKUP($AJ222,Data_Validation!$A:$D,4,0)</f>
        <v>#N/A</v>
      </c>
      <c r="AR222" s="598" t="s">
        <v>299</v>
      </c>
      <c r="AS222" s="598" t="e">
        <f>+VLOOKUP($AJ222,Data_Validation!$A:$E,5,0)</f>
        <v>#N/A</v>
      </c>
      <c r="AT222" s="1036">
        <f t="shared" si="14"/>
        <v>0</v>
      </c>
      <c r="AU222" s="599">
        <f t="shared" si="14"/>
        <v>0</v>
      </c>
      <c r="AV222" s="1030">
        <f>IFERROR(INDEX(V222:AG222,1,MATCH(Parametres!$B$3,V$1:AG$1,0)-1)*IF(OR(C222="L",C222="S",C222="I"),-1,1),"")</f>
        <v>0</v>
      </c>
      <c r="AW222" s="1030">
        <f t="shared" si="15"/>
        <v>0</v>
      </c>
      <c r="AX222" s="1030">
        <f>INDEX(V222:AG222,1,MATCH(Parametres!$B$3,V$1:AG$1,0))*IF(OR(C222="L",C222="S",C222="I"),-1,1)</f>
        <v>0</v>
      </c>
      <c r="AY222" s="598" t="s">
        <v>337</v>
      </c>
      <c r="AZ222" s="598" t="e">
        <f>+VLOOKUP($AJ222,Data_Validation!$A:$E,5,0)</f>
        <v>#N/A</v>
      </c>
    </row>
    <row r="223" spans="36:52" ht="15" customHeight="1">
      <c r="AJ223" s="1030">
        <f t="shared" si="12"/>
        <v>0</v>
      </c>
      <c r="AK223" s="1030">
        <f t="shared" si="12"/>
        <v>0</v>
      </c>
      <c r="AL223" s="1030">
        <f>IFERROR(INDEX(G223:R223,1,MATCH(Parametres!$B$3,G$1:R$1,0)-1)*IF(OR(F223="L",F223="S",F223="I"),-1,1),"")</f>
        <v>0</v>
      </c>
      <c r="AM223" s="1030">
        <f t="shared" si="13"/>
        <v>0</v>
      </c>
      <c r="AN223" s="1030">
        <f>INDEX(G223:R223,1,MATCH(Parametres!$B$3,G$1:R$1,0))*IF(OR(F223="L",F223="S",F223="I"),-1,1)</f>
        <v>0</v>
      </c>
      <c r="AO223" s="598" t="e">
        <f>+VLOOKUP($AJ223,Data_Validation!$A:$D,1,0)</f>
        <v>#N/A</v>
      </c>
      <c r="AP223" s="598" t="e">
        <f>+VLOOKUP($AJ223,Data_Validation!$A:$D,3,0)</f>
        <v>#N/A</v>
      </c>
      <c r="AQ223" s="598" t="e">
        <f>+VLOOKUP($AJ223,Data_Validation!$A:$D,4,0)</f>
        <v>#N/A</v>
      </c>
      <c r="AR223" s="598" t="s">
        <v>299</v>
      </c>
      <c r="AS223" s="598" t="e">
        <f>+VLOOKUP($AJ223,Data_Validation!$A:$E,5,0)</f>
        <v>#N/A</v>
      </c>
      <c r="AT223" s="1036">
        <f t="shared" si="14"/>
        <v>0</v>
      </c>
      <c r="AU223" s="599">
        <f t="shared" si="14"/>
        <v>0</v>
      </c>
      <c r="AV223" s="1030">
        <f>IFERROR(INDEX(V223:AG223,1,MATCH(Parametres!$B$3,V$1:AG$1,0)-1)*IF(OR(C223="L",C223="S",C223="I"),-1,1),"")</f>
        <v>0</v>
      </c>
      <c r="AW223" s="1030">
        <f t="shared" si="15"/>
        <v>0</v>
      </c>
      <c r="AX223" s="1030">
        <f>INDEX(V223:AG223,1,MATCH(Parametres!$B$3,V$1:AG$1,0))*IF(OR(C223="L",C223="S",C223="I"),-1,1)</f>
        <v>0</v>
      </c>
      <c r="AY223" s="598" t="s">
        <v>337</v>
      </c>
      <c r="AZ223" s="598" t="e">
        <f>+VLOOKUP($AJ223,Data_Validation!$A:$E,5,0)</f>
        <v>#N/A</v>
      </c>
    </row>
    <row r="224" spans="36:52" ht="15" customHeight="1">
      <c r="AJ224" s="1030">
        <f t="shared" si="12"/>
        <v>0</v>
      </c>
      <c r="AK224" s="1030">
        <f t="shared" si="12"/>
        <v>0</v>
      </c>
      <c r="AL224" s="1030">
        <f>IFERROR(INDEX(G224:R224,1,MATCH(Parametres!$B$3,G$1:R$1,0)-1)*IF(OR(F224="L",F224="S",F224="I"),-1,1),"")</f>
        <v>0</v>
      </c>
      <c r="AM224" s="1030">
        <f t="shared" si="13"/>
        <v>0</v>
      </c>
      <c r="AN224" s="1030">
        <f>INDEX(G224:R224,1,MATCH(Parametres!$B$3,G$1:R$1,0))*IF(OR(F224="L",F224="S",F224="I"),-1,1)</f>
        <v>0</v>
      </c>
      <c r="AO224" s="598" t="e">
        <f>+VLOOKUP($AJ224,Data_Validation!$A:$D,1,0)</f>
        <v>#N/A</v>
      </c>
      <c r="AP224" s="598" t="e">
        <f>+VLOOKUP($AJ224,Data_Validation!$A:$D,3,0)</f>
        <v>#N/A</v>
      </c>
      <c r="AQ224" s="598" t="e">
        <f>+VLOOKUP($AJ224,Data_Validation!$A:$D,4,0)</f>
        <v>#N/A</v>
      </c>
      <c r="AR224" s="598" t="s">
        <v>299</v>
      </c>
      <c r="AS224" s="598" t="e">
        <f>+VLOOKUP($AJ224,Data_Validation!$A:$E,5,0)</f>
        <v>#N/A</v>
      </c>
      <c r="AT224" s="1036">
        <f t="shared" si="14"/>
        <v>0</v>
      </c>
      <c r="AU224" s="599">
        <f t="shared" si="14"/>
        <v>0</v>
      </c>
      <c r="AV224" s="1030">
        <f>IFERROR(INDEX(V224:AG224,1,MATCH(Parametres!$B$3,V$1:AG$1,0)-1)*IF(OR(C224="L",C224="S",C224="I"),-1,1),"")</f>
        <v>0</v>
      </c>
      <c r="AW224" s="1030">
        <f t="shared" si="15"/>
        <v>0</v>
      </c>
      <c r="AX224" s="1030">
        <f>INDEX(V224:AG224,1,MATCH(Parametres!$B$3,V$1:AG$1,0))*IF(OR(C224="L",C224="S",C224="I"),-1,1)</f>
        <v>0</v>
      </c>
      <c r="AY224" s="598" t="s">
        <v>337</v>
      </c>
      <c r="AZ224" s="598" t="e">
        <f>+VLOOKUP($AJ224,Data_Validation!$A:$E,5,0)</f>
        <v>#N/A</v>
      </c>
    </row>
    <row r="225" spans="36:52" ht="15.75" customHeight="1">
      <c r="AJ225" s="1030">
        <f t="shared" si="12"/>
        <v>0</v>
      </c>
      <c r="AK225" s="1030">
        <f t="shared" si="12"/>
        <v>0</v>
      </c>
      <c r="AL225" s="1030">
        <f>IFERROR(INDEX(G225:R225,1,MATCH(Parametres!$B$3,G$1:R$1,0)-1)*IF(OR(F225="L",F225="S",F225="I"),-1,1),"")</f>
        <v>0</v>
      </c>
      <c r="AM225" s="1030">
        <f t="shared" si="13"/>
        <v>0</v>
      </c>
      <c r="AN225" s="1030">
        <f>INDEX(G225:R225,1,MATCH(Parametres!$B$3,G$1:R$1,0))*IF(OR(F225="L",F225="S",F225="I"),-1,1)</f>
        <v>0</v>
      </c>
      <c r="AO225" s="598" t="e">
        <f>+VLOOKUP($AJ225,Data_Validation!$A:$D,1,0)</f>
        <v>#N/A</v>
      </c>
      <c r="AP225" s="598" t="e">
        <f>+VLOOKUP($AJ225,Data_Validation!$A:$D,3,0)</f>
        <v>#N/A</v>
      </c>
      <c r="AQ225" s="598" t="e">
        <f>+VLOOKUP($AJ225,Data_Validation!$A:$D,4,0)</f>
        <v>#N/A</v>
      </c>
      <c r="AR225" s="598" t="s">
        <v>299</v>
      </c>
      <c r="AS225" s="598" t="e">
        <f>+VLOOKUP($AJ225,Data_Validation!$A:$E,5,0)</f>
        <v>#N/A</v>
      </c>
      <c r="AT225" s="1036">
        <f t="shared" si="14"/>
        <v>0</v>
      </c>
      <c r="AU225" s="599">
        <f t="shared" si="14"/>
        <v>0</v>
      </c>
      <c r="AV225" s="1030">
        <f>IFERROR(INDEX(V225:AG225,1,MATCH(Parametres!$B$3,V$1:AG$1,0)-1)*IF(OR(C225="L",C225="S",C225="I"),-1,1),"")</f>
        <v>0</v>
      </c>
      <c r="AW225" s="1030">
        <f t="shared" si="15"/>
        <v>0</v>
      </c>
      <c r="AX225" s="1030">
        <f>INDEX(V225:AG225,1,MATCH(Parametres!$B$3,V$1:AG$1,0))*IF(OR(C225="L",C225="S",C225="I"),-1,1)</f>
        <v>0</v>
      </c>
      <c r="AY225" s="598" t="s">
        <v>337</v>
      </c>
      <c r="AZ225" s="598" t="e">
        <f>+VLOOKUP($AJ225,Data_Validation!$A:$E,5,0)</f>
        <v>#N/A</v>
      </c>
    </row>
    <row r="226" spans="36:52" ht="15" customHeight="1">
      <c r="AJ226" s="1030">
        <f t="shared" si="12"/>
        <v>0</v>
      </c>
      <c r="AK226" s="1030">
        <f t="shared" si="12"/>
        <v>0</v>
      </c>
      <c r="AL226" s="1030">
        <f>IFERROR(INDEX(G226:R226,1,MATCH(Parametres!$B$3,G$1:R$1,0)-1)*IF(OR(F226="L",F226="S",F226="I"),-1,1),"")</f>
        <v>0</v>
      </c>
      <c r="AM226" s="1030">
        <f t="shared" si="13"/>
        <v>0</v>
      </c>
      <c r="AN226" s="1030">
        <f>INDEX(G226:R226,1,MATCH(Parametres!$B$3,G$1:R$1,0))*IF(OR(F226="L",F226="S",F226="I"),-1,1)</f>
        <v>0</v>
      </c>
      <c r="AO226" s="598" t="e">
        <f>+VLOOKUP($AJ226,Data_Validation!$A:$D,1,0)</f>
        <v>#N/A</v>
      </c>
      <c r="AP226" s="598" t="e">
        <f>+VLOOKUP($AJ226,Data_Validation!$A:$D,3,0)</f>
        <v>#N/A</v>
      </c>
      <c r="AQ226" s="598" t="e">
        <f>+VLOOKUP($AJ226,Data_Validation!$A:$D,4,0)</f>
        <v>#N/A</v>
      </c>
      <c r="AR226" s="598" t="s">
        <v>299</v>
      </c>
      <c r="AS226" s="598" t="e">
        <f>+VLOOKUP($AJ226,Data_Validation!$A:$E,5,0)</f>
        <v>#N/A</v>
      </c>
      <c r="AT226" s="1036">
        <f t="shared" si="14"/>
        <v>0</v>
      </c>
      <c r="AU226" s="599">
        <f t="shared" si="14"/>
        <v>0</v>
      </c>
      <c r="AV226" s="1030">
        <f>IFERROR(INDEX(V226:AG226,1,MATCH(Parametres!$B$3,V$1:AG$1,0)-1)*IF(OR(C226="L",C226="S",C226="I"),-1,1),"")</f>
        <v>0</v>
      </c>
      <c r="AW226" s="1030">
        <f t="shared" si="15"/>
        <v>0</v>
      </c>
      <c r="AX226" s="1030">
        <f>INDEX(V226:AG226,1,MATCH(Parametres!$B$3,V$1:AG$1,0))*IF(OR(C226="L",C226="S",C226="I"),-1,1)</f>
        <v>0</v>
      </c>
      <c r="AY226" s="598" t="s">
        <v>337</v>
      </c>
      <c r="AZ226" s="598" t="e">
        <f>+VLOOKUP($AJ226,Data_Validation!$A:$E,5,0)</f>
        <v>#N/A</v>
      </c>
    </row>
    <row r="227" spans="36:52" ht="15" customHeight="1">
      <c r="AJ227" s="1030">
        <f t="shared" si="12"/>
        <v>0</v>
      </c>
      <c r="AK227" s="1030">
        <f t="shared" si="12"/>
        <v>0</v>
      </c>
      <c r="AL227" s="1030">
        <f>IFERROR(INDEX(G227:R227,1,MATCH(Parametres!$B$3,G$1:R$1,0)-1)*IF(OR(F227="L",F227="S",F227="I"),-1,1),"")</f>
        <v>0</v>
      </c>
      <c r="AM227" s="1030">
        <f t="shared" si="13"/>
        <v>0</v>
      </c>
      <c r="AN227" s="1030">
        <f>INDEX(G227:R227,1,MATCH(Parametres!$B$3,G$1:R$1,0))*IF(OR(F227="L",F227="S",F227="I"),-1,1)</f>
        <v>0</v>
      </c>
      <c r="AO227" s="598" t="e">
        <f>+VLOOKUP($AJ227,Data_Validation!$A:$D,1,0)</f>
        <v>#N/A</v>
      </c>
      <c r="AP227" s="598" t="e">
        <f>+VLOOKUP($AJ227,Data_Validation!$A:$D,3,0)</f>
        <v>#N/A</v>
      </c>
      <c r="AQ227" s="598" t="e">
        <f>+VLOOKUP($AJ227,Data_Validation!$A:$D,4,0)</f>
        <v>#N/A</v>
      </c>
      <c r="AR227" s="598" t="s">
        <v>299</v>
      </c>
      <c r="AS227" s="598" t="e">
        <f>+VLOOKUP($AJ227,Data_Validation!$A:$E,5,0)</f>
        <v>#N/A</v>
      </c>
      <c r="AT227" s="1036">
        <f t="shared" si="14"/>
        <v>0</v>
      </c>
      <c r="AU227" s="599">
        <f t="shared" si="14"/>
        <v>0</v>
      </c>
      <c r="AV227" s="1030">
        <f>IFERROR(INDEX(V227:AG227,1,MATCH(Parametres!$B$3,V$1:AG$1,0)-1)*IF(OR(C227="L",C227="S",C227="I"),-1,1),"")</f>
        <v>0</v>
      </c>
      <c r="AW227" s="1030">
        <f t="shared" si="15"/>
        <v>0</v>
      </c>
      <c r="AX227" s="1030">
        <f>INDEX(V227:AG227,1,MATCH(Parametres!$B$3,V$1:AG$1,0))*IF(OR(C227="L",C227="S",C227="I"),-1,1)</f>
        <v>0</v>
      </c>
      <c r="AY227" s="598" t="s">
        <v>337</v>
      </c>
      <c r="AZ227" s="598" t="e">
        <f>+VLOOKUP($AJ227,Data_Validation!$A:$E,5,0)</f>
        <v>#N/A</v>
      </c>
    </row>
    <row r="228" spans="36:52" ht="15" customHeight="1">
      <c r="AJ228" s="1030">
        <f t="shared" si="12"/>
        <v>0</v>
      </c>
      <c r="AK228" s="1030">
        <f t="shared" si="12"/>
        <v>0</v>
      </c>
      <c r="AL228" s="1030">
        <f>IFERROR(INDEX(G228:R228,1,MATCH(Parametres!$B$3,G$1:R$1,0)-1)*IF(OR(F228="L",F228="S",F228="I"),-1,1),"")</f>
        <v>0</v>
      </c>
      <c r="AM228" s="1030">
        <f t="shared" si="13"/>
        <v>0</v>
      </c>
      <c r="AN228" s="1030">
        <f>INDEX(G228:R228,1,MATCH(Parametres!$B$3,G$1:R$1,0))*IF(OR(F228="L",F228="S",F228="I"),-1,1)</f>
        <v>0</v>
      </c>
      <c r="AO228" s="598" t="e">
        <f>+VLOOKUP($AJ228,Data_Validation!$A:$D,1,0)</f>
        <v>#N/A</v>
      </c>
      <c r="AP228" s="598" t="e">
        <f>+VLOOKUP($AJ228,Data_Validation!$A:$D,3,0)</f>
        <v>#N/A</v>
      </c>
      <c r="AQ228" s="598" t="e">
        <f>+VLOOKUP($AJ228,Data_Validation!$A:$D,4,0)</f>
        <v>#N/A</v>
      </c>
      <c r="AR228" s="598" t="s">
        <v>299</v>
      </c>
      <c r="AS228" s="598" t="e">
        <f>+VLOOKUP($AJ228,Data_Validation!$A:$E,5,0)</f>
        <v>#N/A</v>
      </c>
      <c r="AT228" s="1036">
        <f t="shared" si="14"/>
        <v>0</v>
      </c>
      <c r="AU228" s="599">
        <f t="shared" si="14"/>
        <v>0</v>
      </c>
      <c r="AV228" s="1030">
        <f>IFERROR(INDEX(V228:AG228,1,MATCH(Parametres!$B$3,V$1:AG$1,0)-1)*IF(OR(C228="L",C228="S",C228="I"),-1,1),"")</f>
        <v>0</v>
      </c>
      <c r="AW228" s="1030">
        <f t="shared" si="15"/>
        <v>0</v>
      </c>
      <c r="AX228" s="1030">
        <f>INDEX(V228:AG228,1,MATCH(Parametres!$B$3,V$1:AG$1,0))*IF(OR(C228="L",C228="S",C228="I"),-1,1)</f>
        <v>0</v>
      </c>
      <c r="AY228" s="598" t="s">
        <v>337</v>
      </c>
      <c r="AZ228" s="598" t="e">
        <f>+VLOOKUP($AJ228,Data_Validation!$A:$E,5,0)</f>
        <v>#N/A</v>
      </c>
    </row>
    <row r="229" spans="36:52" ht="15.75" customHeight="1">
      <c r="AJ229" s="1030">
        <f t="shared" si="12"/>
        <v>0</v>
      </c>
      <c r="AK229" s="1030">
        <f t="shared" si="12"/>
        <v>0</v>
      </c>
      <c r="AL229" s="1030">
        <f>IFERROR(INDEX(G229:R229,1,MATCH(Parametres!$B$3,G$1:R$1,0)-1)*IF(OR(F229="L",F229="S",F229="I"),-1,1),"")</f>
        <v>0</v>
      </c>
      <c r="AM229" s="1030">
        <f t="shared" si="13"/>
        <v>0</v>
      </c>
      <c r="AN229" s="1030">
        <f>INDEX(G229:R229,1,MATCH(Parametres!$B$3,G$1:R$1,0))*IF(OR(F229="L",F229="S",F229="I"),-1,1)</f>
        <v>0</v>
      </c>
      <c r="AO229" s="598" t="e">
        <f>+VLOOKUP($AJ229,Data_Validation!$A:$D,1,0)</f>
        <v>#N/A</v>
      </c>
      <c r="AP229" s="598" t="e">
        <f>+VLOOKUP($AJ229,Data_Validation!$A:$D,3,0)</f>
        <v>#N/A</v>
      </c>
      <c r="AQ229" s="598" t="e">
        <f>+VLOOKUP($AJ229,Data_Validation!$A:$D,4,0)</f>
        <v>#N/A</v>
      </c>
      <c r="AR229" s="598" t="s">
        <v>299</v>
      </c>
      <c r="AS229" s="598" t="e">
        <f>+VLOOKUP($AJ229,Data_Validation!$A:$E,5,0)</f>
        <v>#N/A</v>
      </c>
      <c r="AT229" s="1036">
        <f t="shared" si="14"/>
        <v>0</v>
      </c>
      <c r="AU229" s="599">
        <f t="shared" si="14"/>
        <v>0</v>
      </c>
      <c r="AV229" s="1030">
        <f>IFERROR(INDEX(V229:AG229,1,MATCH(Parametres!$B$3,V$1:AG$1,0)-1)*IF(OR(C229="L",C229="S",C229="I"),-1,1),"")</f>
        <v>0</v>
      </c>
      <c r="AW229" s="1030">
        <f t="shared" si="15"/>
        <v>0</v>
      </c>
      <c r="AX229" s="1030">
        <f>INDEX(V229:AG229,1,MATCH(Parametres!$B$3,V$1:AG$1,0))*IF(OR(C229="L",C229="S",C229="I"),-1,1)</f>
        <v>0</v>
      </c>
      <c r="AY229" s="598" t="s">
        <v>337</v>
      </c>
      <c r="AZ229" s="598" t="e">
        <f>+VLOOKUP($AJ229,Data_Validation!$A:$E,5,0)</f>
        <v>#N/A</v>
      </c>
    </row>
    <row r="230" spans="36:52" ht="15" customHeight="1">
      <c r="AJ230" s="1030">
        <f t="shared" si="12"/>
        <v>0</v>
      </c>
      <c r="AK230" s="1030">
        <f t="shared" si="12"/>
        <v>0</v>
      </c>
      <c r="AL230" s="1030">
        <f>IFERROR(INDEX(G230:R230,1,MATCH(Parametres!$B$3,G$1:R$1,0)-1)*IF(OR(F230="L",F230="S",F230="I"),-1,1),"")</f>
        <v>0</v>
      </c>
      <c r="AM230" s="1030">
        <f t="shared" si="13"/>
        <v>0</v>
      </c>
      <c r="AN230" s="1030">
        <f>INDEX(G230:R230,1,MATCH(Parametres!$B$3,G$1:R$1,0))*IF(OR(F230="L",F230="S",F230="I"),-1,1)</f>
        <v>0</v>
      </c>
      <c r="AO230" s="598" t="e">
        <f>+VLOOKUP($AJ230,Data_Validation!$A:$D,1,0)</f>
        <v>#N/A</v>
      </c>
      <c r="AP230" s="598" t="e">
        <f>+VLOOKUP($AJ230,Data_Validation!$A:$D,3,0)</f>
        <v>#N/A</v>
      </c>
      <c r="AQ230" s="598" t="e">
        <f>+VLOOKUP($AJ230,Data_Validation!$A:$D,4,0)</f>
        <v>#N/A</v>
      </c>
      <c r="AR230" s="598" t="s">
        <v>299</v>
      </c>
      <c r="AS230" s="598" t="e">
        <f>+VLOOKUP($AJ230,Data_Validation!$A:$E,5,0)</f>
        <v>#N/A</v>
      </c>
      <c r="AT230" s="1036">
        <f t="shared" si="14"/>
        <v>0</v>
      </c>
      <c r="AU230" s="599">
        <f t="shared" si="14"/>
        <v>0</v>
      </c>
      <c r="AV230" s="1030">
        <f>IFERROR(INDEX(V230:AG230,1,MATCH(Parametres!$B$3,V$1:AG$1,0)-1)*IF(OR(C230="L",C230="S",C230="I"),-1,1),"")</f>
        <v>0</v>
      </c>
      <c r="AW230" s="1030">
        <f t="shared" si="15"/>
        <v>0</v>
      </c>
      <c r="AX230" s="1030">
        <f>INDEX(V230:AG230,1,MATCH(Parametres!$B$3,V$1:AG$1,0))*IF(OR(C230="L",C230="S",C230="I"),-1,1)</f>
        <v>0</v>
      </c>
      <c r="AY230" s="598" t="s">
        <v>337</v>
      </c>
      <c r="AZ230" s="598" t="e">
        <f>+VLOOKUP($AJ230,Data_Validation!$A:$E,5,0)</f>
        <v>#N/A</v>
      </c>
    </row>
    <row r="231" spans="36:52" ht="15" customHeight="1">
      <c r="AJ231" s="1030">
        <f t="shared" si="12"/>
        <v>0</v>
      </c>
      <c r="AK231" s="1030">
        <f t="shared" si="12"/>
        <v>0</v>
      </c>
      <c r="AL231" s="1030">
        <f>IFERROR(INDEX(G231:R231,1,MATCH(Parametres!$B$3,G$1:R$1,0)-1)*IF(OR(F231="L",F231="S",F231="I"),-1,1),"")</f>
        <v>0</v>
      </c>
      <c r="AM231" s="1030">
        <f t="shared" si="13"/>
        <v>0</v>
      </c>
      <c r="AN231" s="1030">
        <f>INDEX(G231:R231,1,MATCH(Parametres!$B$3,G$1:R$1,0))*IF(OR(F231="L",F231="S",F231="I"),-1,1)</f>
        <v>0</v>
      </c>
      <c r="AO231" s="598" t="e">
        <f>+VLOOKUP($AJ231,Data_Validation!$A:$D,1,0)</f>
        <v>#N/A</v>
      </c>
      <c r="AP231" s="598" t="e">
        <f>+VLOOKUP($AJ231,Data_Validation!$A:$D,3,0)</f>
        <v>#N/A</v>
      </c>
      <c r="AQ231" s="598" t="e">
        <f>+VLOOKUP($AJ231,Data_Validation!$A:$D,4,0)</f>
        <v>#N/A</v>
      </c>
      <c r="AR231" s="598" t="s">
        <v>299</v>
      </c>
      <c r="AS231" s="598" t="e">
        <f>+VLOOKUP($AJ231,Data_Validation!$A:$E,5,0)</f>
        <v>#N/A</v>
      </c>
      <c r="AT231" s="1036">
        <f t="shared" si="14"/>
        <v>0</v>
      </c>
      <c r="AU231" s="599">
        <f t="shared" si="14"/>
        <v>0</v>
      </c>
      <c r="AV231" s="1030">
        <f>IFERROR(INDEX(V231:AG231,1,MATCH(Parametres!$B$3,V$1:AG$1,0)-1)*IF(OR(C231="L",C231="S",C231="I"),-1,1),"")</f>
        <v>0</v>
      </c>
      <c r="AW231" s="1030">
        <f t="shared" si="15"/>
        <v>0</v>
      </c>
      <c r="AX231" s="1030">
        <f>INDEX(V231:AG231,1,MATCH(Parametres!$B$3,V$1:AG$1,0))*IF(OR(C231="L",C231="S",C231="I"),-1,1)</f>
        <v>0</v>
      </c>
      <c r="AY231" s="598" t="s">
        <v>337</v>
      </c>
      <c r="AZ231" s="598" t="e">
        <f>+VLOOKUP($AJ231,Data_Validation!$A:$E,5,0)</f>
        <v>#N/A</v>
      </c>
    </row>
    <row r="232" spans="36:52" ht="15" customHeight="1">
      <c r="AJ232" s="1030">
        <f t="shared" si="12"/>
        <v>0</v>
      </c>
      <c r="AK232" s="1030">
        <f t="shared" si="12"/>
        <v>0</v>
      </c>
      <c r="AL232" s="1030">
        <f>IFERROR(INDEX(G232:R232,1,MATCH(Parametres!$B$3,G$1:R$1,0)-1)*IF(OR(F232="L",F232="S",F232="I"),-1,1),"")</f>
        <v>0</v>
      </c>
      <c r="AM232" s="1030">
        <f t="shared" si="13"/>
        <v>0</v>
      </c>
      <c r="AN232" s="1030">
        <f>INDEX(G232:R232,1,MATCH(Parametres!$B$3,G$1:R$1,0))*IF(OR(F232="L",F232="S",F232="I"),-1,1)</f>
        <v>0</v>
      </c>
      <c r="AO232" s="598" t="e">
        <f>+VLOOKUP($AJ232,Data_Validation!$A:$D,1,0)</f>
        <v>#N/A</v>
      </c>
      <c r="AP232" s="598" t="e">
        <f>+VLOOKUP($AJ232,Data_Validation!$A:$D,3,0)</f>
        <v>#N/A</v>
      </c>
      <c r="AQ232" s="598" t="e">
        <f>+VLOOKUP($AJ232,Data_Validation!$A:$D,4,0)</f>
        <v>#N/A</v>
      </c>
      <c r="AR232" s="598" t="s">
        <v>299</v>
      </c>
      <c r="AS232" s="598" t="e">
        <f>+VLOOKUP($AJ232,Data_Validation!$A:$E,5,0)</f>
        <v>#N/A</v>
      </c>
      <c r="AT232" s="1036">
        <f t="shared" si="14"/>
        <v>0</v>
      </c>
      <c r="AU232" s="599">
        <f t="shared" si="14"/>
        <v>0</v>
      </c>
      <c r="AV232" s="1030">
        <f>IFERROR(INDEX(V232:AG232,1,MATCH(Parametres!$B$3,V$1:AG$1,0)-1)*IF(OR(C232="L",C232="S",C232="I"),-1,1),"")</f>
        <v>0</v>
      </c>
      <c r="AW232" s="1030">
        <f t="shared" si="15"/>
        <v>0</v>
      </c>
      <c r="AX232" s="1030">
        <f>INDEX(V232:AG232,1,MATCH(Parametres!$B$3,V$1:AG$1,0))*IF(OR(C232="L",C232="S",C232="I"),-1,1)</f>
        <v>0</v>
      </c>
      <c r="AY232" s="598" t="s">
        <v>337</v>
      </c>
      <c r="AZ232" s="598" t="e">
        <f>+VLOOKUP($AJ232,Data_Validation!$A:$E,5,0)</f>
        <v>#N/A</v>
      </c>
    </row>
    <row r="233" spans="36:52" ht="15" customHeight="1">
      <c r="AJ233" s="1030">
        <f t="shared" si="12"/>
        <v>0</v>
      </c>
      <c r="AK233" s="1030">
        <f t="shared" si="12"/>
        <v>0</v>
      </c>
      <c r="AL233" s="1030">
        <f>IFERROR(INDEX(G233:R233,1,MATCH(Parametres!$B$3,G$1:R$1,0)-1)*IF(OR(F233="L",F233="S",F233="I"),-1,1),"")</f>
        <v>0</v>
      </c>
      <c r="AM233" s="1030">
        <f t="shared" si="13"/>
        <v>0</v>
      </c>
      <c r="AN233" s="1030">
        <f>INDEX(G233:R233,1,MATCH(Parametres!$B$3,G$1:R$1,0))*IF(OR(F233="L",F233="S",F233="I"),-1,1)</f>
        <v>0</v>
      </c>
      <c r="AO233" s="598" t="e">
        <f>+VLOOKUP($AJ233,Data_Validation!$A:$D,1,0)</f>
        <v>#N/A</v>
      </c>
      <c r="AP233" s="598" t="e">
        <f>+VLOOKUP($AJ233,Data_Validation!$A:$D,3,0)</f>
        <v>#N/A</v>
      </c>
      <c r="AQ233" s="598" t="e">
        <f>+VLOOKUP($AJ233,Data_Validation!$A:$D,4,0)</f>
        <v>#N/A</v>
      </c>
      <c r="AR233" s="598" t="s">
        <v>299</v>
      </c>
      <c r="AS233" s="598" t="e">
        <f>+VLOOKUP($AJ233,Data_Validation!$A:$E,5,0)</f>
        <v>#N/A</v>
      </c>
      <c r="AT233" s="1036">
        <f t="shared" si="14"/>
        <v>0</v>
      </c>
      <c r="AU233" s="599">
        <f t="shared" si="14"/>
        <v>0</v>
      </c>
      <c r="AV233" s="1030">
        <f>IFERROR(INDEX(V233:AG233,1,MATCH(Parametres!$B$3,V$1:AG$1,0)-1)*IF(OR(C233="L",C233="S",C233="I"),-1,1),"")</f>
        <v>0</v>
      </c>
      <c r="AW233" s="1030">
        <f t="shared" si="15"/>
        <v>0</v>
      </c>
      <c r="AX233" s="1030">
        <f>INDEX(V233:AG233,1,MATCH(Parametres!$B$3,V$1:AG$1,0))*IF(OR(C233="L",C233="S",C233="I"),-1,1)</f>
        <v>0</v>
      </c>
      <c r="AY233" s="598" t="s">
        <v>337</v>
      </c>
      <c r="AZ233" s="598" t="e">
        <f>+VLOOKUP($AJ233,Data_Validation!$A:$E,5,0)</f>
        <v>#N/A</v>
      </c>
    </row>
    <row r="234" spans="36:52" ht="15.75" customHeight="1">
      <c r="AJ234" s="1030">
        <f t="shared" si="12"/>
        <v>0</v>
      </c>
      <c r="AK234" s="1030">
        <f t="shared" si="12"/>
        <v>0</v>
      </c>
      <c r="AL234" s="1030">
        <f>IFERROR(INDEX(G234:R234,1,MATCH(Parametres!$B$3,G$1:R$1,0)-1)*IF(OR(F234="L",F234="S",F234="I"),-1,1),"")</f>
        <v>0</v>
      </c>
      <c r="AM234" s="1030">
        <f t="shared" si="13"/>
        <v>0</v>
      </c>
      <c r="AN234" s="1030">
        <f>INDEX(G234:R234,1,MATCH(Parametres!$B$3,G$1:R$1,0))*IF(OR(F234="L",F234="S",F234="I"),-1,1)</f>
        <v>0</v>
      </c>
      <c r="AO234" s="598" t="e">
        <f>+VLOOKUP($AJ234,Data_Validation!$A:$D,1,0)</f>
        <v>#N/A</v>
      </c>
      <c r="AP234" s="598" t="e">
        <f>+VLOOKUP($AJ234,Data_Validation!$A:$D,3,0)</f>
        <v>#N/A</v>
      </c>
      <c r="AQ234" s="598" t="e">
        <f>+VLOOKUP($AJ234,Data_Validation!$A:$D,4,0)</f>
        <v>#N/A</v>
      </c>
      <c r="AR234" s="598" t="s">
        <v>299</v>
      </c>
      <c r="AS234" s="598" t="e">
        <f>+VLOOKUP($AJ234,Data_Validation!$A:$E,5,0)</f>
        <v>#N/A</v>
      </c>
      <c r="AT234" s="1036">
        <f t="shared" si="14"/>
        <v>0</v>
      </c>
      <c r="AU234" s="599">
        <f t="shared" si="14"/>
        <v>0</v>
      </c>
      <c r="AV234" s="1030">
        <f>IFERROR(INDEX(V234:AG234,1,MATCH(Parametres!$B$3,V$1:AG$1,0)-1)*IF(OR(C234="L",C234="S",C234="I"),-1,1),"")</f>
        <v>0</v>
      </c>
      <c r="AW234" s="1030">
        <f t="shared" si="15"/>
        <v>0</v>
      </c>
      <c r="AX234" s="1030">
        <f>INDEX(V234:AG234,1,MATCH(Parametres!$B$3,V$1:AG$1,0))*IF(OR(C234="L",C234="S",C234="I"),-1,1)</f>
        <v>0</v>
      </c>
      <c r="AY234" s="598" t="s">
        <v>337</v>
      </c>
      <c r="AZ234" s="598" t="e">
        <f>+VLOOKUP($AJ234,Data_Validation!$A:$E,5,0)</f>
        <v>#N/A</v>
      </c>
    </row>
    <row r="235" spans="36:52" ht="15" customHeight="1">
      <c r="AJ235" s="1030">
        <f t="shared" si="12"/>
        <v>0</v>
      </c>
      <c r="AK235" s="1030">
        <f t="shared" si="12"/>
        <v>0</v>
      </c>
      <c r="AL235" s="1030">
        <f>IFERROR(INDEX(G235:R235,1,MATCH(Parametres!$B$3,G$1:R$1,0)-1)*IF(OR(F235="L",F235="S",F235="I"),-1,1),"")</f>
        <v>0</v>
      </c>
      <c r="AM235" s="1030">
        <f t="shared" si="13"/>
        <v>0</v>
      </c>
      <c r="AN235" s="1030">
        <f>INDEX(G235:R235,1,MATCH(Parametres!$B$3,G$1:R$1,0))*IF(OR(F235="L",F235="S",F235="I"),-1,1)</f>
        <v>0</v>
      </c>
      <c r="AO235" s="598" t="e">
        <f>+VLOOKUP($AJ235,Data_Validation!$A:$D,1,0)</f>
        <v>#N/A</v>
      </c>
      <c r="AP235" s="598" t="e">
        <f>+VLOOKUP($AJ235,Data_Validation!$A:$D,3,0)</f>
        <v>#N/A</v>
      </c>
      <c r="AQ235" s="598" t="e">
        <f>+VLOOKUP($AJ235,Data_Validation!$A:$D,4,0)</f>
        <v>#N/A</v>
      </c>
      <c r="AR235" s="598" t="s">
        <v>299</v>
      </c>
      <c r="AS235" s="598" t="e">
        <f>+VLOOKUP($AJ235,Data_Validation!$A:$E,5,0)</f>
        <v>#N/A</v>
      </c>
      <c r="AT235" s="1036">
        <f t="shared" si="14"/>
        <v>0</v>
      </c>
      <c r="AU235" s="599">
        <f t="shared" si="14"/>
        <v>0</v>
      </c>
      <c r="AV235" s="1030">
        <f>IFERROR(INDEX(V235:AG235,1,MATCH(Parametres!$B$3,V$1:AG$1,0)-1)*IF(OR(C235="L",C235="S",C235="I"),-1,1),"")</f>
        <v>0</v>
      </c>
      <c r="AW235" s="1030">
        <f t="shared" si="15"/>
        <v>0</v>
      </c>
      <c r="AX235" s="1030">
        <f>INDEX(V235:AG235,1,MATCH(Parametres!$B$3,V$1:AG$1,0))*IF(OR(C235="L",C235="S",C235="I"),-1,1)</f>
        <v>0</v>
      </c>
      <c r="AY235" s="598" t="s">
        <v>337</v>
      </c>
      <c r="AZ235" s="598" t="e">
        <f>+VLOOKUP($AJ235,Data_Validation!$A:$E,5,0)</f>
        <v>#N/A</v>
      </c>
    </row>
    <row r="236" spans="36:52" ht="15" customHeight="1">
      <c r="AJ236" s="1030">
        <f t="shared" si="12"/>
        <v>0</v>
      </c>
      <c r="AK236" s="1030">
        <f t="shared" si="12"/>
        <v>0</v>
      </c>
      <c r="AL236" s="1030">
        <f>IFERROR(INDEX(G236:R236,1,MATCH(Parametres!$B$3,G$1:R$1,0)-1)*IF(OR(F236="L",F236="S",F236="I"),-1,1),"")</f>
        <v>0</v>
      </c>
      <c r="AM236" s="1030">
        <f t="shared" si="13"/>
        <v>0</v>
      </c>
      <c r="AN236" s="1030">
        <f>INDEX(G236:R236,1,MATCH(Parametres!$B$3,G$1:R$1,0))*IF(OR(F236="L",F236="S",F236="I"),-1,1)</f>
        <v>0</v>
      </c>
      <c r="AO236" s="598" t="e">
        <f>+VLOOKUP($AJ236,Data_Validation!$A:$D,1,0)</f>
        <v>#N/A</v>
      </c>
      <c r="AP236" s="598" t="e">
        <f>+VLOOKUP($AJ236,Data_Validation!$A:$D,3,0)</f>
        <v>#N/A</v>
      </c>
      <c r="AQ236" s="598" t="e">
        <f>+VLOOKUP($AJ236,Data_Validation!$A:$D,4,0)</f>
        <v>#N/A</v>
      </c>
      <c r="AR236" s="598" t="s">
        <v>299</v>
      </c>
      <c r="AS236" s="598" t="e">
        <f>+VLOOKUP($AJ236,Data_Validation!$A:$E,5,0)</f>
        <v>#N/A</v>
      </c>
      <c r="AT236" s="1036">
        <f t="shared" si="14"/>
        <v>0</v>
      </c>
      <c r="AU236" s="599">
        <f t="shared" si="14"/>
        <v>0</v>
      </c>
      <c r="AV236" s="1030">
        <f>IFERROR(INDEX(V236:AG236,1,MATCH(Parametres!$B$3,V$1:AG$1,0)-1)*IF(OR(C236="L",C236="S",C236="I"),-1,1),"")</f>
        <v>0</v>
      </c>
      <c r="AW236" s="1030">
        <f t="shared" si="15"/>
        <v>0</v>
      </c>
      <c r="AX236" s="1030">
        <f>INDEX(V236:AG236,1,MATCH(Parametres!$B$3,V$1:AG$1,0))*IF(OR(C236="L",C236="S",C236="I"),-1,1)</f>
        <v>0</v>
      </c>
      <c r="AY236" s="598" t="s">
        <v>337</v>
      </c>
      <c r="AZ236" s="598" t="e">
        <f>+VLOOKUP($AJ236,Data_Validation!$A:$E,5,0)</f>
        <v>#N/A</v>
      </c>
    </row>
    <row r="237" spans="36:52" ht="15" customHeight="1">
      <c r="AJ237" s="1030">
        <f t="shared" si="12"/>
        <v>0</v>
      </c>
      <c r="AK237" s="1030">
        <f t="shared" si="12"/>
        <v>0</v>
      </c>
      <c r="AL237" s="1030">
        <f>IFERROR(INDEX(G237:R237,1,MATCH(Parametres!$B$3,G$1:R$1,0)-1)*IF(OR(F237="L",F237="S",F237="I"),-1,1),"")</f>
        <v>0</v>
      </c>
      <c r="AM237" s="1030">
        <f t="shared" si="13"/>
        <v>0</v>
      </c>
      <c r="AN237" s="1030">
        <f>INDEX(G237:R237,1,MATCH(Parametres!$B$3,G$1:R$1,0))*IF(OR(F237="L",F237="S",F237="I"),-1,1)</f>
        <v>0</v>
      </c>
      <c r="AO237" s="598" t="e">
        <f>+VLOOKUP($AJ237,Data_Validation!$A:$D,1,0)</f>
        <v>#N/A</v>
      </c>
      <c r="AP237" s="598" t="e">
        <f>+VLOOKUP($AJ237,Data_Validation!$A:$D,3,0)</f>
        <v>#N/A</v>
      </c>
      <c r="AQ237" s="598" t="e">
        <f>+VLOOKUP($AJ237,Data_Validation!$A:$D,4,0)</f>
        <v>#N/A</v>
      </c>
      <c r="AR237" s="598" t="s">
        <v>299</v>
      </c>
      <c r="AS237" s="598" t="e">
        <f>+VLOOKUP($AJ237,Data_Validation!$A:$E,5,0)</f>
        <v>#N/A</v>
      </c>
      <c r="AT237" s="1036">
        <f t="shared" si="14"/>
        <v>0</v>
      </c>
      <c r="AU237" s="599">
        <f t="shared" si="14"/>
        <v>0</v>
      </c>
      <c r="AV237" s="1030">
        <f>IFERROR(INDEX(V237:AG237,1,MATCH(Parametres!$B$3,V$1:AG$1,0)-1)*IF(OR(C237="L",C237="S",C237="I"),-1,1),"")</f>
        <v>0</v>
      </c>
      <c r="AW237" s="1030">
        <f t="shared" si="15"/>
        <v>0</v>
      </c>
      <c r="AX237" s="1030">
        <f>INDEX(V237:AG237,1,MATCH(Parametres!$B$3,V$1:AG$1,0))*IF(OR(C237="L",C237="S",C237="I"),-1,1)</f>
        <v>0</v>
      </c>
      <c r="AY237" s="598" t="s">
        <v>337</v>
      </c>
      <c r="AZ237" s="598" t="e">
        <f>+VLOOKUP($AJ237,Data_Validation!$A:$E,5,0)</f>
        <v>#N/A</v>
      </c>
    </row>
    <row r="238" spans="36:52" ht="15.75" customHeight="1">
      <c r="AJ238" s="1030">
        <f t="shared" si="12"/>
        <v>0</v>
      </c>
      <c r="AK238" s="1030">
        <f t="shared" si="12"/>
        <v>0</v>
      </c>
      <c r="AL238" s="1030">
        <f>IFERROR(INDEX(G238:R238,1,MATCH(Parametres!$B$3,G$1:R$1,0)-1)*IF(OR(F238="L",F238="S",F238="I"),-1,1),"")</f>
        <v>0</v>
      </c>
      <c r="AM238" s="1030">
        <f t="shared" si="13"/>
        <v>0</v>
      </c>
      <c r="AN238" s="1030">
        <f>INDEX(G238:R238,1,MATCH(Parametres!$B$3,G$1:R$1,0))*IF(OR(F238="L",F238="S",F238="I"),-1,1)</f>
        <v>0</v>
      </c>
      <c r="AO238" s="598" t="e">
        <f>+VLOOKUP($AJ238,Data_Validation!$A:$D,1,0)</f>
        <v>#N/A</v>
      </c>
      <c r="AP238" s="598" t="e">
        <f>+VLOOKUP($AJ238,Data_Validation!$A:$D,3,0)</f>
        <v>#N/A</v>
      </c>
      <c r="AQ238" s="598" t="e">
        <f>+VLOOKUP($AJ238,Data_Validation!$A:$D,4,0)</f>
        <v>#N/A</v>
      </c>
      <c r="AR238" s="598" t="s">
        <v>299</v>
      </c>
      <c r="AS238" s="598" t="e">
        <f>+VLOOKUP($AJ238,Data_Validation!$A:$E,5,0)</f>
        <v>#N/A</v>
      </c>
      <c r="AT238" s="1036">
        <f t="shared" si="14"/>
        <v>0</v>
      </c>
      <c r="AU238" s="599">
        <f t="shared" si="14"/>
        <v>0</v>
      </c>
      <c r="AV238" s="1030">
        <f>IFERROR(INDEX(V238:AG238,1,MATCH(Parametres!$B$3,V$1:AG$1,0)-1)*IF(OR(C238="L",C238="S",C238="I"),-1,1),"")</f>
        <v>0</v>
      </c>
      <c r="AW238" s="1030">
        <f t="shared" si="15"/>
        <v>0</v>
      </c>
      <c r="AX238" s="1030">
        <f>INDEX(V238:AG238,1,MATCH(Parametres!$B$3,V$1:AG$1,0))*IF(OR(C238="L",C238="S",C238="I"),-1,1)</f>
        <v>0</v>
      </c>
      <c r="AY238" s="598" t="s">
        <v>337</v>
      </c>
      <c r="AZ238" s="598" t="e">
        <f>+VLOOKUP($AJ238,Data_Validation!$A:$E,5,0)</f>
        <v>#N/A</v>
      </c>
    </row>
    <row r="239" spans="36:52" ht="15" customHeight="1">
      <c r="AJ239" s="1030">
        <f t="shared" si="12"/>
        <v>0</v>
      </c>
      <c r="AK239" s="1030">
        <f t="shared" si="12"/>
        <v>0</v>
      </c>
      <c r="AL239" s="1030">
        <f>IFERROR(INDEX(G239:R239,1,MATCH(Parametres!$B$3,G$1:R$1,0)-1)*IF(OR(F239="L",F239="S",F239="I"),-1,1),"")</f>
        <v>0</v>
      </c>
      <c r="AM239" s="1030">
        <f t="shared" si="13"/>
        <v>0</v>
      </c>
      <c r="AN239" s="1030">
        <f>INDEX(G239:R239,1,MATCH(Parametres!$B$3,G$1:R$1,0))*IF(OR(F239="L",F239="S",F239="I"),-1,1)</f>
        <v>0</v>
      </c>
      <c r="AO239" s="598" t="e">
        <f>+VLOOKUP($AJ239,Data_Validation!$A:$D,1,0)</f>
        <v>#N/A</v>
      </c>
      <c r="AP239" s="598" t="e">
        <f>+VLOOKUP($AJ239,Data_Validation!$A:$D,3,0)</f>
        <v>#N/A</v>
      </c>
      <c r="AQ239" s="598" t="e">
        <f>+VLOOKUP($AJ239,Data_Validation!$A:$D,4,0)</f>
        <v>#N/A</v>
      </c>
      <c r="AR239" s="598" t="s">
        <v>299</v>
      </c>
      <c r="AS239" s="598" t="e">
        <f>+VLOOKUP($AJ239,Data_Validation!$A:$E,5,0)</f>
        <v>#N/A</v>
      </c>
      <c r="AT239" s="1036">
        <f t="shared" si="14"/>
        <v>0</v>
      </c>
      <c r="AU239" s="599">
        <f t="shared" si="14"/>
        <v>0</v>
      </c>
      <c r="AV239" s="1030">
        <f>IFERROR(INDEX(V239:AG239,1,MATCH(Parametres!$B$3,V$1:AG$1,0)-1)*IF(OR(C239="L",C239="S",C239="I"),-1,1),"")</f>
        <v>0</v>
      </c>
      <c r="AW239" s="1030">
        <f t="shared" si="15"/>
        <v>0</v>
      </c>
      <c r="AX239" s="1030">
        <f>INDEX(V239:AG239,1,MATCH(Parametres!$B$3,V$1:AG$1,0))*IF(OR(C239="L",C239="S",C239="I"),-1,1)</f>
        <v>0</v>
      </c>
      <c r="AY239" s="598" t="s">
        <v>337</v>
      </c>
      <c r="AZ239" s="598" t="e">
        <f>+VLOOKUP($AJ239,Data_Validation!$A:$E,5,0)</f>
        <v>#N/A</v>
      </c>
    </row>
    <row r="240" spans="36:52" ht="15" customHeight="1">
      <c r="AJ240" s="1030">
        <f t="shared" si="12"/>
        <v>0</v>
      </c>
      <c r="AK240" s="1030">
        <f t="shared" si="12"/>
        <v>0</v>
      </c>
      <c r="AL240" s="1030">
        <f>IFERROR(INDEX(G240:R240,1,MATCH(Parametres!$B$3,G$1:R$1,0)-1)*IF(OR(F240="L",F240="S",F240="I"),-1,1),"")</f>
        <v>0</v>
      </c>
      <c r="AM240" s="1030">
        <f t="shared" si="13"/>
        <v>0</v>
      </c>
      <c r="AN240" s="1030">
        <f>INDEX(G240:R240,1,MATCH(Parametres!$B$3,G$1:R$1,0))*IF(OR(F240="L",F240="S",F240="I"),-1,1)</f>
        <v>0</v>
      </c>
      <c r="AO240" s="598" t="e">
        <f>+VLOOKUP($AJ240,Data_Validation!$A:$D,1,0)</f>
        <v>#N/A</v>
      </c>
      <c r="AP240" s="598" t="e">
        <f>+VLOOKUP($AJ240,Data_Validation!$A:$D,3,0)</f>
        <v>#N/A</v>
      </c>
      <c r="AQ240" s="598" t="e">
        <f>+VLOOKUP($AJ240,Data_Validation!$A:$D,4,0)</f>
        <v>#N/A</v>
      </c>
      <c r="AR240" s="598" t="s">
        <v>299</v>
      </c>
      <c r="AS240" s="598" t="e">
        <f>+VLOOKUP($AJ240,Data_Validation!$A:$E,5,0)</f>
        <v>#N/A</v>
      </c>
      <c r="AT240" s="1036">
        <f t="shared" si="14"/>
        <v>0</v>
      </c>
      <c r="AU240" s="599">
        <f t="shared" si="14"/>
        <v>0</v>
      </c>
      <c r="AV240" s="1030">
        <f>IFERROR(INDEX(V240:AG240,1,MATCH(Parametres!$B$3,V$1:AG$1,0)-1)*IF(OR(C240="L",C240="S",C240="I"),-1,1),"")</f>
        <v>0</v>
      </c>
      <c r="AW240" s="1030">
        <f t="shared" si="15"/>
        <v>0</v>
      </c>
      <c r="AX240" s="1030">
        <f>INDEX(V240:AG240,1,MATCH(Parametres!$B$3,V$1:AG$1,0))*IF(OR(C240="L",C240="S",C240="I"),-1,1)</f>
        <v>0</v>
      </c>
      <c r="AY240" s="598" t="s">
        <v>337</v>
      </c>
      <c r="AZ240" s="598" t="e">
        <f>+VLOOKUP($AJ240,Data_Validation!$A:$E,5,0)</f>
        <v>#N/A</v>
      </c>
    </row>
    <row r="241" spans="36:52" ht="15" customHeight="1">
      <c r="AJ241" s="1030">
        <f t="shared" si="12"/>
        <v>0</v>
      </c>
      <c r="AK241" s="1030">
        <f t="shared" si="12"/>
        <v>0</v>
      </c>
      <c r="AL241" s="1030">
        <f>IFERROR(INDEX(G241:R241,1,MATCH(Parametres!$B$3,G$1:R$1,0)-1)*IF(OR(F241="L",F241="S",F241="I"),-1,1),"")</f>
        <v>0</v>
      </c>
      <c r="AM241" s="1030">
        <f t="shared" si="13"/>
        <v>0</v>
      </c>
      <c r="AN241" s="1030">
        <f>INDEX(G241:R241,1,MATCH(Parametres!$B$3,G$1:R$1,0))*IF(OR(F241="L",F241="S",F241="I"),-1,1)</f>
        <v>0</v>
      </c>
      <c r="AO241" s="598" t="e">
        <f>+VLOOKUP($AJ241,Data_Validation!$A:$D,1,0)</f>
        <v>#N/A</v>
      </c>
      <c r="AP241" s="598" t="e">
        <f>+VLOOKUP($AJ241,Data_Validation!$A:$D,3,0)</f>
        <v>#N/A</v>
      </c>
      <c r="AQ241" s="598" t="e">
        <f>+VLOOKUP($AJ241,Data_Validation!$A:$D,4,0)</f>
        <v>#N/A</v>
      </c>
      <c r="AR241" s="598" t="s">
        <v>299</v>
      </c>
      <c r="AS241" s="598" t="e">
        <f>+VLOOKUP($AJ241,Data_Validation!$A:$E,5,0)</f>
        <v>#N/A</v>
      </c>
      <c r="AT241" s="1036">
        <f t="shared" si="14"/>
        <v>0</v>
      </c>
      <c r="AU241" s="599">
        <f t="shared" si="14"/>
        <v>0</v>
      </c>
      <c r="AV241" s="1030">
        <f>IFERROR(INDEX(V241:AG241,1,MATCH(Parametres!$B$3,V$1:AG$1,0)-1)*IF(OR(C241="L",C241="S",C241="I"),-1,1),"")</f>
        <v>0</v>
      </c>
      <c r="AW241" s="1030">
        <f t="shared" si="15"/>
        <v>0</v>
      </c>
      <c r="AX241" s="1030">
        <f>INDEX(V241:AG241,1,MATCH(Parametres!$B$3,V$1:AG$1,0))*IF(OR(C241="L",C241="S",C241="I"),-1,1)</f>
        <v>0</v>
      </c>
      <c r="AY241" s="598" t="s">
        <v>337</v>
      </c>
      <c r="AZ241" s="598" t="e">
        <f>+VLOOKUP($AJ241,Data_Validation!$A:$E,5,0)</f>
        <v>#N/A</v>
      </c>
    </row>
    <row r="242" spans="36:52" ht="15" customHeight="1">
      <c r="AJ242" s="1030">
        <f t="shared" si="12"/>
        <v>0</v>
      </c>
      <c r="AK242" s="1030">
        <f t="shared" si="12"/>
        <v>0</v>
      </c>
      <c r="AL242" s="1030">
        <f>IFERROR(INDEX(G242:R242,1,MATCH(Parametres!$B$3,G$1:R$1,0)-1)*IF(OR(F242="L",F242="S",F242="I"),-1,1),"")</f>
        <v>0</v>
      </c>
      <c r="AM242" s="1030">
        <f t="shared" si="13"/>
        <v>0</v>
      </c>
      <c r="AN242" s="1030">
        <f>INDEX(G242:R242,1,MATCH(Parametres!$B$3,G$1:R$1,0))*IF(OR(F242="L",F242="S",F242="I"),-1,1)</f>
        <v>0</v>
      </c>
      <c r="AO242" s="598" t="e">
        <f>+VLOOKUP($AJ242,Data_Validation!$A:$D,1,0)</f>
        <v>#N/A</v>
      </c>
      <c r="AP242" s="598" t="e">
        <f>+VLOOKUP($AJ242,Data_Validation!$A:$D,3,0)</f>
        <v>#N/A</v>
      </c>
      <c r="AQ242" s="598" t="e">
        <f>+VLOOKUP($AJ242,Data_Validation!$A:$D,4,0)</f>
        <v>#N/A</v>
      </c>
      <c r="AR242" s="598" t="s">
        <v>299</v>
      </c>
      <c r="AS242" s="598" t="e">
        <f>+VLOOKUP($AJ242,Data_Validation!$A:$E,5,0)</f>
        <v>#N/A</v>
      </c>
      <c r="AT242" s="1036">
        <f t="shared" si="14"/>
        <v>0</v>
      </c>
      <c r="AU242" s="599">
        <f t="shared" si="14"/>
        <v>0</v>
      </c>
      <c r="AV242" s="1030">
        <f>IFERROR(INDEX(V242:AG242,1,MATCH(Parametres!$B$3,V$1:AG$1,0)-1)*IF(OR(C242="L",C242="S",C242="I"),-1,1),"")</f>
        <v>0</v>
      </c>
      <c r="AW242" s="1030">
        <f t="shared" si="15"/>
        <v>0</v>
      </c>
      <c r="AX242" s="1030">
        <f>INDEX(V242:AG242,1,MATCH(Parametres!$B$3,V$1:AG$1,0))*IF(OR(C242="L",C242="S",C242="I"),-1,1)</f>
        <v>0</v>
      </c>
      <c r="AY242" s="598" t="s">
        <v>337</v>
      </c>
      <c r="AZ242" s="598" t="e">
        <f>+VLOOKUP($AJ242,Data_Validation!$A:$E,5,0)</f>
        <v>#N/A</v>
      </c>
    </row>
    <row r="243" spans="36:52" ht="15.75" customHeight="1">
      <c r="AJ243" s="1030">
        <f t="shared" si="12"/>
        <v>0</v>
      </c>
      <c r="AK243" s="1030">
        <f t="shared" si="12"/>
        <v>0</v>
      </c>
      <c r="AL243" s="1030">
        <f>IFERROR(INDEX(G243:R243,1,MATCH(Parametres!$B$3,G$1:R$1,0)-1)*IF(OR(F243="L",F243="S",F243="I"),-1,1),"")</f>
        <v>0</v>
      </c>
      <c r="AM243" s="1030">
        <f t="shared" si="13"/>
        <v>0</v>
      </c>
      <c r="AN243" s="1030">
        <f>INDEX(G243:R243,1,MATCH(Parametres!$B$3,G$1:R$1,0))*IF(OR(F243="L",F243="S",F243="I"),-1,1)</f>
        <v>0</v>
      </c>
      <c r="AO243" s="598" t="e">
        <f>+VLOOKUP($AJ243,Data_Validation!$A:$D,1,0)</f>
        <v>#N/A</v>
      </c>
      <c r="AP243" s="598" t="e">
        <f>+VLOOKUP($AJ243,Data_Validation!$A:$D,3,0)</f>
        <v>#N/A</v>
      </c>
      <c r="AQ243" s="598" t="e">
        <f>+VLOOKUP($AJ243,Data_Validation!$A:$D,4,0)</f>
        <v>#N/A</v>
      </c>
      <c r="AR243" s="598" t="s">
        <v>299</v>
      </c>
      <c r="AS243" s="598" t="e">
        <f>+VLOOKUP($AJ243,Data_Validation!$A:$E,5,0)</f>
        <v>#N/A</v>
      </c>
      <c r="AT243" s="1036">
        <f t="shared" si="14"/>
        <v>0</v>
      </c>
      <c r="AU243" s="599">
        <f t="shared" si="14"/>
        <v>0</v>
      </c>
      <c r="AV243" s="1030">
        <f>IFERROR(INDEX(V243:AG243,1,MATCH(Parametres!$B$3,V$1:AG$1,0)-1)*IF(OR(C243="L",C243="S",C243="I"),-1,1),"")</f>
        <v>0</v>
      </c>
      <c r="AW243" s="1030">
        <f t="shared" si="15"/>
        <v>0</v>
      </c>
      <c r="AX243" s="1030">
        <f>INDEX(V243:AG243,1,MATCH(Parametres!$B$3,V$1:AG$1,0))*IF(OR(C243="L",C243="S",C243="I"),-1,1)</f>
        <v>0</v>
      </c>
      <c r="AY243" s="598" t="s">
        <v>337</v>
      </c>
      <c r="AZ243" s="598" t="e">
        <f>+VLOOKUP($AJ243,Data_Validation!$A:$E,5,0)</f>
        <v>#N/A</v>
      </c>
    </row>
    <row r="244" spans="36:52" ht="15" customHeight="1">
      <c r="AJ244" s="1030">
        <f t="shared" si="12"/>
        <v>0</v>
      </c>
      <c r="AK244" s="1030">
        <f t="shared" si="12"/>
        <v>0</v>
      </c>
      <c r="AL244" s="1030">
        <f>IFERROR(INDEX(G244:R244,1,MATCH(Parametres!$B$3,G$1:R$1,0)-1)*IF(OR(F244="L",F244="S",F244="I"),-1,1),"")</f>
        <v>0</v>
      </c>
      <c r="AM244" s="1030">
        <f t="shared" si="13"/>
        <v>0</v>
      </c>
      <c r="AN244" s="1030">
        <f>INDEX(G244:R244,1,MATCH(Parametres!$B$3,G$1:R$1,0))*IF(OR(F244="L",F244="S",F244="I"),-1,1)</f>
        <v>0</v>
      </c>
      <c r="AO244" s="598" t="e">
        <f>+VLOOKUP($AJ244,Data_Validation!$A:$D,1,0)</f>
        <v>#N/A</v>
      </c>
      <c r="AP244" s="598" t="e">
        <f>+VLOOKUP($AJ244,Data_Validation!$A:$D,3,0)</f>
        <v>#N/A</v>
      </c>
      <c r="AQ244" s="598" t="e">
        <f>+VLOOKUP($AJ244,Data_Validation!$A:$D,4,0)</f>
        <v>#N/A</v>
      </c>
      <c r="AR244" s="598" t="s">
        <v>299</v>
      </c>
      <c r="AS244" s="598" t="e">
        <f>+VLOOKUP($AJ244,Data_Validation!$A:$E,5,0)</f>
        <v>#N/A</v>
      </c>
      <c r="AT244" s="1036">
        <f t="shared" si="14"/>
        <v>0</v>
      </c>
      <c r="AU244" s="599">
        <f t="shared" si="14"/>
        <v>0</v>
      </c>
      <c r="AV244" s="1030">
        <f>IFERROR(INDEX(V244:AG244,1,MATCH(Parametres!$B$3,V$1:AG$1,0)-1)*IF(OR(C244="L",C244="S",C244="I"),-1,1),"")</f>
        <v>0</v>
      </c>
      <c r="AW244" s="1030">
        <f t="shared" si="15"/>
        <v>0</v>
      </c>
      <c r="AX244" s="1030">
        <f>INDEX(V244:AG244,1,MATCH(Parametres!$B$3,V$1:AG$1,0))*IF(OR(C244="L",C244="S",C244="I"),-1,1)</f>
        <v>0</v>
      </c>
      <c r="AY244" s="598" t="s">
        <v>337</v>
      </c>
      <c r="AZ244" s="598" t="e">
        <f>+VLOOKUP($AJ244,Data_Validation!$A:$E,5,0)</f>
        <v>#N/A</v>
      </c>
    </row>
    <row r="245" spans="36:52" ht="15" customHeight="1">
      <c r="AJ245" s="1030">
        <f t="shared" si="12"/>
        <v>0</v>
      </c>
      <c r="AK245" s="1030">
        <f t="shared" si="12"/>
        <v>0</v>
      </c>
      <c r="AL245" s="1030">
        <f>IFERROR(INDEX(G245:R245,1,MATCH(Parametres!$B$3,G$1:R$1,0)-1)*IF(OR(F245="L",F245="S",F245="I"),-1,1),"")</f>
        <v>0</v>
      </c>
      <c r="AM245" s="1030">
        <f t="shared" si="13"/>
        <v>0</v>
      </c>
      <c r="AN245" s="1030">
        <f>INDEX(G245:R245,1,MATCH(Parametres!$B$3,G$1:R$1,0))*IF(OR(F245="L",F245="S",F245="I"),-1,1)</f>
        <v>0</v>
      </c>
      <c r="AO245" s="598" t="e">
        <f>+VLOOKUP($AJ245,Data_Validation!$A:$D,1,0)</f>
        <v>#N/A</v>
      </c>
      <c r="AP245" s="598" t="e">
        <f>+VLOOKUP($AJ245,Data_Validation!$A:$D,3,0)</f>
        <v>#N/A</v>
      </c>
      <c r="AQ245" s="598" t="e">
        <f>+VLOOKUP($AJ245,Data_Validation!$A:$D,4,0)</f>
        <v>#N/A</v>
      </c>
      <c r="AR245" s="598" t="s">
        <v>299</v>
      </c>
      <c r="AS245" s="598" t="e">
        <f>+VLOOKUP($AJ245,Data_Validation!$A:$E,5,0)</f>
        <v>#N/A</v>
      </c>
      <c r="AT245" s="1036">
        <f t="shared" si="14"/>
        <v>0</v>
      </c>
      <c r="AU245" s="599">
        <f t="shared" si="14"/>
        <v>0</v>
      </c>
      <c r="AV245" s="1030">
        <f>IFERROR(INDEX(V245:AG245,1,MATCH(Parametres!$B$3,V$1:AG$1,0)-1)*IF(OR(C245="L",C245="S",C245="I"),-1,1),"")</f>
        <v>0</v>
      </c>
      <c r="AW245" s="1030">
        <f t="shared" si="15"/>
        <v>0</v>
      </c>
      <c r="AX245" s="1030">
        <f>INDEX(V245:AG245,1,MATCH(Parametres!$B$3,V$1:AG$1,0))*IF(OR(C245="L",C245="S",C245="I"),-1,1)</f>
        <v>0</v>
      </c>
      <c r="AY245" s="598" t="s">
        <v>337</v>
      </c>
      <c r="AZ245" s="598" t="e">
        <f>+VLOOKUP($AJ245,Data_Validation!$A:$E,5,0)</f>
        <v>#N/A</v>
      </c>
    </row>
    <row r="246" spans="36:52" ht="15" customHeight="1">
      <c r="AJ246" s="1030">
        <f t="shared" si="12"/>
        <v>0</v>
      </c>
      <c r="AK246" s="1030">
        <f t="shared" si="12"/>
        <v>0</v>
      </c>
      <c r="AL246" s="1030">
        <f>IFERROR(INDEX(G246:R246,1,MATCH(Parametres!$B$3,G$1:R$1,0)-1)*IF(OR(F246="L",F246="S",F246="I"),-1,1),"")</f>
        <v>0</v>
      </c>
      <c r="AM246" s="1030">
        <f t="shared" si="13"/>
        <v>0</v>
      </c>
      <c r="AN246" s="1030">
        <f>INDEX(G246:R246,1,MATCH(Parametres!$B$3,G$1:R$1,0))*IF(OR(F246="L",F246="S",F246="I"),-1,1)</f>
        <v>0</v>
      </c>
      <c r="AO246" s="598" t="e">
        <f>+VLOOKUP($AJ246,Data_Validation!$A:$D,1,0)</f>
        <v>#N/A</v>
      </c>
      <c r="AP246" s="598" t="e">
        <f>+VLOOKUP($AJ246,Data_Validation!$A:$D,3,0)</f>
        <v>#N/A</v>
      </c>
      <c r="AQ246" s="598" t="e">
        <f>+VLOOKUP($AJ246,Data_Validation!$A:$D,4,0)</f>
        <v>#N/A</v>
      </c>
      <c r="AR246" s="598" t="s">
        <v>299</v>
      </c>
      <c r="AS246" s="598" t="e">
        <f>+VLOOKUP($AJ246,Data_Validation!$A:$E,5,0)</f>
        <v>#N/A</v>
      </c>
      <c r="AT246" s="1036">
        <f t="shared" si="14"/>
        <v>0</v>
      </c>
      <c r="AU246" s="599">
        <f t="shared" si="14"/>
        <v>0</v>
      </c>
      <c r="AV246" s="1030">
        <f>IFERROR(INDEX(V246:AG246,1,MATCH(Parametres!$B$3,V$1:AG$1,0)-1)*IF(OR(C246="L",C246="S",C246="I"),-1,1),"")</f>
        <v>0</v>
      </c>
      <c r="AW246" s="1030">
        <f t="shared" si="15"/>
        <v>0</v>
      </c>
      <c r="AX246" s="1030">
        <f>INDEX(V246:AG246,1,MATCH(Parametres!$B$3,V$1:AG$1,0))*IF(OR(C246="L",C246="S",C246="I"),-1,1)</f>
        <v>0</v>
      </c>
      <c r="AY246" s="598" t="s">
        <v>337</v>
      </c>
      <c r="AZ246" s="598" t="e">
        <f>+VLOOKUP($AJ246,Data_Validation!$A:$E,5,0)</f>
        <v>#N/A</v>
      </c>
    </row>
    <row r="247" spans="36:52" ht="15.75" customHeight="1">
      <c r="AJ247" s="1030">
        <f t="shared" si="12"/>
        <v>0</v>
      </c>
      <c r="AK247" s="1030">
        <f t="shared" si="12"/>
        <v>0</v>
      </c>
      <c r="AL247" s="1030">
        <f>IFERROR(INDEX(G247:R247,1,MATCH(Parametres!$B$3,G$1:R$1,0)-1)*IF(OR(F247="L",F247="S",F247="I"),-1,1),"")</f>
        <v>0</v>
      </c>
      <c r="AM247" s="1030">
        <f t="shared" si="13"/>
        <v>0</v>
      </c>
      <c r="AN247" s="1030">
        <f>INDEX(G247:R247,1,MATCH(Parametres!$B$3,G$1:R$1,0))*IF(OR(F247="L",F247="S",F247="I"),-1,1)</f>
        <v>0</v>
      </c>
      <c r="AO247" s="598" t="e">
        <f>+VLOOKUP($AJ247,Data_Validation!$A:$D,1,0)</f>
        <v>#N/A</v>
      </c>
      <c r="AP247" s="598" t="e">
        <f>+VLOOKUP($AJ247,Data_Validation!$A:$D,3,0)</f>
        <v>#N/A</v>
      </c>
      <c r="AQ247" s="598" t="e">
        <f>+VLOOKUP($AJ247,Data_Validation!$A:$D,4,0)</f>
        <v>#N/A</v>
      </c>
      <c r="AR247" s="598" t="s">
        <v>299</v>
      </c>
      <c r="AS247" s="598" t="e">
        <f>+VLOOKUP($AJ247,Data_Validation!$A:$E,5,0)</f>
        <v>#N/A</v>
      </c>
      <c r="AT247" s="1036">
        <f t="shared" si="14"/>
        <v>0</v>
      </c>
      <c r="AU247" s="599">
        <f t="shared" si="14"/>
        <v>0</v>
      </c>
      <c r="AV247" s="1030">
        <f>IFERROR(INDEX(V247:AG247,1,MATCH(Parametres!$B$3,V$1:AG$1,0)-1)*IF(OR(C247="L",C247="S",C247="I"),-1,1),"")</f>
        <v>0</v>
      </c>
      <c r="AW247" s="1030">
        <f t="shared" si="15"/>
        <v>0</v>
      </c>
      <c r="AX247" s="1030">
        <f>INDEX(V247:AG247,1,MATCH(Parametres!$B$3,V$1:AG$1,0))*IF(OR(C247="L",C247="S",C247="I"),-1,1)</f>
        <v>0</v>
      </c>
      <c r="AY247" s="598" t="s">
        <v>337</v>
      </c>
      <c r="AZ247" s="598" t="e">
        <f>+VLOOKUP($AJ247,Data_Validation!$A:$E,5,0)</f>
        <v>#N/A</v>
      </c>
    </row>
    <row r="248" spans="36:52" ht="15" customHeight="1">
      <c r="AJ248" s="1030">
        <f t="shared" si="12"/>
        <v>0</v>
      </c>
      <c r="AK248" s="1030">
        <f t="shared" si="12"/>
        <v>0</v>
      </c>
      <c r="AL248" s="1030">
        <f>IFERROR(INDEX(G248:R248,1,MATCH(Parametres!$B$3,G$1:R$1,0)-1)*IF(OR(F248="L",F248="S",F248="I"),-1,1),"")</f>
        <v>0</v>
      </c>
      <c r="AM248" s="1030">
        <f t="shared" si="13"/>
        <v>0</v>
      </c>
      <c r="AN248" s="1030">
        <f>INDEX(G248:R248,1,MATCH(Parametres!$B$3,G$1:R$1,0))*IF(OR(F248="L",F248="S",F248="I"),-1,1)</f>
        <v>0</v>
      </c>
      <c r="AO248" s="598" t="e">
        <f>+VLOOKUP($AJ248,Data_Validation!$A:$D,1,0)</f>
        <v>#N/A</v>
      </c>
      <c r="AP248" s="598" t="e">
        <f>+VLOOKUP($AJ248,Data_Validation!$A:$D,3,0)</f>
        <v>#N/A</v>
      </c>
      <c r="AQ248" s="598" t="e">
        <f>+VLOOKUP($AJ248,Data_Validation!$A:$D,4,0)</f>
        <v>#N/A</v>
      </c>
      <c r="AR248" s="598" t="s">
        <v>299</v>
      </c>
      <c r="AS248" s="598" t="e">
        <f>+VLOOKUP($AJ248,Data_Validation!$A:$E,5,0)</f>
        <v>#N/A</v>
      </c>
      <c r="AT248" s="1036">
        <f t="shared" si="14"/>
        <v>0</v>
      </c>
      <c r="AU248" s="599">
        <f t="shared" si="14"/>
        <v>0</v>
      </c>
      <c r="AV248" s="1030">
        <f>IFERROR(INDEX(V248:AG248,1,MATCH(Parametres!$B$3,V$1:AG$1,0)-1)*IF(OR(C248="L",C248="S",C248="I"),-1,1),"")</f>
        <v>0</v>
      </c>
      <c r="AW248" s="1030">
        <f t="shared" si="15"/>
        <v>0</v>
      </c>
      <c r="AX248" s="1030">
        <f>INDEX(V248:AG248,1,MATCH(Parametres!$B$3,V$1:AG$1,0))*IF(OR(C248="L",C248="S",C248="I"),-1,1)</f>
        <v>0</v>
      </c>
      <c r="AY248" s="598" t="s">
        <v>337</v>
      </c>
      <c r="AZ248" s="598" t="e">
        <f>+VLOOKUP($AJ248,Data_Validation!$A:$E,5,0)</f>
        <v>#N/A</v>
      </c>
    </row>
    <row r="249" spans="36:52" ht="15" customHeight="1">
      <c r="AJ249" s="1030">
        <f t="shared" si="12"/>
        <v>0</v>
      </c>
      <c r="AK249" s="1030">
        <f t="shared" si="12"/>
        <v>0</v>
      </c>
      <c r="AL249" s="1030">
        <f>IFERROR(INDEX(G249:R249,1,MATCH(Parametres!$B$3,G$1:R$1,0)-1)*IF(OR(F249="L",F249="S",F249="I"),-1,1),"")</f>
        <v>0</v>
      </c>
      <c r="AM249" s="1030">
        <f t="shared" si="13"/>
        <v>0</v>
      </c>
      <c r="AN249" s="1030">
        <f>INDEX(G249:R249,1,MATCH(Parametres!$B$3,G$1:R$1,0))*IF(OR(F249="L",F249="S",F249="I"),-1,1)</f>
        <v>0</v>
      </c>
      <c r="AO249" s="598" t="e">
        <f>+VLOOKUP($AJ249,Data_Validation!$A:$D,1,0)</f>
        <v>#N/A</v>
      </c>
      <c r="AP249" s="598" t="e">
        <f>+VLOOKUP($AJ249,Data_Validation!$A:$D,3,0)</f>
        <v>#N/A</v>
      </c>
      <c r="AQ249" s="598" t="e">
        <f>+VLOOKUP($AJ249,Data_Validation!$A:$D,4,0)</f>
        <v>#N/A</v>
      </c>
      <c r="AR249" s="598" t="s">
        <v>299</v>
      </c>
      <c r="AS249" s="598" t="e">
        <f>+VLOOKUP($AJ249,Data_Validation!$A:$E,5,0)</f>
        <v>#N/A</v>
      </c>
      <c r="AT249" s="1036">
        <f t="shared" si="14"/>
        <v>0</v>
      </c>
      <c r="AU249" s="599">
        <f t="shared" si="14"/>
        <v>0</v>
      </c>
      <c r="AV249" s="1030">
        <f>IFERROR(INDEX(V249:AG249,1,MATCH(Parametres!$B$3,V$1:AG$1,0)-1)*IF(OR(C249="L",C249="S",C249="I"),-1,1),"")</f>
        <v>0</v>
      </c>
      <c r="AW249" s="1030">
        <f t="shared" si="15"/>
        <v>0</v>
      </c>
      <c r="AX249" s="1030">
        <f>INDEX(V249:AG249,1,MATCH(Parametres!$B$3,V$1:AG$1,0))*IF(OR(C249="L",C249="S",C249="I"),-1,1)</f>
        <v>0</v>
      </c>
      <c r="AY249" s="598" t="s">
        <v>337</v>
      </c>
      <c r="AZ249" s="598" t="e">
        <f>+VLOOKUP($AJ249,Data_Validation!$A:$E,5,0)</f>
        <v>#N/A</v>
      </c>
    </row>
    <row r="250" spans="36:52" ht="15" customHeight="1">
      <c r="AJ250" s="1030">
        <f t="shared" si="12"/>
        <v>0</v>
      </c>
      <c r="AK250" s="1030">
        <f t="shared" si="12"/>
        <v>0</v>
      </c>
      <c r="AL250" s="1030">
        <f>IFERROR(INDEX(G250:R250,1,MATCH(Parametres!$B$3,G$1:R$1,0)-1)*IF(OR(F250="L",F250="S",F250="I"),-1,1),"")</f>
        <v>0</v>
      </c>
      <c r="AM250" s="1030">
        <f t="shared" si="13"/>
        <v>0</v>
      </c>
      <c r="AN250" s="1030">
        <f>INDEX(G250:R250,1,MATCH(Parametres!$B$3,G$1:R$1,0))*IF(OR(F250="L",F250="S",F250="I"),-1,1)</f>
        <v>0</v>
      </c>
      <c r="AO250" s="598" t="e">
        <f>+VLOOKUP($AJ250,Data_Validation!$A:$D,1,0)</f>
        <v>#N/A</v>
      </c>
      <c r="AP250" s="598" t="e">
        <f>+VLOOKUP($AJ250,Data_Validation!$A:$D,3,0)</f>
        <v>#N/A</v>
      </c>
      <c r="AQ250" s="598" t="e">
        <f>+VLOOKUP($AJ250,Data_Validation!$A:$D,4,0)</f>
        <v>#N/A</v>
      </c>
      <c r="AR250" s="598" t="s">
        <v>299</v>
      </c>
      <c r="AS250" s="598" t="e">
        <f>+VLOOKUP($AJ250,Data_Validation!$A:$E,5,0)</f>
        <v>#N/A</v>
      </c>
      <c r="AT250" s="1036">
        <f t="shared" si="14"/>
        <v>0</v>
      </c>
      <c r="AU250" s="599">
        <f t="shared" si="14"/>
        <v>0</v>
      </c>
      <c r="AV250" s="1030">
        <f>IFERROR(INDEX(V250:AG250,1,MATCH(Parametres!$B$3,V$1:AG$1,0)-1)*IF(OR(C250="L",C250="S",C250="I"),-1,1),"")</f>
        <v>0</v>
      </c>
      <c r="AW250" s="1030">
        <f t="shared" si="15"/>
        <v>0</v>
      </c>
      <c r="AX250" s="1030">
        <f>INDEX(V250:AG250,1,MATCH(Parametres!$B$3,V$1:AG$1,0))*IF(OR(C250="L",C250="S",C250="I"),-1,1)</f>
        <v>0</v>
      </c>
      <c r="AY250" s="598" t="s">
        <v>337</v>
      </c>
      <c r="AZ250" s="598" t="e">
        <f>+VLOOKUP($AJ250,Data_Validation!$A:$E,5,0)</f>
        <v>#N/A</v>
      </c>
    </row>
    <row r="251" spans="36:52" ht="15" customHeight="1">
      <c r="AJ251" s="1030">
        <f t="shared" si="12"/>
        <v>0</v>
      </c>
      <c r="AK251" s="1030">
        <f t="shared" si="12"/>
        <v>0</v>
      </c>
      <c r="AL251" s="1030">
        <f>IFERROR(INDEX(G251:R251,1,MATCH(Parametres!$B$3,G$1:R$1,0)-1)*IF(OR(F251="L",F251="S",F251="I"),-1,1),"")</f>
        <v>0</v>
      </c>
      <c r="AM251" s="1030">
        <f t="shared" si="13"/>
        <v>0</v>
      </c>
      <c r="AN251" s="1030">
        <f>INDEX(G251:R251,1,MATCH(Parametres!$B$3,G$1:R$1,0))*IF(OR(F251="L",F251="S",F251="I"),-1,1)</f>
        <v>0</v>
      </c>
      <c r="AO251" s="598" t="e">
        <f>+VLOOKUP($AJ251,Data_Validation!$A:$D,1,0)</f>
        <v>#N/A</v>
      </c>
      <c r="AP251" s="598" t="e">
        <f>+VLOOKUP($AJ251,Data_Validation!$A:$D,3,0)</f>
        <v>#N/A</v>
      </c>
      <c r="AQ251" s="598" t="e">
        <f>+VLOOKUP($AJ251,Data_Validation!$A:$D,4,0)</f>
        <v>#N/A</v>
      </c>
      <c r="AR251" s="598" t="s">
        <v>299</v>
      </c>
      <c r="AS251" s="598" t="e">
        <f>+VLOOKUP($AJ251,Data_Validation!$A:$E,5,0)</f>
        <v>#N/A</v>
      </c>
      <c r="AT251" s="1036">
        <f t="shared" si="14"/>
        <v>0</v>
      </c>
      <c r="AU251" s="599">
        <f t="shared" si="14"/>
        <v>0</v>
      </c>
      <c r="AV251" s="1030">
        <f>IFERROR(INDEX(V251:AG251,1,MATCH(Parametres!$B$3,V$1:AG$1,0)-1)*IF(OR(C251="L",C251="S",C251="I"),-1,1),"")</f>
        <v>0</v>
      </c>
      <c r="AW251" s="1030">
        <f t="shared" si="15"/>
        <v>0</v>
      </c>
      <c r="AX251" s="1030">
        <f>INDEX(V251:AG251,1,MATCH(Parametres!$B$3,V$1:AG$1,0))*IF(OR(C251="L",C251="S",C251="I"),-1,1)</f>
        <v>0</v>
      </c>
      <c r="AY251" s="598" t="s">
        <v>337</v>
      </c>
      <c r="AZ251" s="598" t="e">
        <f>+VLOOKUP($AJ251,Data_Validation!$A:$E,5,0)</f>
        <v>#N/A</v>
      </c>
    </row>
    <row r="252" spans="36:52" ht="15.75" customHeight="1">
      <c r="AJ252" s="1030">
        <f t="shared" si="12"/>
        <v>0</v>
      </c>
      <c r="AK252" s="1030">
        <f t="shared" si="12"/>
        <v>0</v>
      </c>
      <c r="AL252" s="1030">
        <f>IFERROR(INDEX(G252:R252,1,MATCH(Parametres!$B$3,G$1:R$1,0)-1)*IF(OR(F252="L",F252="S",F252="I"),-1,1),"")</f>
        <v>0</v>
      </c>
      <c r="AM252" s="1030">
        <f t="shared" si="13"/>
        <v>0</v>
      </c>
      <c r="AN252" s="1030">
        <f>INDEX(G252:R252,1,MATCH(Parametres!$B$3,G$1:R$1,0))*IF(OR(F252="L",F252="S",F252="I"),-1,1)</f>
        <v>0</v>
      </c>
      <c r="AO252" s="598" t="e">
        <f>+VLOOKUP($AJ252,Data_Validation!$A:$D,1,0)</f>
        <v>#N/A</v>
      </c>
      <c r="AP252" s="598" t="e">
        <f>+VLOOKUP($AJ252,Data_Validation!$A:$D,3,0)</f>
        <v>#N/A</v>
      </c>
      <c r="AQ252" s="598" t="e">
        <f>+VLOOKUP($AJ252,Data_Validation!$A:$D,4,0)</f>
        <v>#N/A</v>
      </c>
      <c r="AR252" s="598" t="s">
        <v>299</v>
      </c>
      <c r="AS252" s="598" t="e">
        <f>+VLOOKUP($AJ252,Data_Validation!$A:$E,5,0)</f>
        <v>#N/A</v>
      </c>
      <c r="AT252" s="1036">
        <f t="shared" si="14"/>
        <v>0</v>
      </c>
      <c r="AU252" s="599">
        <f t="shared" si="14"/>
        <v>0</v>
      </c>
      <c r="AV252" s="1030">
        <f>IFERROR(INDEX(V252:AG252,1,MATCH(Parametres!$B$3,V$1:AG$1,0)-1)*IF(OR(C252="L",C252="S",C252="I"),-1,1),"")</f>
        <v>0</v>
      </c>
      <c r="AW252" s="1030">
        <f t="shared" si="15"/>
        <v>0</v>
      </c>
      <c r="AX252" s="1030">
        <f>INDEX(V252:AG252,1,MATCH(Parametres!$B$3,V$1:AG$1,0))*IF(OR(C252="L",C252="S",C252="I"),-1,1)</f>
        <v>0</v>
      </c>
      <c r="AY252" s="598" t="s">
        <v>337</v>
      </c>
      <c r="AZ252" s="598" t="e">
        <f>+VLOOKUP($AJ252,Data_Validation!$A:$E,5,0)</f>
        <v>#N/A</v>
      </c>
    </row>
    <row r="253" spans="36:52" ht="15" customHeight="1">
      <c r="AJ253" s="1030">
        <f t="shared" si="12"/>
        <v>0</v>
      </c>
      <c r="AK253" s="1030">
        <f t="shared" si="12"/>
        <v>0</v>
      </c>
      <c r="AL253" s="1030">
        <f>IFERROR(INDEX(G253:R253,1,MATCH(Parametres!$B$3,G$1:R$1,0)-1)*IF(OR(F253="L",F253="S",F253="I"),-1,1),"")</f>
        <v>0</v>
      </c>
      <c r="AM253" s="1030">
        <f t="shared" si="13"/>
        <v>0</v>
      </c>
      <c r="AN253" s="1030">
        <f>INDEX(G253:R253,1,MATCH(Parametres!$B$3,G$1:R$1,0))*IF(OR(F253="L",F253="S",F253="I"),-1,1)</f>
        <v>0</v>
      </c>
      <c r="AO253" s="598" t="e">
        <f>+VLOOKUP($AJ253,Data_Validation!$A:$D,1,0)</f>
        <v>#N/A</v>
      </c>
      <c r="AP253" s="598" t="e">
        <f>+VLOOKUP($AJ253,Data_Validation!$A:$D,3,0)</f>
        <v>#N/A</v>
      </c>
      <c r="AQ253" s="598" t="e">
        <f>+VLOOKUP($AJ253,Data_Validation!$A:$D,4,0)</f>
        <v>#N/A</v>
      </c>
      <c r="AR253" s="598" t="s">
        <v>299</v>
      </c>
      <c r="AS253" s="598" t="e">
        <f>+VLOOKUP($AJ253,Data_Validation!$A:$E,5,0)</f>
        <v>#N/A</v>
      </c>
      <c r="AT253" s="1036">
        <f t="shared" si="14"/>
        <v>0</v>
      </c>
      <c r="AU253" s="599">
        <f t="shared" si="14"/>
        <v>0</v>
      </c>
      <c r="AV253" s="1030">
        <f>IFERROR(INDEX(V253:AG253,1,MATCH(Parametres!$B$3,V$1:AG$1,0)-1)*IF(OR(C253="L",C253="S",C253="I"),-1,1),"")</f>
        <v>0</v>
      </c>
      <c r="AW253" s="1030">
        <f t="shared" si="15"/>
        <v>0</v>
      </c>
      <c r="AX253" s="1030">
        <f>INDEX(V253:AG253,1,MATCH(Parametres!$B$3,V$1:AG$1,0))*IF(OR(C253="L",C253="S",C253="I"),-1,1)</f>
        <v>0</v>
      </c>
      <c r="AY253" s="598" t="s">
        <v>337</v>
      </c>
      <c r="AZ253" s="598" t="e">
        <f>+VLOOKUP($AJ253,Data_Validation!$A:$E,5,0)</f>
        <v>#N/A</v>
      </c>
    </row>
    <row r="254" spans="36:52" ht="15" customHeight="1">
      <c r="AJ254" s="1030">
        <f t="shared" si="12"/>
        <v>0</v>
      </c>
      <c r="AK254" s="1030">
        <f t="shared" si="12"/>
        <v>0</v>
      </c>
      <c r="AL254" s="1030">
        <f>IFERROR(INDEX(G254:R254,1,MATCH(Parametres!$B$3,G$1:R$1,0)-1)*IF(OR(F254="L",F254="S",F254="I"),-1,1),"")</f>
        <v>0</v>
      </c>
      <c r="AM254" s="1030">
        <f t="shared" si="13"/>
        <v>0</v>
      </c>
      <c r="AN254" s="1030">
        <f>INDEX(G254:R254,1,MATCH(Parametres!$B$3,G$1:R$1,0))*IF(OR(F254="L",F254="S",F254="I"),-1,1)</f>
        <v>0</v>
      </c>
      <c r="AO254" s="598" t="e">
        <f>+VLOOKUP($AJ254,Data_Validation!$A:$D,1,0)</f>
        <v>#N/A</v>
      </c>
      <c r="AP254" s="598" t="e">
        <f>+VLOOKUP($AJ254,Data_Validation!$A:$D,3,0)</f>
        <v>#N/A</v>
      </c>
      <c r="AQ254" s="598" t="e">
        <f>+VLOOKUP($AJ254,Data_Validation!$A:$D,4,0)</f>
        <v>#N/A</v>
      </c>
      <c r="AR254" s="598" t="s">
        <v>299</v>
      </c>
      <c r="AS254" s="598" t="e">
        <f>+VLOOKUP($AJ254,Data_Validation!$A:$E,5,0)</f>
        <v>#N/A</v>
      </c>
      <c r="AT254" s="1036">
        <f t="shared" si="14"/>
        <v>0</v>
      </c>
      <c r="AU254" s="599">
        <f t="shared" si="14"/>
        <v>0</v>
      </c>
      <c r="AV254" s="1030">
        <f>IFERROR(INDEX(V254:AG254,1,MATCH(Parametres!$B$3,V$1:AG$1,0)-1)*IF(OR(C254="L",C254="S",C254="I"),-1,1),"")</f>
        <v>0</v>
      </c>
      <c r="AW254" s="1030">
        <f t="shared" si="15"/>
        <v>0</v>
      </c>
      <c r="AX254" s="1030">
        <f>INDEX(V254:AG254,1,MATCH(Parametres!$B$3,V$1:AG$1,0))*IF(OR(C254="L",C254="S",C254="I"),-1,1)</f>
        <v>0</v>
      </c>
      <c r="AY254" s="598" t="s">
        <v>337</v>
      </c>
      <c r="AZ254" s="598" t="e">
        <f>+VLOOKUP($AJ254,Data_Validation!$A:$E,5,0)</f>
        <v>#N/A</v>
      </c>
    </row>
    <row r="255" spans="36:52" ht="15" customHeight="1">
      <c r="AJ255" s="1030">
        <f t="shared" si="12"/>
        <v>0</v>
      </c>
      <c r="AK255" s="1030">
        <f t="shared" si="12"/>
        <v>0</v>
      </c>
      <c r="AL255" s="1030">
        <f>IFERROR(INDEX(G255:R255,1,MATCH(Parametres!$B$3,G$1:R$1,0)-1)*IF(OR(F255="L",F255="S",F255="I"),-1,1),"")</f>
        <v>0</v>
      </c>
      <c r="AM255" s="1030">
        <f t="shared" si="13"/>
        <v>0</v>
      </c>
      <c r="AN255" s="1030">
        <f>INDEX(G255:R255,1,MATCH(Parametres!$B$3,G$1:R$1,0))*IF(OR(F255="L",F255="S",F255="I"),-1,1)</f>
        <v>0</v>
      </c>
      <c r="AO255" s="598" t="e">
        <f>+VLOOKUP($AJ255,Data_Validation!$A:$D,1,0)</f>
        <v>#N/A</v>
      </c>
      <c r="AP255" s="598" t="e">
        <f>+VLOOKUP($AJ255,Data_Validation!$A:$D,3,0)</f>
        <v>#N/A</v>
      </c>
      <c r="AQ255" s="598" t="e">
        <f>+VLOOKUP($AJ255,Data_Validation!$A:$D,4,0)</f>
        <v>#N/A</v>
      </c>
      <c r="AR255" s="598" t="s">
        <v>299</v>
      </c>
      <c r="AS255" s="598" t="e">
        <f>+VLOOKUP($AJ255,Data_Validation!$A:$E,5,0)</f>
        <v>#N/A</v>
      </c>
      <c r="AT255" s="1036">
        <f t="shared" si="14"/>
        <v>0</v>
      </c>
      <c r="AU255" s="599">
        <f t="shared" si="14"/>
        <v>0</v>
      </c>
      <c r="AV255" s="1030">
        <f>IFERROR(INDEX(V255:AG255,1,MATCH(Parametres!$B$3,V$1:AG$1,0)-1)*IF(OR(C255="L",C255="S",C255="I"),-1,1),"")</f>
        <v>0</v>
      </c>
      <c r="AW255" s="1030">
        <f t="shared" si="15"/>
        <v>0</v>
      </c>
      <c r="AX255" s="1030">
        <f>INDEX(V255:AG255,1,MATCH(Parametres!$B$3,V$1:AG$1,0))*IF(OR(C255="L",C255="S",C255="I"),-1,1)</f>
        <v>0</v>
      </c>
      <c r="AY255" s="598" t="s">
        <v>337</v>
      </c>
      <c r="AZ255" s="598" t="e">
        <f>+VLOOKUP($AJ255,Data_Validation!$A:$E,5,0)</f>
        <v>#N/A</v>
      </c>
    </row>
    <row r="256" spans="36:52" ht="15.75" customHeight="1">
      <c r="AJ256" s="1030">
        <f t="shared" si="12"/>
        <v>0</v>
      </c>
      <c r="AK256" s="1030">
        <f t="shared" si="12"/>
        <v>0</v>
      </c>
      <c r="AL256" s="1030">
        <f>IFERROR(INDEX(G256:R256,1,MATCH(Parametres!$B$3,G$1:R$1,0)-1)*IF(OR(F256="L",F256="S",F256="I"),-1,1),"")</f>
        <v>0</v>
      </c>
      <c r="AM256" s="1030">
        <f t="shared" si="13"/>
        <v>0</v>
      </c>
      <c r="AN256" s="1030">
        <f>INDEX(G256:R256,1,MATCH(Parametres!$B$3,G$1:R$1,0))*IF(OR(F256="L",F256="S",F256="I"),-1,1)</f>
        <v>0</v>
      </c>
      <c r="AO256" s="598" t="e">
        <f>+VLOOKUP($AJ256,Data_Validation!$A:$D,1,0)</f>
        <v>#N/A</v>
      </c>
      <c r="AP256" s="598" t="e">
        <f>+VLOOKUP($AJ256,Data_Validation!$A:$D,3,0)</f>
        <v>#N/A</v>
      </c>
      <c r="AQ256" s="598" t="e">
        <f>+VLOOKUP($AJ256,Data_Validation!$A:$D,4,0)</f>
        <v>#N/A</v>
      </c>
      <c r="AR256" s="598" t="s">
        <v>299</v>
      </c>
      <c r="AS256" s="598" t="e">
        <f>+VLOOKUP($AJ256,Data_Validation!$A:$E,5,0)</f>
        <v>#N/A</v>
      </c>
      <c r="AT256" s="1036">
        <f t="shared" si="14"/>
        <v>0</v>
      </c>
      <c r="AU256" s="599">
        <f t="shared" si="14"/>
        <v>0</v>
      </c>
      <c r="AV256" s="1030">
        <f>IFERROR(INDEX(V256:AG256,1,MATCH(Parametres!$B$3,V$1:AG$1,0)-1)*IF(OR(C256="L",C256="S",C256="I"),-1,1),"")</f>
        <v>0</v>
      </c>
      <c r="AW256" s="1030">
        <f t="shared" si="15"/>
        <v>0</v>
      </c>
      <c r="AX256" s="1030">
        <f>INDEX(V256:AG256,1,MATCH(Parametres!$B$3,V$1:AG$1,0))*IF(OR(C256="L",C256="S",C256="I"),-1,1)</f>
        <v>0</v>
      </c>
      <c r="AY256" s="598" t="s">
        <v>337</v>
      </c>
      <c r="AZ256" s="598" t="e">
        <f>+VLOOKUP($AJ256,Data_Validation!$A:$E,5,0)</f>
        <v>#N/A</v>
      </c>
    </row>
    <row r="257" spans="36:52" ht="15" customHeight="1">
      <c r="AJ257" s="1030">
        <f t="shared" si="12"/>
        <v>0</v>
      </c>
      <c r="AK257" s="1030">
        <f t="shared" si="12"/>
        <v>0</v>
      </c>
      <c r="AL257" s="1030">
        <f>IFERROR(INDEX(G257:R257,1,MATCH(Parametres!$B$3,G$1:R$1,0)-1)*IF(OR(F257="L",F257="S",F257="I"),-1,1),"")</f>
        <v>0</v>
      </c>
      <c r="AM257" s="1030">
        <f t="shared" si="13"/>
        <v>0</v>
      </c>
      <c r="AN257" s="1030">
        <f>INDEX(G257:R257,1,MATCH(Parametres!$B$3,G$1:R$1,0))*IF(OR(F257="L",F257="S",F257="I"),-1,1)</f>
        <v>0</v>
      </c>
      <c r="AO257" s="598" t="e">
        <f>+VLOOKUP($AJ257,Data_Validation!$A:$D,1,0)</f>
        <v>#N/A</v>
      </c>
      <c r="AP257" s="598" t="e">
        <f>+VLOOKUP($AJ257,Data_Validation!$A:$D,3,0)</f>
        <v>#N/A</v>
      </c>
      <c r="AQ257" s="598" t="e">
        <f>+VLOOKUP($AJ257,Data_Validation!$A:$D,4,0)</f>
        <v>#N/A</v>
      </c>
      <c r="AR257" s="598" t="s">
        <v>299</v>
      </c>
      <c r="AS257" s="598" t="e">
        <f>+VLOOKUP($AJ257,Data_Validation!$A:$E,5,0)</f>
        <v>#N/A</v>
      </c>
      <c r="AT257" s="1036">
        <f t="shared" si="14"/>
        <v>0</v>
      </c>
      <c r="AU257" s="599">
        <f t="shared" si="14"/>
        <v>0</v>
      </c>
      <c r="AV257" s="1030">
        <f>IFERROR(INDEX(V257:AG257,1,MATCH(Parametres!$B$3,V$1:AG$1,0)-1)*IF(OR(C257="L",C257="S",C257="I"),-1,1),"")</f>
        <v>0</v>
      </c>
      <c r="AW257" s="1030">
        <f t="shared" si="15"/>
        <v>0</v>
      </c>
      <c r="AX257" s="1030">
        <f>INDEX(V257:AG257,1,MATCH(Parametres!$B$3,V$1:AG$1,0))*IF(OR(C257="L",C257="S",C257="I"),-1,1)</f>
        <v>0</v>
      </c>
      <c r="AY257" s="598" t="s">
        <v>337</v>
      </c>
      <c r="AZ257" s="598" t="e">
        <f>+VLOOKUP($AJ257,Data_Validation!$A:$E,5,0)</f>
        <v>#N/A</v>
      </c>
    </row>
    <row r="258" spans="36:52" ht="15" customHeight="1">
      <c r="AJ258" s="1030">
        <f t="shared" si="12"/>
        <v>0</v>
      </c>
      <c r="AK258" s="1030">
        <f t="shared" si="12"/>
        <v>0</v>
      </c>
      <c r="AL258" s="1030">
        <f>IFERROR(INDEX(G258:R258,1,MATCH(Parametres!$B$3,G$1:R$1,0)-1)*IF(OR(F258="L",F258="S",F258="I"),-1,1),"")</f>
        <v>0</v>
      </c>
      <c r="AM258" s="1030">
        <f t="shared" si="13"/>
        <v>0</v>
      </c>
      <c r="AN258" s="1030">
        <f>INDEX(G258:R258,1,MATCH(Parametres!$B$3,G$1:R$1,0))*IF(OR(F258="L",F258="S",F258="I"),-1,1)</f>
        <v>0</v>
      </c>
      <c r="AO258" s="598" t="e">
        <f>+VLOOKUP($AJ258,Data_Validation!$A:$D,1,0)</f>
        <v>#N/A</v>
      </c>
      <c r="AP258" s="598" t="e">
        <f>+VLOOKUP($AJ258,Data_Validation!$A:$D,3,0)</f>
        <v>#N/A</v>
      </c>
      <c r="AQ258" s="598" t="e">
        <f>+VLOOKUP($AJ258,Data_Validation!$A:$D,4,0)</f>
        <v>#N/A</v>
      </c>
      <c r="AR258" s="598" t="s">
        <v>299</v>
      </c>
      <c r="AS258" s="598" t="e">
        <f>+VLOOKUP($AJ258,Data_Validation!$A:$E,5,0)</f>
        <v>#N/A</v>
      </c>
      <c r="AT258" s="1036">
        <f t="shared" si="14"/>
        <v>0</v>
      </c>
      <c r="AU258" s="599">
        <f t="shared" si="14"/>
        <v>0</v>
      </c>
      <c r="AV258" s="1030">
        <f>IFERROR(INDEX(V258:AG258,1,MATCH(Parametres!$B$3,V$1:AG$1,0)-1)*IF(OR(C258="L",C258="S",C258="I"),-1,1),"")</f>
        <v>0</v>
      </c>
      <c r="AW258" s="1030">
        <f t="shared" si="15"/>
        <v>0</v>
      </c>
      <c r="AX258" s="1030">
        <f>INDEX(V258:AG258,1,MATCH(Parametres!$B$3,V$1:AG$1,0))*IF(OR(C258="L",C258="S",C258="I"),-1,1)</f>
        <v>0</v>
      </c>
      <c r="AY258" s="598" t="s">
        <v>337</v>
      </c>
      <c r="AZ258" s="598" t="e">
        <f>+VLOOKUP($AJ258,Data_Validation!$A:$E,5,0)</f>
        <v>#N/A</v>
      </c>
    </row>
    <row r="259" spans="36:52" ht="15" customHeight="1">
      <c r="AJ259" s="1030">
        <f t="shared" si="12"/>
        <v>0</v>
      </c>
      <c r="AK259" s="1030">
        <f t="shared" si="12"/>
        <v>0</v>
      </c>
      <c r="AL259" s="1030">
        <f>IFERROR(INDEX(G259:R259,1,MATCH(Parametres!$B$3,G$1:R$1,0)-1)*IF(OR(F259="L",F259="S",F259="I"),-1,1),"")</f>
        <v>0</v>
      </c>
      <c r="AM259" s="1030">
        <f t="shared" si="13"/>
        <v>0</v>
      </c>
      <c r="AN259" s="1030">
        <f>INDEX(G259:R259,1,MATCH(Parametres!$B$3,G$1:R$1,0))*IF(OR(F259="L",F259="S",F259="I"),-1,1)</f>
        <v>0</v>
      </c>
      <c r="AO259" s="598" t="e">
        <f>+VLOOKUP($AJ259,Data_Validation!$A:$D,1,0)</f>
        <v>#N/A</v>
      </c>
      <c r="AP259" s="598" t="e">
        <f>+VLOOKUP($AJ259,Data_Validation!$A:$D,3,0)</f>
        <v>#N/A</v>
      </c>
      <c r="AQ259" s="598" t="e">
        <f>+VLOOKUP($AJ259,Data_Validation!$A:$D,4,0)</f>
        <v>#N/A</v>
      </c>
      <c r="AR259" s="598" t="s">
        <v>299</v>
      </c>
      <c r="AS259" s="598" t="e">
        <f>+VLOOKUP($AJ259,Data_Validation!$A:$E,5,0)</f>
        <v>#N/A</v>
      </c>
      <c r="AT259" s="1036">
        <f t="shared" si="14"/>
        <v>0</v>
      </c>
      <c r="AU259" s="599">
        <f t="shared" si="14"/>
        <v>0</v>
      </c>
      <c r="AV259" s="1030">
        <f>IFERROR(INDEX(V259:AG259,1,MATCH(Parametres!$B$3,V$1:AG$1,0)-1)*IF(OR(C259="L",C259="S",C259="I"),-1,1),"")</f>
        <v>0</v>
      </c>
      <c r="AW259" s="1030">
        <f t="shared" si="15"/>
        <v>0</v>
      </c>
      <c r="AX259" s="1030">
        <f>INDEX(V259:AG259,1,MATCH(Parametres!$B$3,V$1:AG$1,0))*IF(OR(C259="L",C259="S",C259="I"),-1,1)</f>
        <v>0</v>
      </c>
      <c r="AY259" s="598" t="s">
        <v>337</v>
      </c>
      <c r="AZ259" s="598" t="e">
        <f>+VLOOKUP($AJ259,Data_Validation!$A:$E,5,0)</f>
        <v>#N/A</v>
      </c>
    </row>
    <row r="260" spans="36:52" ht="15" customHeight="1">
      <c r="AJ260" s="1030">
        <f t="shared" ref="AJ260:AK323" si="16">C260</f>
        <v>0</v>
      </c>
      <c r="AK260" s="1030">
        <f t="shared" si="16"/>
        <v>0</v>
      </c>
      <c r="AL260" s="1030">
        <f>IFERROR(INDEX(G260:R260,1,MATCH(Parametres!$B$3,G$1:R$1,0)-1)*IF(OR(F260="L",F260="S",F260="I"),-1,1),"")</f>
        <v>0</v>
      </c>
      <c r="AM260" s="1030">
        <f t="shared" ref="AM260:AM323" si="17">AN260-N(AL260)</f>
        <v>0</v>
      </c>
      <c r="AN260" s="1030">
        <f>INDEX(G260:R260,1,MATCH(Parametres!$B$3,G$1:R$1,0))*IF(OR(F260="L",F260="S",F260="I"),-1,1)</f>
        <v>0</v>
      </c>
      <c r="AO260" s="598" t="e">
        <f>+VLOOKUP($AJ260,Data_Validation!$A:$D,1,0)</f>
        <v>#N/A</v>
      </c>
      <c r="AP260" s="598" t="e">
        <f>+VLOOKUP($AJ260,Data_Validation!$A:$D,3,0)</f>
        <v>#N/A</v>
      </c>
      <c r="AQ260" s="598" t="e">
        <f>+VLOOKUP($AJ260,Data_Validation!$A:$D,4,0)</f>
        <v>#N/A</v>
      </c>
      <c r="AR260" s="598" t="s">
        <v>299</v>
      </c>
      <c r="AS260" s="598" t="e">
        <f>+VLOOKUP($AJ260,Data_Validation!$A:$E,5,0)</f>
        <v>#N/A</v>
      </c>
      <c r="AT260" s="1036">
        <f t="shared" ref="AT260:AU323" si="18">C260</f>
        <v>0</v>
      </c>
      <c r="AU260" s="599">
        <f t="shared" si="18"/>
        <v>0</v>
      </c>
      <c r="AV260" s="1030">
        <f>IFERROR(INDEX(V260:AG260,1,MATCH(Parametres!$B$3,V$1:AG$1,0)-1)*IF(OR(C260="L",C260="S",C260="I"),-1,1),"")</f>
        <v>0</v>
      </c>
      <c r="AW260" s="1030">
        <f t="shared" ref="AW260:AW323" si="19">AX260-AV260</f>
        <v>0</v>
      </c>
      <c r="AX260" s="1030">
        <f>INDEX(V260:AG260,1,MATCH(Parametres!$B$3,V$1:AG$1,0))*IF(OR(C260="L",C260="S",C260="I"),-1,1)</f>
        <v>0</v>
      </c>
      <c r="AY260" s="598" t="s">
        <v>337</v>
      </c>
      <c r="AZ260" s="598" t="e">
        <f>+VLOOKUP($AJ260,Data_Validation!$A:$E,5,0)</f>
        <v>#N/A</v>
      </c>
    </row>
    <row r="261" spans="36:52" ht="15" customHeight="1">
      <c r="AJ261" s="1030">
        <f t="shared" si="16"/>
        <v>0</v>
      </c>
      <c r="AK261" s="1030">
        <f t="shared" si="16"/>
        <v>0</v>
      </c>
      <c r="AL261" s="1030">
        <f>IFERROR(INDEX(G261:R261,1,MATCH(Parametres!$B$3,G$1:R$1,0)-1)*IF(OR(F261="L",F261="S",F261="I"),-1,1),"")</f>
        <v>0</v>
      </c>
      <c r="AM261" s="1030">
        <f t="shared" si="17"/>
        <v>0</v>
      </c>
      <c r="AN261" s="1030">
        <f>INDEX(G261:R261,1,MATCH(Parametres!$B$3,G$1:R$1,0))*IF(OR(F261="L",F261="S",F261="I"),-1,1)</f>
        <v>0</v>
      </c>
      <c r="AO261" s="598" t="e">
        <f>+VLOOKUP($AJ261,Data_Validation!$A:$D,1,0)</f>
        <v>#N/A</v>
      </c>
      <c r="AP261" s="598" t="e">
        <f>+VLOOKUP($AJ261,Data_Validation!$A:$D,3,0)</f>
        <v>#N/A</v>
      </c>
      <c r="AQ261" s="598" t="e">
        <f>+VLOOKUP($AJ261,Data_Validation!$A:$D,4,0)</f>
        <v>#N/A</v>
      </c>
      <c r="AR261" s="598" t="s">
        <v>299</v>
      </c>
      <c r="AS261" s="598" t="e">
        <f>+VLOOKUP($AJ261,Data_Validation!$A:$E,5,0)</f>
        <v>#N/A</v>
      </c>
      <c r="AT261" s="1036">
        <f t="shared" si="18"/>
        <v>0</v>
      </c>
      <c r="AU261" s="599">
        <f t="shared" si="18"/>
        <v>0</v>
      </c>
      <c r="AV261" s="1030">
        <f>IFERROR(INDEX(V261:AG261,1,MATCH(Parametres!$B$3,V$1:AG$1,0)-1)*IF(OR(C261="L",C261="S",C261="I"),-1,1),"")</f>
        <v>0</v>
      </c>
      <c r="AW261" s="1030">
        <f t="shared" si="19"/>
        <v>0</v>
      </c>
      <c r="AX261" s="1030">
        <f>INDEX(V261:AG261,1,MATCH(Parametres!$B$3,V$1:AG$1,0))*IF(OR(C261="L",C261="S",C261="I"),-1,1)</f>
        <v>0</v>
      </c>
      <c r="AY261" s="598" t="s">
        <v>337</v>
      </c>
      <c r="AZ261" s="598" t="e">
        <f>+VLOOKUP($AJ261,Data_Validation!$A:$E,5,0)</f>
        <v>#N/A</v>
      </c>
    </row>
    <row r="262" spans="36:52" ht="15.75" customHeight="1">
      <c r="AJ262" s="1030">
        <f t="shared" si="16"/>
        <v>0</v>
      </c>
      <c r="AK262" s="1030">
        <f t="shared" si="16"/>
        <v>0</v>
      </c>
      <c r="AL262" s="1030">
        <f>IFERROR(INDEX(G262:R262,1,MATCH(Parametres!$B$3,G$1:R$1,0)-1)*IF(OR(F262="L",F262="S",F262="I"),-1,1),"")</f>
        <v>0</v>
      </c>
      <c r="AM262" s="1030">
        <f t="shared" si="17"/>
        <v>0</v>
      </c>
      <c r="AN262" s="1030">
        <f>INDEX(G262:R262,1,MATCH(Parametres!$B$3,G$1:R$1,0))*IF(OR(F262="L",F262="S",F262="I"),-1,1)</f>
        <v>0</v>
      </c>
      <c r="AO262" s="598" t="e">
        <f>+VLOOKUP($AJ262,Data_Validation!$A:$D,1,0)</f>
        <v>#N/A</v>
      </c>
      <c r="AP262" s="598" t="e">
        <f>+VLOOKUP($AJ262,Data_Validation!$A:$D,3,0)</f>
        <v>#N/A</v>
      </c>
      <c r="AQ262" s="598" t="e">
        <f>+VLOOKUP($AJ262,Data_Validation!$A:$D,4,0)</f>
        <v>#N/A</v>
      </c>
      <c r="AR262" s="598" t="s">
        <v>299</v>
      </c>
      <c r="AS262" s="598" t="e">
        <f>+VLOOKUP($AJ262,Data_Validation!$A:$E,5,0)</f>
        <v>#N/A</v>
      </c>
      <c r="AT262" s="1036">
        <f t="shared" si="18"/>
        <v>0</v>
      </c>
      <c r="AU262" s="599">
        <f t="shared" si="18"/>
        <v>0</v>
      </c>
      <c r="AV262" s="1030">
        <f>IFERROR(INDEX(V262:AG262,1,MATCH(Parametres!$B$3,V$1:AG$1,0)-1)*IF(OR(C262="L",C262="S",C262="I"),-1,1),"")</f>
        <v>0</v>
      </c>
      <c r="AW262" s="1030">
        <f t="shared" si="19"/>
        <v>0</v>
      </c>
      <c r="AX262" s="1030">
        <f>INDEX(V262:AG262,1,MATCH(Parametres!$B$3,V$1:AG$1,0))*IF(OR(C262="L",C262="S",C262="I"),-1,1)</f>
        <v>0</v>
      </c>
      <c r="AY262" s="598" t="s">
        <v>337</v>
      </c>
      <c r="AZ262" s="598" t="e">
        <f>+VLOOKUP($AJ262,Data_Validation!$A:$E,5,0)</f>
        <v>#N/A</v>
      </c>
    </row>
    <row r="263" spans="36:52" ht="15" customHeight="1">
      <c r="AJ263" s="1030">
        <f t="shared" si="16"/>
        <v>0</v>
      </c>
      <c r="AK263" s="1030">
        <f t="shared" si="16"/>
        <v>0</v>
      </c>
      <c r="AL263" s="1030">
        <f>IFERROR(INDEX(G263:R263,1,MATCH(Parametres!$B$3,G$1:R$1,0)-1)*IF(OR(F263="L",F263="S",F263="I"),-1,1),"")</f>
        <v>0</v>
      </c>
      <c r="AM263" s="1030">
        <f t="shared" si="17"/>
        <v>0</v>
      </c>
      <c r="AN263" s="1030">
        <f>INDEX(G263:R263,1,MATCH(Parametres!$B$3,G$1:R$1,0))*IF(OR(F263="L",F263="S",F263="I"),-1,1)</f>
        <v>0</v>
      </c>
      <c r="AO263" s="598" t="e">
        <f>+VLOOKUP($AJ263,Data_Validation!$A:$D,1,0)</f>
        <v>#N/A</v>
      </c>
      <c r="AP263" s="598" t="e">
        <f>+VLOOKUP($AJ263,Data_Validation!$A:$D,3,0)</f>
        <v>#N/A</v>
      </c>
      <c r="AQ263" s="598" t="e">
        <f>+VLOOKUP($AJ263,Data_Validation!$A:$D,4,0)</f>
        <v>#N/A</v>
      </c>
      <c r="AR263" s="598" t="s">
        <v>299</v>
      </c>
      <c r="AS263" s="598" t="e">
        <f>+VLOOKUP($AJ263,Data_Validation!$A:$E,5,0)</f>
        <v>#N/A</v>
      </c>
      <c r="AT263" s="1036">
        <f t="shared" si="18"/>
        <v>0</v>
      </c>
      <c r="AU263" s="599">
        <f t="shared" si="18"/>
        <v>0</v>
      </c>
      <c r="AV263" s="1030">
        <f>IFERROR(INDEX(V263:AG263,1,MATCH(Parametres!$B$3,V$1:AG$1,0)-1)*IF(OR(C263="L",C263="S",C263="I"),-1,1),"")</f>
        <v>0</v>
      </c>
      <c r="AW263" s="1030">
        <f t="shared" si="19"/>
        <v>0</v>
      </c>
      <c r="AX263" s="1030">
        <f>INDEX(V263:AG263,1,MATCH(Parametres!$B$3,V$1:AG$1,0))*IF(OR(C263="L",C263="S",C263="I"),-1,1)</f>
        <v>0</v>
      </c>
      <c r="AY263" s="598" t="s">
        <v>337</v>
      </c>
      <c r="AZ263" s="598" t="e">
        <f>+VLOOKUP($AJ263,Data_Validation!$A:$E,5,0)</f>
        <v>#N/A</v>
      </c>
    </row>
    <row r="264" spans="36:52" ht="15" customHeight="1">
      <c r="AJ264" s="1030">
        <f t="shared" si="16"/>
        <v>0</v>
      </c>
      <c r="AK264" s="1030">
        <f t="shared" si="16"/>
        <v>0</v>
      </c>
      <c r="AL264" s="1030">
        <f>IFERROR(INDEX(G264:R264,1,MATCH(Parametres!$B$3,G$1:R$1,0)-1)*IF(OR(F264="L",F264="S",F264="I"),-1,1),"")</f>
        <v>0</v>
      </c>
      <c r="AM264" s="1030">
        <f t="shared" si="17"/>
        <v>0</v>
      </c>
      <c r="AN264" s="1030">
        <f>INDEX(G264:R264,1,MATCH(Parametres!$B$3,G$1:R$1,0))*IF(OR(F264="L",F264="S",F264="I"),-1,1)</f>
        <v>0</v>
      </c>
      <c r="AO264" s="598" t="e">
        <f>+VLOOKUP($AJ264,Data_Validation!$A:$D,1,0)</f>
        <v>#N/A</v>
      </c>
      <c r="AP264" s="598" t="e">
        <f>+VLOOKUP($AJ264,Data_Validation!$A:$D,3,0)</f>
        <v>#N/A</v>
      </c>
      <c r="AQ264" s="598" t="e">
        <f>+VLOOKUP($AJ264,Data_Validation!$A:$D,4,0)</f>
        <v>#N/A</v>
      </c>
      <c r="AR264" s="598" t="s">
        <v>299</v>
      </c>
      <c r="AS264" s="598" t="e">
        <f>+VLOOKUP($AJ264,Data_Validation!$A:$E,5,0)</f>
        <v>#N/A</v>
      </c>
      <c r="AT264" s="1036">
        <f t="shared" si="18"/>
        <v>0</v>
      </c>
      <c r="AU264" s="599">
        <f t="shared" si="18"/>
        <v>0</v>
      </c>
      <c r="AV264" s="1030">
        <f>IFERROR(INDEX(V264:AG264,1,MATCH(Parametres!$B$3,V$1:AG$1,0)-1)*IF(OR(C264="L",C264="S",C264="I"),-1,1),"")</f>
        <v>0</v>
      </c>
      <c r="AW264" s="1030">
        <f t="shared" si="19"/>
        <v>0</v>
      </c>
      <c r="AX264" s="1030">
        <f>INDEX(V264:AG264,1,MATCH(Parametres!$B$3,V$1:AG$1,0))*IF(OR(C264="L",C264="S",C264="I"),-1,1)</f>
        <v>0</v>
      </c>
      <c r="AY264" s="598" t="s">
        <v>337</v>
      </c>
      <c r="AZ264" s="598" t="e">
        <f>+VLOOKUP($AJ264,Data_Validation!$A:$E,5,0)</f>
        <v>#N/A</v>
      </c>
    </row>
    <row r="265" spans="36:52" ht="15" customHeight="1">
      <c r="AJ265" s="1030">
        <f t="shared" si="16"/>
        <v>0</v>
      </c>
      <c r="AK265" s="1030">
        <f t="shared" si="16"/>
        <v>0</v>
      </c>
      <c r="AL265" s="1030">
        <f>IFERROR(INDEX(G265:R265,1,MATCH(Parametres!$B$3,G$1:R$1,0)-1)*IF(OR(F265="L",F265="S",F265="I"),-1,1),"")</f>
        <v>0</v>
      </c>
      <c r="AM265" s="1030">
        <f t="shared" si="17"/>
        <v>0</v>
      </c>
      <c r="AN265" s="1030">
        <f>INDEX(G265:R265,1,MATCH(Parametres!$B$3,G$1:R$1,0))*IF(OR(F265="L",F265="S",F265="I"),-1,1)</f>
        <v>0</v>
      </c>
      <c r="AO265" s="598" t="e">
        <f>+VLOOKUP($AJ265,Data_Validation!$A:$D,1,0)</f>
        <v>#N/A</v>
      </c>
      <c r="AP265" s="598" t="e">
        <f>+VLOOKUP($AJ265,Data_Validation!$A:$D,3,0)</f>
        <v>#N/A</v>
      </c>
      <c r="AQ265" s="598" t="e">
        <f>+VLOOKUP($AJ265,Data_Validation!$A:$D,4,0)</f>
        <v>#N/A</v>
      </c>
      <c r="AR265" s="598" t="s">
        <v>299</v>
      </c>
      <c r="AS265" s="598" t="e">
        <f>+VLOOKUP($AJ265,Data_Validation!$A:$E,5,0)</f>
        <v>#N/A</v>
      </c>
      <c r="AT265" s="1036">
        <f t="shared" si="18"/>
        <v>0</v>
      </c>
      <c r="AU265" s="599">
        <f t="shared" si="18"/>
        <v>0</v>
      </c>
      <c r="AV265" s="1030">
        <f>IFERROR(INDEX(V265:AG265,1,MATCH(Parametres!$B$3,V$1:AG$1,0)-1)*IF(OR(C265="L",C265="S",C265="I"),-1,1),"")</f>
        <v>0</v>
      </c>
      <c r="AW265" s="1030">
        <f t="shared" si="19"/>
        <v>0</v>
      </c>
      <c r="AX265" s="1030">
        <f>INDEX(V265:AG265,1,MATCH(Parametres!$B$3,V$1:AG$1,0))*IF(OR(C265="L",C265="S",C265="I"),-1,1)</f>
        <v>0</v>
      </c>
      <c r="AY265" s="598" t="s">
        <v>337</v>
      </c>
      <c r="AZ265" s="598" t="e">
        <f>+VLOOKUP($AJ265,Data_Validation!$A:$E,5,0)</f>
        <v>#N/A</v>
      </c>
    </row>
    <row r="266" spans="36:52" ht="15" customHeight="1">
      <c r="AJ266" s="1030">
        <f t="shared" si="16"/>
        <v>0</v>
      </c>
      <c r="AK266" s="1030">
        <f t="shared" si="16"/>
        <v>0</v>
      </c>
      <c r="AL266" s="1030">
        <f>IFERROR(INDEX(G266:R266,1,MATCH(Parametres!$B$3,G$1:R$1,0)-1)*IF(OR(F266="L",F266="S",F266="I"),-1,1),"")</f>
        <v>0</v>
      </c>
      <c r="AM266" s="1030">
        <f t="shared" si="17"/>
        <v>0</v>
      </c>
      <c r="AN266" s="1030">
        <f>INDEX(G266:R266,1,MATCH(Parametres!$B$3,G$1:R$1,0))*IF(OR(F266="L",F266="S",F266="I"),-1,1)</f>
        <v>0</v>
      </c>
      <c r="AO266" s="598" t="e">
        <f>+VLOOKUP($AJ266,Data_Validation!$A:$D,1,0)</f>
        <v>#N/A</v>
      </c>
      <c r="AP266" s="598" t="e">
        <f>+VLOOKUP($AJ266,Data_Validation!$A:$D,3,0)</f>
        <v>#N/A</v>
      </c>
      <c r="AQ266" s="598" t="e">
        <f>+VLOOKUP($AJ266,Data_Validation!$A:$D,4,0)</f>
        <v>#N/A</v>
      </c>
      <c r="AR266" s="598" t="s">
        <v>299</v>
      </c>
      <c r="AS266" s="598" t="e">
        <f>+VLOOKUP($AJ266,Data_Validation!$A:$E,5,0)</f>
        <v>#N/A</v>
      </c>
      <c r="AT266" s="1036">
        <f t="shared" si="18"/>
        <v>0</v>
      </c>
      <c r="AU266" s="599">
        <f t="shared" si="18"/>
        <v>0</v>
      </c>
      <c r="AV266" s="1030">
        <f>IFERROR(INDEX(V266:AG266,1,MATCH(Parametres!$B$3,V$1:AG$1,0)-1)*IF(OR(C266="L",C266="S",C266="I"),-1,1),"")</f>
        <v>0</v>
      </c>
      <c r="AW266" s="1030">
        <f t="shared" si="19"/>
        <v>0</v>
      </c>
      <c r="AX266" s="1030">
        <f>INDEX(V266:AG266,1,MATCH(Parametres!$B$3,V$1:AG$1,0))*IF(OR(C266="L",C266="S",C266="I"),-1,1)</f>
        <v>0</v>
      </c>
      <c r="AY266" s="598" t="s">
        <v>337</v>
      </c>
      <c r="AZ266" s="598" t="e">
        <f>+VLOOKUP($AJ266,Data_Validation!$A:$E,5,0)</f>
        <v>#N/A</v>
      </c>
    </row>
    <row r="267" spans="36:52" ht="15" customHeight="1">
      <c r="AJ267" s="1030">
        <f t="shared" si="16"/>
        <v>0</v>
      </c>
      <c r="AK267" s="1030">
        <f t="shared" si="16"/>
        <v>0</v>
      </c>
      <c r="AL267" s="1030">
        <f>IFERROR(INDEX(G267:R267,1,MATCH(Parametres!$B$3,G$1:R$1,0)-1)*IF(OR(F267="L",F267="S",F267="I"),-1,1),"")</f>
        <v>0</v>
      </c>
      <c r="AM267" s="1030">
        <f t="shared" si="17"/>
        <v>0</v>
      </c>
      <c r="AN267" s="1030">
        <f>INDEX(G267:R267,1,MATCH(Parametres!$B$3,G$1:R$1,0))*IF(OR(F267="L",F267="S",F267="I"),-1,1)</f>
        <v>0</v>
      </c>
      <c r="AO267" s="598" t="e">
        <f>+VLOOKUP($AJ267,Data_Validation!$A:$D,1,0)</f>
        <v>#N/A</v>
      </c>
      <c r="AP267" s="598" t="e">
        <f>+VLOOKUP($AJ267,Data_Validation!$A:$D,3,0)</f>
        <v>#N/A</v>
      </c>
      <c r="AQ267" s="598" t="e">
        <f>+VLOOKUP($AJ267,Data_Validation!$A:$D,4,0)</f>
        <v>#N/A</v>
      </c>
      <c r="AR267" s="598" t="s">
        <v>299</v>
      </c>
      <c r="AS267" s="598" t="e">
        <f>+VLOOKUP($AJ267,Data_Validation!$A:$E,5,0)</f>
        <v>#N/A</v>
      </c>
      <c r="AT267" s="1036">
        <f t="shared" si="18"/>
        <v>0</v>
      </c>
      <c r="AU267" s="599">
        <f t="shared" si="18"/>
        <v>0</v>
      </c>
      <c r="AV267" s="1030">
        <f>IFERROR(INDEX(V267:AG267,1,MATCH(Parametres!$B$3,V$1:AG$1,0)-1)*IF(OR(C267="L",C267="S",C267="I"),-1,1),"")</f>
        <v>0</v>
      </c>
      <c r="AW267" s="1030">
        <f t="shared" si="19"/>
        <v>0</v>
      </c>
      <c r="AX267" s="1030">
        <f>INDEX(V267:AG267,1,MATCH(Parametres!$B$3,V$1:AG$1,0))*IF(OR(C267="L",C267="S",C267="I"),-1,1)</f>
        <v>0</v>
      </c>
      <c r="AY267" s="598" t="s">
        <v>337</v>
      </c>
      <c r="AZ267" s="598" t="e">
        <f>+VLOOKUP($AJ267,Data_Validation!$A:$E,5,0)</f>
        <v>#N/A</v>
      </c>
    </row>
    <row r="268" spans="36:52" ht="15" customHeight="1">
      <c r="AJ268" s="1030">
        <f t="shared" si="16"/>
        <v>0</v>
      </c>
      <c r="AK268" s="1030">
        <f t="shared" si="16"/>
        <v>0</v>
      </c>
      <c r="AL268" s="1030">
        <f>IFERROR(INDEX(G268:R268,1,MATCH(Parametres!$B$3,G$1:R$1,0)-1)*IF(OR(F268="L",F268="S",F268="I"),-1,1),"")</f>
        <v>0</v>
      </c>
      <c r="AM268" s="1030">
        <f t="shared" si="17"/>
        <v>0</v>
      </c>
      <c r="AN268" s="1030">
        <f>INDEX(G268:R268,1,MATCH(Parametres!$B$3,G$1:R$1,0))*IF(OR(F268="L",F268="S",F268="I"),-1,1)</f>
        <v>0</v>
      </c>
      <c r="AO268" s="598" t="e">
        <f>+VLOOKUP($AJ268,Data_Validation!$A:$D,1,0)</f>
        <v>#N/A</v>
      </c>
      <c r="AP268" s="598" t="e">
        <f>+VLOOKUP($AJ268,Data_Validation!$A:$D,3,0)</f>
        <v>#N/A</v>
      </c>
      <c r="AQ268" s="598" t="e">
        <f>+VLOOKUP($AJ268,Data_Validation!$A:$D,4,0)</f>
        <v>#N/A</v>
      </c>
      <c r="AR268" s="598" t="s">
        <v>299</v>
      </c>
      <c r="AS268" s="598" t="e">
        <f>+VLOOKUP($AJ268,Data_Validation!$A:$E,5,0)</f>
        <v>#N/A</v>
      </c>
      <c r="AT268" s="1036">
        <f t="shared" si="18"/>
        <v>0</v>
      </c>
      <c r="AU268" s="599">
        <f t="shared" si="18"/>
        <v>0</v>
      </c>
      <c r="AV268" s="1030">
        <f>IFERROR(INDEX(V268:AG268,1,MATCH(Parametres!$B$3,V$1:AG$1,0)-1)*IF(OR(C268="L",C268="S",C268="I"),-1,1),"")</f>
        <v>0</v>
      </c>
      <c r="AW268" s="1030">
        <f t="shared" si="19"/>
        <v>0</v>
      </c>
      <c r="AX268" s="1030">
        <f>INDEX(V268:AG268,1,MATCH(Parametres!$B$3,V$1:AG$1,0))*IF(OR(C268="L",C268="S",C268="I"),-1,1)</f>
        <v>0</v>
      </c>
      <c r="AY268" s="598" t="s">
        <v>337</v>
      </c>
      <c r="AZ268" s="598" t="e">
        <f>+VLOOKUP($AJ268,Data_Validation!$A:$E,5,0)</f>
        <v>#N/A</v>
      </c>
    </row>
    <row r="269" spans="36:52" ht="15" customHeight="1">
      <c r="AJ269" s="1030">
        <f t="shared" si="16"/>
        <v>0</v>
      </c>
      <c r="AK269" s="1030">
        <f t="shared" si="16"/>
        <v>0</v>
      </c>
      <c r="AL269" s="1030">
        <f>IFERROR(INDEX(G269:R269,1,MATCH(Parametres!$B$3,G$1:R$1,0)-1)*IF(OR(F269="L",F269="S",F269="I"),-1,1),"")</f>
        <v>0</v>
      </c>
      <c r="AM269" s="1030">
        <f t="shared" si="17"/>
        <v>0</v>
      </c>
      <c r="AN269" s="1030">
        <f>INDEX(G269:R269,1,MATCH(Parametres!$B$3,G$1:R$1,0))*IF(OR(F269="L",F269="S",F269="I"),-1,1)</f>
        <v>0</v>
      </c>
      <c r="AO269" s="598" t="e">
        <f>+VLOOKUP($AJ269,Data_Validation!$A:$D,1,0)</f>
        <v>#N/A</v>
      </c>
      <c r="AP269" s="598" t="e">
        <f>+VLOOKUP($AJ269,Data_Validation!$A:$D,3,0)</f>
        <v>#N/A</v>
      </c>
      <c r="AQ269" s="598" t="e">
        <f>+VLOOKUP($AJ269,Data_Validation!$A:$D,4,0)</f>
        <v>#N/A</v>
      </c>
      <c r="AR269" s="598" t="s">
        <v>299</v>
      </c>
      <c r="AS269" s="598" t="e">
        <f>+VLOOKUP($AJ269,Data_Validation!$A:$E,5,0)</f>
        <v>#N/A</v>
      </c>
      <c r="AT269" s="1036">
        <f t="shared" si="18"/>
        <v>0</v>
      </c>
      <c r="AU269" s="599">
        <f t="shared" si="18"/>
        <v>0</v>
      </c>
      <c r="AV269" s="1030">
        <f>IFERROR(INDEX(V269:AG269,1,MATCH(Parametres!$B$3,V$1:AG$1,0)-1)*IF(OR(C269="L",C269="S",C269="I"),-1,1),"")</f>
        <v>0</v>
      </c>
      <c r="AW269" s="1030">
        <f t="shared" si="19"/>
        <v>0</v>
      </c>
      <c r="AX269" s="1030">
        <f>INDEX(V269:AG269,1,MATCH(Parametres!$B$3,V$1:AG$1,0))*IF(OR(C269="L",C269="S",C269="I"),-1,1)</f>
        <v>0</v>
      </c>
      <c r="AY269" s="598" t="s">
        <v>337</v>
      </c>
      <c r="AZ269" s="598" t="e">
        <f>+VLOOKUP($AJ269,Data_Validation!$A:$E,5,0)</f>
        <v>#N/A</v>
      </c>
    </row>
    <row r="270" spans="36:52" ht="15" customHeight="1">
      <c r="AJ270" s="1030">
        <f t="shared" si="16"/>
        <v>0</v>
      </c>
      <c r="AK270" s="1030">
        <f t="shared" si="16"/>
        <v>0</v>
      </c>
      <c r="AL270" s="1030">
        <f>IFERROR(INDEX(G270:R270,1,MATCH(Parametres!$B$3,G$1:R$1,0)-1)*IF(OR(F270="L",F270="S",F270="I"),-1,1),"")</f>
        <v>0</v>
      </c>
      <c r="AM270" s="1030">
        <f t="shared" si="17"/>
        <v>0</v>
      </c>
      <c r="AN270" s="1030">
        <f>INDEX(G270:R270,1,MATCH(Parametres!$B$3,G$1:R$1,0))*IF(OR(F270="L",F270="S",F270="I"),-1,1)</f>
        <v>0</v>
      </c>
      <c r="AO270" s="598" t="e">
        <f>+VLOOKUP($AJ270,Data_Validation!$A:$D,1,0)</f>
        <v>#N/A</v>
      </c>
      <c r="AP270" s="598" t="e">
        <f>+VLOOKUP($AJ270,Data_Validation!$A:$D,3,0)</f>
        <v>#N/A</v>
      </c>
      <c r="AQ270" s="598" t="e">
        <f>+VLOOKUP($AJ270,Data_Validation!$A:$D,4,0)</f>
        <v>#N/A</v>
      </c>
      <c r="AR270" s="598" t="s">
        <v>299</v>
      </c>
      <c r="AS270" s="598" t="e">
        <f>+VLOOKUP($AJ270,Data_Validation!$A:$E,5,0)</f>
        <v>#N/A</v>
      </c>
      <c r="AT270" s="1036">
        <f t="shared" si="18"/>
        <v>0</v>
      </c>
      <c r="AU270" s="599">
        <f t="shared" si="18"/>
        <v>0</v>
      </c>
      <c r="AV270" s="1030">
        <f>IFERROR(INDEX(V270:AG270,1,MATCH(Parametres!$B$3,V$1:AG$1,0)-1)*IF(OR(C270="L",C270="S",C270="I"),-1,1),"")</f>
        <v>0</v>
      </c>
      <c r="AW270" s="1030">
        <f t="shared" si="19"/>
        <v>0</v>
      </c>
      <c r="AX270" s="1030">
        <f>INDEX(V270:AG270,1,MATCH(Parametres!$B$3,V$1:AG$1,0))*IF(OR(C270="L",C270="S",C270="I"),-1,1)</f>
        <v>0</v>
      </c>
      <c r="AY270" s="598" t="s">
        <v>337</v>
      </c>
      <c r="AZ270" s="598" t="e">
        <f>+VLOOKUP($AJ270,Data_Validation!$A:$E,5,0)</f>
        <v>#N/A</v>
      </c>
    </row>
    <row r="271" spans="36:52" ht="15" customHeight="1">
      <c r="AJ271" s="1030">
        <f t="shared" si="16"/>
        <v>0</v>
      </c>
      <c r="AK271" s="1030">
        <f t="shared" si="16"/>
        <v>0</v>
      </c>
      <c r="AL271" s="1030">
        <f>IFERROR(INDEX(G271:R271,1,MATCH(Parametres!$B$3,G$1:R$1,0)-1)*IF(OR(F271="L",F271="S",F271="I"),-1,1),"")</f>
        <v>0</v>
      </c>
      <c r="AM271" s="1030">
        <f t="shared" si="17"/>
        <v>0</v>
      </c>
      <c r="AN271" s="1030">
        <f>INDEX(G271:R271,1,MATCH(Parametres!$B$3,G$1:R$1,0))*IF(OR(F271="L",F271="S",F271="I"),-1,1)</f>
        <v>0</v>
      </c>
      <c r="AO271" s="598" t="e">
        <f>+VLOOKUP($AJ271,Data_Validation!$A:$D,1,0)</f>
        <v>#N/A</v>
      </c>
      <c r="AP271" s="598" t="e">
        <f>+VLOOKUP($AJ271,Data_Validation!$A:$D,3,0)</f>
        <v>#N/A</v>
      </c>
      <c r="AQ271" s="598" t="e">
        <f>+VLOOKUP($AJ271,Data_Validation!$A:$D,4,0)</f>
        <v>#N/A</v>
      </c>
      <c r="AR271" s="598" t="s">
        <v>299</v>
      </c>
      <c r="AS271" s="598" t="e">
        <f>+VLOOKUP($AJ271,Data_Validation!$A:$E,5,0)</f>
        <v>#N/A</v>
      </c>
      <c r="AT271" s="1036">
        <f t="shared" si="18"/>
        <v>0</v>
      </c>
      <c r="AU271" s="599">
        <f t="shared" si="18"/>
        <v>0</v>
      </c>
      <c r="AV271" s="1030">
        <f>IFERROR(INDEX(V271:AG271,1,MATCH(Parametres!$B$3,V$1:AG$1,0)-1)*IF(OR(C271="L",C271="S",C271="I"),-1,1),"")</f>
        <v>0</v>
      </c>
      <c r="AW271" s="1030">
        <f t="shared" si="19"/>
        <v>0</v>
      </c>
      <c r="AX271" s="1030">
        <f>INDEX(V271:AG271,1,MATCH(Parametres!$B$3,V$1:AG$1,0))*IF(OR(C271="L",C271="S",C271="I"),-1,1)</f>
        <v>0</v>
      </c>
      <c r="AY271" s="598" t="s">
        <v>337</v>
      </c>
      <c r="AZ271" s="598" t="e">
        <f>+VLOOKUP($AJ271,Data_Validation!$A:$E,5,0)</f>
        <v>#N/A</v>
      </c>
    </row>
    <row r="272" spans="36:52" ht="15.75" customHeight="1">
      <c r="AJ272" s="1030">
        <f t="shared" si="16"/>
        <v>0</v>
      </c>
      <c r="AK272" s="1030">
        <f t="shared" si="16"/>
        <v>0</v>
      </c>
      <c r="AL272" s="1030">
        <f>IFERROR(INDEX(G272:R272,1,MATCH(Parametres!$B$3,G$1:R$1,0)-1)*IF(OR(F272="L",F272="S",F272="I"),-1,1),"")</f>
        <v>0</v>
      </c>
      <c r="AM272" s="1030">
        <f t="shared" si="17"/>
        <v>0</v>
      </c>
      <c r="AN272" s="1030">
        <f>INDEX(G272:R272,1,MATCH(Parametres!$B$3,G$1:R$1,0))*IF(OR(F272="L",F272="S",F272="I"),-1,1)</f>
        <v>0</v>
      </c>
      <c r="AO272" s="598" t="e">
        <f>+VLOOKUP($AJ272,Data_Validation!$A:$D,1,0)</f>
        <v>#N/A</v>
      </c>
      <c r="AP272" s="598" t="e">
        <f>+VLOOKUP($AJ272,Data_Validation!$A:$D,3,0)</f>
        <v>#N/A</v>
      </c>
      <c r="AQ272" s="598" t="e">
        <f>+VLOOKUP($AJ272,Data_Validation!$A:$D,4,0)</f>
        <v>#N/A</v>
      </c>
      <c r="AR272" s="598" t="s">
        <v>299</v>
      </c>
      <c r="AS272" s="598" t="e">
        <f>+VLOOKUP($AJ272,Data_Validation!$A:$E,5,0)</f>
        <v>#N/A</v>
      </c>
      <c r="AT272" s="1036">
        <f t="shared" si="18"/>
        <v>0</v>
      </c>
      <c r="AU272" s="599">
        <f t="shared" si="18"/>
        <v>0</v>
      </c>
      <c r="AV272" s="1030">
        <f>IFERROR(INDEX(V272:AG272,1,MATCH(Parametres!$B$3,V$1:AG$1,0)-1)*IF(OR(C272="L",C272="S",C272="I"),-1,1),"")</f>
        <v>0</v>
      </c>
      <c r="AW272" s="1030">
        <f t="shared" si="19"/>
        <v>0</v>
      </c>
      <c r="AX272" s="1030">
        <f>INDEX(V272:AG272,1,MATCH(Parametres!$B$3,V$1:AG$1,0))*IF(OR(C272="L",C272="S",C272="I"),-1,1)</f>
        <v>0</v>
      </c>
      <c r="AY272" s="598" t="s">
        <v>337</v>
      </c>
      <c r="AZ272" s="598" t="e">
        <f>+VLOOKUP($AJ272,Data_Validation!$A:$E,5,0)</f>
        <v>#N/A</v>
      </c>
    </row>
    <row r="273" spans="36:52" ht="15" customHeight="1">
      <c r="AJ273" s="1030">
        <f t="shared" si="16"/>
        <v>0</v>
      </c>
      <c r="AK273" s="1030">
        <f t="shared" si="16"/>
        <v>0</v>
      </c>
      <c r="AL273" s="1030">
        <f>IFERROR(INDEX(G273:R273,1,MATCH(Parametres!$B$3,G$1:R$1,0)-1)*IF(OR(F273="L",F273="S",F273="I"),-1,1),"")</f>
        <v>0</v>
      </c>
      <c r="AM273" s="1030">
        <f t="shared" si="17"/>
        <v>0</v>
      </c>
      <c r="AN273" s="1030">
        <f>INDEX(G273:R273,1,MATCH(Parametres!$B$3,G$1:R$1,0))*IF(OR(F273="L",F273="S",F273="I"),-1,1)</f>
        <v>0</v>
      </c>
      <c r="AO273" s="598" t="e">
        <f>+VLOOKUP($AJ273,Data_Validation!$A:$D,1,0)</f>
        <v>#N/A</v>
      </c>
      <c r="AP273" s="598" t="e">
        <f>+VLOOKUP($AJ273,Data_Validation!$A:$D,3,0)</f>
        <v>#N/A</v>
      </c>
      <c r="AQ273" s="598" t="e">
        <f>+VLOOKUP($AJ273,Data_Validation!$A:$D,4,0)</f>
        <v>#N/A</v>
      </c>
      <c r="AR273" s="598" t="s">
        <v>299</v>
      </c>
      <c r="AS273" s="598" t="e">
        <f>+VLOOKUP($AJ273,Data_Validation!$A:$E,5,0)</f>
        <v>#N/A</v>
      </c>
      <c r="AT273" s="1036">
        <f t="shared" si="18"/>
        <v>0</v>
      </c>
      <c r="AU273" s="599">
        <f t="shared" si="18"/>
        <v>0</v>
      </c>
      <c r="AV273" s="1030">
        <f>IFERROR(INDEX(V273:AG273,1,MATCH(Parametres!$B$3,V$1:AG$1,0)-1)*IF(OR(C273="L",C273="S",C273="I"),-1,1),"")</f>
        <v>0</v>
      </c>
      <c r="AW273" s="1030">
        <f t="shared" si="19"/>
        <v>0</v>
      </c>
      <c r="AX273" s="1030">
        <f>INDEX(V273:AG273,1,MATCH(Parametres!$B$3,V$1:AG$1,0))*IF(OR(C273="L",C273="S",C273="I"),-1,1)</f>
        <v>0</v>
      </c>
      <c r="AY273" s="598" t="s">
        <v>337</v>
      </c>
      <c r="AZ273" s="598" t="e">
        <f>+VLOOKUP($AJ273,Data_Validation!$A:$E,5,0)</f>
        <v>#N/A</v>
      </c>
    </row>
    <row r="274" spans="36:52" ht="15" customHeight="1">
      <c r="AJ274" s="1030">
        <f t="shared" si="16"/>
        <v>0</v>
      </c>
      <c r="AK274" s="1030">
        <f t="shared" si="16"/>
        <v>0</v>
      </c>
      <c r="AL274" s="1030">
        <f>IFERROR(INDEX(G274:R274,1,MATCH(Parametres!$B$3,G$1:R$1,0)-1)*IF(OR(F274="L",F274="S",F274="I"),-1,1),"")</f>
        <v>0</v>
      </c>
      <c r="AM274" s="1030">
        <f t="shared" si="17"/>
        <v>0</v>
      </c>
      <c r="AN274" s="1030">
        <f>INDEX(G274:R274,1,MATCH(Parametres!$B$3,G$1:R$1,0))*IF(OR(F274="L",F274="S",F274="I"),-1,1)</f>
        <v>0</v>
      </c>
      <c r="AO274" s="598" t="e">
        <f>+VLOOKUP($AJ274,Data_Validation!$A:$D,1,0)</f>
        <v>#N/A</v>
      </c>
      <c r="AP274" s="598" t="e">
        <f>+VLOOKUP($AJ274,Data_Validation!$A:$D,3,0)</f>
        <v>#N/A</v>
      </c>
      <c r="AQ274" s="598" t="e">
        <f>+VLOOKUP($AJ274,Data_Validation!$A:$D,4,0)</f>
        <v>#N/A</v>
      </c>
      <c r="AR274" s="598" t="s">
        <v>299</v>
      </c>
      <c r="AS274" s="598" t="e">
        <f>+VLOOKUP($AJ274,Data_Validation!$A:$E,5,0)</f>
        <v>#N/A</v>
      </c>
      <c r="AT274" s="1036">
        <f t="shared" si="18"/>
        <v>0</v>
      </c>
      <c r="AU274" s="599">
        <f t="shared" si="18"/>
        <v>0</v>
      </c>
      <c r="AV274" s="1030">
        <f>IFERROR(INDEX(V274:AG274,1,MATCH(Parametres!$B$3,V$1:AG$1,0)-1)*IF(OR(C274="L",C274="S",C274="I"),-1,1),"")</f>
        <v>0</v>
      </c>
      <c r="AW274" s="1030">
        <f t="shared" si="19"/>
        <v>0</v>
      </c>
      <c r="AX274" s="1030">
        <f>INDEX(V274:AG274,1,MATCH(Parametres!$B$3,V$1:AG$1,0))*IF(OR(C274="L",C274="S",C274="I"),-1,1)</f>
        <v>0</v>
      </c>
      <c r="AY274" s="598" t="s">
        <v>337</v>
      </c>
      <c r="AZ274" s="598" t="e">
        <f>+VLOOKUP($AJ274,Data_Validation!$A:$E,5,0)</f>
        <v>#N/A</v>
      </c>
    </row>
    <row r="275" spans="36:52" ht="15" customHeight="1">
      <c r="AJ275" s="1030">
        <f t="shared" si="16"/>
        <v>0</v>
      </c>
      <c r="AK275" s="1030">
        <f t="shared" si="16"/>
        <v>0</v>
      </c>
      <c r="AL275" s="1030">
        <f>IFERROR(INDEX(G275:R275,1,MATCH(Parametres!$B$3,G$1:R$1,0)-1)*IF(OR(F275="L",F275="S",F275="I"),-1,1),"")</f>
        <v>0</v>
      </c>
      <c r="AM275" s="1030">
        <f t="shared" si="17"/>
        <v>0</v>
      </c>
      <c r="AN275" s="1030">
        <f>INDEX(G275:R275,1,MATCH(Parametres!$B$3,G$1:R$1,0))*IF(OR(F275="L",F275="S",F275="I"),-1,1)</f>
        <v>0</v>
      </c>
      <c r="AO275" s="598" t="e">
        <f>+VLOOKUP($AJ275,Data_Validation!$A:$D,1,0)</f>
        <v>#N/A</v>
      </c>
      <c r="AP275" s="598" t="e">
        <f>+VLOOKUP($AJ275,Data_Validation!$A:$D,3,0)</f>
        <v>#N/A</v>
      </c>
      <c r="AQ275" s="598" t="e">
        <f>+VLOOKUP($AJ275,Data_Validation!$A:$D,4,0)</f>
        <v>#N/A</v>
      </c>
      <c r="AR275" s="598" t="s">
        <v>299</v>
      </c>
      <c r="AS275" s="598" t="e">
        <f>+VLOOKUP($AJ275,Data_Validation!$A:$E,5,0)</f>
        <v>#N/A</v>
      </c>
      <c r="AT275" s="1036">
        <f t="shared" si="18"/>
        <v>0</v>
      </c>
      <c r="AU275" s="599">
        <f t="shared" si="18"/>
        <v>0</v>
      </c>
      <c r="AV275" s="1030">
        <f>IFERROR(INDEX(V275:AG275,1,MATCH(Parametres!$B$3,V$1:AG$1,0)-1)*IF(OR(C275="L",C275="S",C275="I"),-1,1),"")</f>
        <v>0</v>
      </c>
      <c r="AW275" s="1030">
        <f t="shared" si="19"/>
        <v>0</v>
      </c>
      <c r="AX275" s="1030">
        <f>INDEX(V275:AG275,1,MATCH(Parametres!$B$3,V$1:AG$1,0))*IF(OR(C275="L",C275="S",C275="I"),-1,1)</f>
        <v>0</v>
      </c>
      <c r="AY275" s="598" t="s">
        <v>337</v>
      </c>
      <c r="AZ275" s="598" t="e">
        <f>+VLOOKUP($AJ275,Data_Validation!$A:$E,5,0)</f>
        <v>#N/A</v>
      </c>
    </row>
    <row r="276" spans="36:52" ht="15" customHeight="1">
      <c r="AJ276" s="1030">
        <f t="shared" si="16"/>
        <v>0</v>
      </c>
      <c r="AK276" s="1030">
        <f t="shared" si="16"/>
        <v>0</v>
      </c>
      <c r="AL276" s="1030">
        <f>IFERROR(INDEX(G276:R276,1,MATCH(Parametres!$B$3,G$1:R$1,0)-1)*IF(OR(F276="L",F276="S",F276="I"),-1,1),"")</f>
        <v>0</v>
      </c>
      <c r="AM276" s="1030">
        <f t="shared" si="17"/>
        <v>0</v>
      </c>
      <c r="AN276" s="1030">
        <f>INDEX(G276:R276,1,MATCH(Parametres!$B$3,G$1:R$1,0))*IF(OR(F276="L",F276="S",F276="I"),-1,1)</f>
        <v>0</v>
      </c>
      <c r="AO276" s="598" t="e">
        <f>+VLOOKUP($AJ276,Data_Validation!$A:$D,1,0)</f>
        <v>#N/A</v>
      </c>
      <c r="AP276" s="598" t="e">
        <f>+VLOOKUP($AJ276,Data_Validation!$A:$D,3,0)</f>
        <v>#N/A</v>
      </c>
      <c r="AQ276" s="598" t="e">
        <f>+VLOOKUP($AJ276,Data_Validation!$A:$D,4,0)</f>
        <v>#N/A</v>
      </c>
      <c r="AR276" s="598" t="s">
        <v>299</v>
      </c>
      <c r="AS276" s="598" t="e">
        <f>+VLOOKUP($AJ276,Data_Validation!$A:$E,5,0)</f>
        <v>#N/A</v>
      </c>
      <c r="AT276" s="1036">
        <f t="shared" si="18"/>
        <v>0</v>
      </c>
      <c r="AU276" s="599">
        <f t="shared" si="18"/>
        <v>0</v>
      </c>
      <c r="AV276" s="1030">
        <f>IFERROR(INDEX(V276:AG276,1,MATCH(Parametres!$B$3,V$1:AG$1,0)-1)*IF(OR(C276="L",C276="S",C276="I"),-1,1),"")</f>
        <v>0</v>
      </c>
      <c r="AW276" s="1030">
        <f t="shared" si="19"/>
        <v>0</v>
      </c>
      <c r="AX276" s="1030">
        <f>INDEX(V276:AG276,1,MATCH(Parametres!$B$3,V$1:AG$1,0))*IF(OR(C276="L",C276="S",C276="I"),-1,1)</f>
        <v>0</v>
      </c>
      <c r="AY276" s="598" t="s">
        <v>337</v>
      </c>
      <c r="AZ276" s="598" t="e">
        <f>+VLOOKUP($AJ276,Data_Validation!$A:$E,5,0)</f>
        <v>#N/A</v>
      </c>
    </row>
    <row r="277" spans="36:52" ht="15" customHeight="1">
      <c r="AJ277" s="1030">
        <f t="shared" si="16"/>
        <v>0</v>
      </c>
      <c r="AK277" s="1030">
        <f t="shared" si="16"/>
        <v>0</v>
      </c>
      <c r="AL277" s="1030">
        <f>IFERROR(INDEX(G277:R277,1,MATCH(Parametres!$B$3,G$1:R$1,0)-1)*IF(OR(F277="L",F277="S",F277="I"),-1,1),"")</f>
        <v>0</v>
      </c>
      <c r="AM277" s="1030">
        <f t="shared" si="17"/>
        <v>0</v>
      </c>
      <c r="AN277" s="1030">
        <f>INDEX(G277:R277,1,MATCH(Parametres!$B$3,G$1:R$1,0))*IF(OR(F277="L",F277="S",F277="I"),-1,1)</f>
        <v>0</v>
      </c>
      <c r="AO277" s="598" t="e">
        <f>+VLOOKUP($AJ277,Data_Validation!$A:$D,1,0)</f>
        <v>#N/A</v>
      </c>
      <c r="AP277" s="598" t="e">
        <f>+VLOOKUP($AJ277,Data_Validation!$A:$D,3,0)</f>
        <v>#N/A</v>
      </c>
      <c r="AQ277" s="598" t="e">
        <f>+VLOOKUP($AJ277,Data_Validation!$A:$D,4,0)</f>
        <v>#N/A</v>
      </c>
      <c r="AR277" s="598" t="s">
        <v>299</v>
      </c>
      <c r="AS277" s="598" t="e">
        <f>+VLOOKUP($AJ277,Data_Validation!$A:$E,5,0)</f>
        <v>#N/A</v>
      </c>
      <c r="AT277" s="1036">
        <f t="shared" si="18"/>
        <v>0</v>
      </c>
      <c r="AU277" s="599">
        <f t="shared" si="18"/>
        <v>0</v>
      </c>
      <c r="AV277" s="1030">
        <f>IFERROR(INDEX(V277:AG277,1,MATCH(Parametres!$B$3,V$1:AG$1,0)-1)*IF(OR(C277="L",C277="S",C277="I"),-1,1),"")</f>
        <v>0</v>
      </c>
      <c r="AW277" s="1030">
        <f t="shared" si="19"/>
        <v>0</v>
      </c>
      <c r="AX277" s="1030">
        <f>INDEX(V277:AG277,1,MATCH(Parametres!$B$3,V$1:AG$1,0))*IF(OR(C277="L",C277="S",C277="I"),-1,1)</f>
        <v>0</v>
      </c>
      <c r="AY277" s="598" t="s">
        <v>337</v>
      </c>
      <c r="AZ277" s="598" t="e">
        <f>+VLOOKUP($AJ277,Data_Validation!$A:$E,5,0)</f>
        <v>#N/A</v>
      </c>
    </row>
    <row r="278" spans="36:52" ht="15" customHeight="1">
      <c r="AJ278" s="1030">
        <f t="shared" si="16"/>
        <v>0</v>
      </c>
      <c r="AK278" s="1030">
        <f t="shared" si="16"/>
        <v>0</v>
      </c>
      <c r="AL278" s="1030">
        <f>IFERROR(INDEX(G278:R278,1,MATCH(Parametres!$B$3,G$1:R$1,0)-1)*IF(OR(F278="L",F278="S",F278="I"),-1,1),"")</f>
        <v>0</v>
      </c>
      <c r="AM278" s="1030">
        <f t="shared" si="17"/>
        <v>0</v>
      </c>
      <c r="AN278" s="1030">
        <f>INDEX(G278:R278,1,MATCH(Parametres!$B$3,G$1:R$1,0))*IF(OR(F278="L",F278="S",F278="I"),-1,1)</f>
        <v>0</v>
      </c>
      <c r="AO278" s="598" t="e">
        <f>+VLOOKUP($AJ278,Data_Validation!$A:$D,1,0)</f>
        <v>#N/A</v>
      </c>
      <c r="AP278" s="598" t="e">
        <f>+VLOOKUP($AJ278,Data_Validation!$A:$D,3,0)</f>
        <v>#N/A</v>
      </c>
      <c r="AQ278" s="598" t="e">
        <f>+VLOOKUP($AJ278,Data_Validation!$A:$D,4,0)</f>
        <v>#N/A</v>
      </c>
      <c r="AR278" s="598" t="s">
        <v>299</v>
      </c>
      <c r="AS278" s="598" t="e">
        <f>+VLOOKUP($AJ278,Data_Validation!$A:$E,5,0)</f>
        <v>#N/A</v>
      </c>
      <c r="AT278" s="1036">
        <f t="shared" si="18"/>
        <v>0</v>
      </c>
      <c r="AU278" s="599">
        <f t="shared" si="18"/>
        <v>0</v>
      </c>
      <c r="AV278" s="1030">
        <f>IFERROR(INDEX(V278:AG278,1,MATCH(Parametres!$B$3,V$1:AG$1,0)-1)*IF(OR(C278="L",C278="S",C278="I"),-1,1),"")</f>
        <v>0</v>
      </c>
      <c r="AW278" s="1030">
        <f t="shared" si="19"/>
        <v>0</v>
      </c>
      <c r="AX278" s="1030">
        <f>INDEX(V278:AG278,1,MATCH(Parametres!$B$3,V$1:AG$1,0))*IF(OR(C278="L",C278="S",C278="I"),-1,1)</f>
        <v>0</v>
      </c>
      <c r="AY278" s="598" t="s">
        <v>337</v>
      </c>
      <c r="AZ278" s="598" t="e">
        <f>+VLOOKUP($AJ278,Data_Validation!$A:$E,5,0)</f>
        <v>#N/A</v>
      </c>
    </row>
    <row r="279" spans="36:52" ht="15.75" customHeight="1">
      <c r="AJ279" s="1030">
        <f t="shared" si="16"/>
        <v>0</v>
      </c>
      <c r="AK279" s="1030">
        <f t="shared" si="16"/>
        <v>0</v>
      </c>
      <c r="AL279" s="1030">
        <f>IFERROR(INDEX(G279:R279,1,MATCH(Parametres!$B$3,G$1:R$1,0)-1)*IF(OR(F279="L",F279="S",F279="I"),-1,1),"")</f>
        <v>0</v>
      </c>
      <c r="AM279" s="1030">
        <f t="shared" si="17"/>
        <v>0</v>
      </c>
      <c r="AN279" s="1030">
        <f>INDEX(G279:R279,1,MATCH(Parametres!$B$3,G$1:R$1,0))*IF(OR(F279="L",F279="S",F279="I"),-1,1)</f>
        <v>0</v>
      </c>
      <c r="AO279" s="598" t="e">
        <f>+VLOOKUP($AJ279,Data_Validation!$A:$D,1,0)</f>
        <v>#N/A</v>
      </c>
      <c r="AP279" s="598" t="e">
        <f>+VLOOKUP($AJ279,Data_Validation!$A:$D,3,0)</f>
        <v>#N/A</v>
      </c>
      <c r="AQ279" s="598" t="e">
        <f>+VLOOKUP($AJ279,Data_Validation!$A:$D,4,0)</f>
        <v>#N/A</v>
      </c>
      <c r="AR279" s="598" t="s">
        <v>299</v>
      </c>
      <c r="AS279" s="598" t="e">
        <f>+VLOOKUP($AJ279,Data_Validation!$A:$E,5,0)</f>
        <v>#N/A</v>
      </c>
      <c r="AT279" s="1036">
        <f t="shared" si="18"/>
        <v>0</v>
      </c>
      <c r="AU279" s="599">
        <f t="shared" si="18"/>
        <v>0</v>
      </c>
      <c r="AV279" s="1030">
        <f>IFERROR(INDEX(V279:AG279,1,MATCH(Parametres!$B$3,V$1:AG$1,0)-1)*IF(OR(C279="L",C279="S",C279="I"),-1,1),"")</f>
        <v>0</v>
      </c>
      <c r="AW279" s="1030">
        <f t="shared" si="19"/>
        <v>0</v>
      </c>
      <c r="AX279" s="1030">
        <f>INDEX(V279:AG279,1,MATCH(Parametres!$B$3,V$1:AG$1,0))*IF(OR(C279="L",C279="S",C279="I"),-1,1)</f>
        <v>0</v>
      </c>
      <c r="AY279" s="598" t="s">
        <v>337</v>
      </c>
      <c r="AZ279" s="598" t="e">
        <f>+VLOOKUP($AJ279,Data_Validation!$A:$E,5,0)</f>
        <v>#N/A</v>
      </c>
    </row>
    <row r="280" spans="36:52" ht="15" customHeight="1">
      <c r="AJ280" s="1030">
        <f t="shared" si="16"/>
        <v>0</v>
      </c>
      <c r="AK280" s="1030">
        <f t="shared" si="16"/>
        <v>0</v>
      </c>
      <c r="AL280" s="1030">
        <f>IFERROR(INDEX(G280:R280,1,MATCH(Parametres!$B$3,G$1:R$1,0)-1)*IF(OR(F280="L",F280="S",F280="I"),-1,1),"")</f>
        <v>0</v>
      </c>
      <c r="AM280" s="1030">
        <f t="shared" si="17"/>
        <v>0</v>
      </c>
      <c r="AN280" s="1030">
        <f>INDEX(G280:R280,1,MATCH(Parametres!$B$3,G$1:R$1,0))*IF(OR(F280="L",F280="S",F280="I"),-1,1)</f>
        <v>0</v>
      </c>
      <c r="AO280" s="598" t="e">
        <f>+VLOOKUP($AJ280,Data_Validation!$A:$D,1,0)</f>
        <v>#N/A</v>
      </c>
      <c r="AP280" s="598" t="e">
        <f>+VLOOKUP($AJ280,Data_Validation!$A:$D,3,0)</f>
        <v>#N/A</v>
      </c>
      <c r="AQ280" s="598" t="e">
        <f>+VLOOKUP($AJ280,Data_Validation!$A:$D,4,0)</f>
        <v>#N/A</v>
      </c>
      <c r="AR280" s="598" t="s">
        <v>299</v>
      </c>
      <c r="AS280" s="598" t="e">
        <f>+VLOOKUP($AJ280,Data_Validation!$A:$E,5,0)</f>
        <v>#N/A</v>
      </c>
      <c r="AT280" s="1036">
        <f t="shared" si="18"/>
        <v>0</v>
      </c>
      <c r="AU280" s="599">
        <f t="shared" si="18"/>
        <v>0</v>
      </c>
      <c r="AV280" s="1030">
        <f>IFERROR(INDEX(V280:AG280,1,MATCH(Parametres!$B$3,V$1:AG$1,0)-1)*IF(OR(C280="L",C280="S",C280="I"),-1,1),"")</f>
        <v>0</v>
      </c>
      <c r="AW280" s="1030">
        <f t="shared" si="19"/>
        <v>0</v>
      </c>
      <c r="AX280" s="1030">
        <f>INDEX(V280:AG280,1,MATCH(Parametres!$B$3,V$1:AG$1,0))*IF(OR(C280="L",C280="S",C280="I"),-1,1)</f>
        <v>0</v>
      </c>
      <c r="AY280" s="598" t="s">
        <v>337</v>
      </c>
      <c r="AZ280" s="598" t="e">
        <f>+VLOOKUP($AJ280,Data_Validation!$A:$E,5,0)</f>
        <v>#N/A</v>
      </c>
    </row>
    <row r="281" spans="36:52" ht="15" customHeight="1">
      <c r="AJ281" s="1030">
        <f t="shared" si="16"/>
        <v>0</v>
      </c>
      <c r="AK281" s="1030">
        <f t="shared" si="16"/>
        <v>0</v>
      </c>
      <c r="AL281" s="1030">
        <f>IFERROR(INDEX(G281:R281,1,MATCH(Parametres!$B$3,G$1:R$1,0)-1)*IF(OR(F281="L",F281="S",F281="I"),-1,1),"")</f>
        <v>0</v>
      </c>
      <c r="AM281" s="1030">
        <f t="shared" si="17"/>
        <v>0</v>
      </c>
      <c r="AN281" s="1030">
        <f>INDEX(G281:R281,1,MATCH(Parametres!$B$3,G$1:R$1,0))*IF(OR(F281="L",F281="S",F281="I"),-1,1)</f>
        <v>0</v>
      </c>
      <c r="AO281" s="598" t="e">
        <f>+VLOOKUP($AJ281,Data_Validation!$A:$D,1,0)</f>
        <v>#N/A</v>
      </c>
      <c r="AP281" s="598" t="e">
        <f>+VLOOKUP($AJ281,Data_Validation!$A:$D,3,0)</f>
        <v>#N/A</v>
      </c>
      <c r="AQ281" s="598" t="e">
        <f>+VLOOKUP($AJ281,Data_Validation!$A:$D,4,0)</f>
        <v>#N/A</v>
      </c>
      <c r="AR281" s="598" t="s">
        <v>299</v>
      </c>
      <c r="AS281" s="598" t="e">
        <f>+VLOOKUP($AJ281,Data_Validation!$A:$E,5,0)</f>
        <v>#N/A</v>
      </c>
      <c r="AT281" s="1036">
        <f t="shared" si="18"/>
        <v>0</v>
      </c>
      <c r="AU281" s="599">
        <f t="shared" si="18"/>
        <v>0</v>
      </c>
      <c r="AV281" s="1030">
        <f>IFERROR(INDEX(V281:AG281,1,MATCH(Parametres!$B$3,V$1:AG$1,0)-1)*IF(OR(C281="L",C281="S",C281="I"),-1,1),"")</f>
        <v>0</v>
      </c>
      <c r="AW281" s="1030">
        <f t="shared" si="19"/>
        <v>0</v>
      </c>
      <c r="AX281" s="1030">
        <f>INDEX(V281:AG281,1,MATCH(Parametres!$B$3,V$1:AG$1,0))*IF(OR(C281="L",C281="S",C281="I"),-1,1)</f>
        <v>0</v>
      </c>
      <c r="AY281" s="598" t="s">
        <v>337</v>
      </c>
      <c r="AZ281" s="598" t="e">
        <f>+VLOOKUP($AJ281,Data_Validation!$A:$E,5,0)</f>
        <v>#N/A</v>
      </c>
    </row>
    <row r="282" spans="36:52" ht="15" customHeight="1">
      <c r="AJ282" s="1030">
        <f t="shared" si="16"/>
        <v>0</v>
      </c>
      <c r="AK282" s="1030">
        <f t="shared" si="16"/>
        <v>0</v>
      </c>
      <c r="AL282" s="1030">
        <f>IFERROR(INDEX(G282:R282,1,MATCH(Parametres!$B$3,G$1:R$1,0)-1)*IF(OR(F282="L",F282="S",F282="I"),-1,1),"")</f>
        <v>0</v>
      </c>
      <c r="AM282" s="1030">
        <f t="shared" si="17"/>
        <v>0</v>
      </c>
      <c r="AN282" s="1030">
        <f>INDEX(G282:R282,1,MATCH(Parametres!$B$3,G$1:R$1,0))*IF(OR(F282="L",F282="S",F282="I"),-1,1)</f>
        <v>0</v>
      </c>
      <c r="AO282" s="598" t="e">
        <f>+VLOOKUP($AJ282,Data_Validation!$A:$D,1,0)</f>
        <v>#N/A</v>
      </c>
      <c r="AP282" s="598" t="e">
        <f>+VLOOKUP($AJ282,Data_Validation!$A:$D,3,0)</f>
        <v>#N/A</v>
      </c>
      <c r="AQ282" s="598" t="e">
        <f>+VLOOKUP($AJ282,Data_Validation!$A:$D,4,0)</f>
        <v>#N/A</v>
      </c>
      <c r="AR282" s="598" t="s">
        <v>299</v>
      </c>
      <c r="AS282" s="598" t="e">
        <f>+VLOOKUP($AJ282,Data_Validation!$A:$E,5,0)</f>
        <v>#N/A</v>
      </c>
      <c r="AT282" s="1036">
        <f t="shared" si="18"/>
        <v>0</v>
      </c>
      <c r="AU282" s="599">
        <f t="shared" si="18"/>
        <v>0</v>
      </c>
      <c r="AV282" s="1030">
        <f>IFERROR(INDEX(V282:AG282,1,MATCH(Parametres!$B$3,V$1:AG$1,0)-1)*IF(OR(C282="L",C282="S",C282="I"),-1,1),"")</f>
        <v>0</v>
      </c>
      <c r="AW282" s="1030">
        <f t="shared" si="19"/>
        <v>0</v>
      </c>
      <c r="AX282" s="1030">
        <f>INDEX(V282:AG282,1,MATCH(Parametres!$B$3,V$1:AG$1,0))*IF(OR(C282="L",C282="S",C282="I"),-1,1)</f>
        <v>0</v>
      </c>
      <c r="AY282" s="598" t="s">
        <v>337</v>
      </c>
      <c r="AZ282" s="598" t="e">
        <f>+VLOOKUP($AJ282,Data_Validation!$A:$E,5,0)</f>
        <v>#N/A</v>
      </c>
    </row>
    <row r="283" spans="36:52" ht="15.75" customHeight="1">
      <c r="AJ283" s="1030">
        <f t="shared" si="16"/>
        <v>0</v>
      </c>
      <c r="AK283" s="1030">
        <f t="shared" si="16"/>
        <v>0</v>
      </c>
      <c r="AL283" s="1030">
        <f>IFERROR(INDEX(G283:R283,1,MATCH(Parametres!$B$3,G$1:R$1,0)-1)*IF(OR(F283="L",F283="S",F283="I"),-1,1),"")</f>
        <v>0</v>
      </c>
      <c r="AM283" s="1030">
        <f t="shared" si="17"/>
        <v>0</v>
      </c>
      <c r="AN283" s="1030">
        <f>INDEX(G283:R283,1,MATCH(Parametres!$B$3,G$1:R$1,0))*IF(OR(F283="L",F283="S",F283="I"),-1,1)</f>
        <v>0</v>
      </c>
      <c r="AO283" s="598" t="e">
        <f>+VLOOKUP($AJ283,Data_Validation!$A:$D,1,0)</f>
        <v>#N/A</v>
      </c>
      <c r="AP283" s="598" t="e">
        <f>+VLOOKUP($AJ283,Data_Validation!$A:$D,3,0)</f>
        <v>#N/A</v>
      </c>
      <c r="AQ283" s="598" t="e">
        <f>+VLOOKUP($AJ283,Data_Validation!$A:$D,4,0)</f>
        <v>#N/A</v>
      </c>
      <c r="AR283" s="598" t="s">
        <v>299</v>
      </c>
      <c r="AS283" s="598" t="e">
        <f>+VLOOKUP($AJ283,Data_Validation!$A:$E,5,0)</f>
        <v>#N/A</v>
      </c>
      <c r="AT283" s="1036">
        <f t="shared" si="18"/>
        <v>0</v>
      </c>
      <c r="AU283" s="599">
        <f t="shared" si="18"/>
        <v>0</v>
      </c>
      <c r="AV283" s="1030">
        <f>IFERROR(INDEX(V283:AG283,1,MATCH(Parametres!$B$3,V$1:AG$1,0)-1)*IF(OR(C283="L",C283="S",C283="I"),-1,1),"")</f>
        <v>0</v>
      </c>
      <c r="AW283" s="1030">
        <f t="shared" si="19"/>
        <v>0</v>
      </c>
      <c r="AX283" s="1030">
        <f>INDEX(V283:AG283,1,MATCH(Parametres!$B$3,V$1:AG$1,0))*IF(OR(C283="L",C283="S",C283="I"),-1,1)</f>
        <v>0</v>
      </c>
      <c r="AY283" s="598" t="s">
        <v>337</v>
      </c>
      <c r="AZ283" s="598" t="e">
        <f>+VLOOKUP($AJ283,Data_Validation!$A:$E,5,0)</f>
        <v>#N/A</v>
      </c>
    </row>
    <row r="284" spans="36:52" ht="15" customHeight="1">
      <c r="AJ284" s="1030">
        <f t="shared" si="16"/>
        <v>0</v>
      </c>
      <c r="AK284" s="1030">
        <f t="shared" si="16"/>
        <v>0</v>
      </c>
      <c r="AL284" s="1030">
        <f>IFERROR(INDEX(G284:R284,1,MATCH(Parametres!$B$3,G$1:R$1,0)-1)*IF(OR(F284="L",F284="S",F284="I"),-1,1),"")</f>
        <v>0</v>
      </c>
      <c r="AM284" s="1030">
        <f t="shared" si="17"/>
        <v>0</v>
      </c>
      <c r="AN284" s="1030">
        <f>INDEX(G284:R284,1,MATCH(Parametres!$B$3,G$1:R$1,0))*IF(OR(F284="L",F284="S",F284="I"),-1,1)</f>
        <v>0</v>
      </c>
      <c r="AO284" s="598" t="e">
        <f>+VLOOKUP($AJ284,Data_Validation!$A:$D,1,0)</f>
        <v>#N/A</v>
      </c>
      <c r="AP284" s="598" t="e">
        <f>+VLOOKUP($AJ284,Data_Validation!$A:$D,3,0)</f>
        <v>#N/A</v>
      </c>
      <c r="AQ284" s="598" t="e">
        <f>+VLOOKUP($AJ284,Data_Validation!$A:$D,4,0)</f>
        <v>#N/A</v>
      </c>
      <c r="AR284" s="598" t="s">
        <v>299</v>
      </c>
      <c r="AS284" s="598" t="e">
        <f>+VLOOKUP($AJ284,Data_Validation!$A:$E,5,0)</f>
        <v>#N/A</v>
      </c>
      <c r="AT284" s="1036">
        <f t="shared" si="18"/>
        <v>0</v>
      </c>
      <c r="AU284" s="599">
        <f t="shared" si="18"/>
        <v>0</v>
      </c>
      <c r="AV284" s="1030">
        <f>IFERROR(INDEX(V284:AG284,1,MATCH(Parametres!$B$3,V$1:AG$1,0)-1)*IF(OR(C284="L",C284="S",C284="I"),-1,1),"")</f>
        <v>0</v>
      </c>
      <c r="AW284" s="1030">
        <f t="shared" si="19"/>
        <v>0</v>
      </c>
      <c r="AX284" s="1030">
        <f>INDEX(V284:AG284,1,MATCH(Parametres!$B$3,V$1:AG$1,0))*IF(OR(C284="L",C284="S",C284="I"),-1,1)</f>
        <v>0</v>
      </c>
      <c r="AY284" s="598" t="s">
        <v>337</v>
      </c>
      <c r="AZ284" s="598" t="e">
        <f>+VLOOKUP($AJ284,Data_Validation!$A:$E,5,0)</f>
        <v>#N/A</v>
      </c>
    </row>
    <row r="285" spans="36:52" ht="15" customHeight="1">
      <c r="AJ285" s="1030">
        <f t="shared" si="16"/>
        <v>0</v>
      </c>
      <c r="AK285" s="1030">
        <f t="shared" si="16"/>
        <v>0</v>
      </c>
      <c r="AL285" s="1030">
        <f>IFERROR(INDEX(G285:R285,1,MATCH(Parametres!$B$3,G$1:R$1,0)-1)*IF(OR(F285="L",F285="S",F285="I"),-1,1),"")</f>
        <v>0</v>
      </c>
      <c r="AM285" s="1030">
        <f t="shared" si="17"/>
        <v>0</v>
      </c>
      <c r="AN285" s="1030">
        <f>INDEX(G285:R285,1,MATCH(Parametres!$B$3,G$1:R$1,0))*IF(OR(F285="L",F285="S",F285="I"),-1,1)</f>
        <v>0</v>
      </c>
      <c r="AO285" s="598" t="e">
        <f>+VLOOKUP($AJ285,Data_Validation!$A:$D,1,0)</f>
        <v>#N/A</v>
      </c>
      <c r="AP285" s="598" t="e">
        <f>+VLOOKUP($AJ285,Data_Validation!$A:$D,3,0)</f>
        <v>#N/A</v>
      </c>
      <c r="AQ285" s="598" t="e">
        <f>+VLOOKUP($AJ285,Data_Validation!$A:$D,4,0)</f>
        <v>#N/A</v>
      </c>
      <c r="AR285" s="598" t="s">
        <v>299</v>
      </c>
      <c r="AS285" s="598" t="e">
        <f>+VLOOKUP($AJ285,Data_Validation!$A:$E,5,0)</f>
        <v>#N/A</v>
      </c>
      <c r="AT285" s="1036">
        <f t="shared" si="18"/>
        <v>0</v>
      </c>
      <c r="AU285" s="599">
        <f t="shared" si="18"/>
        <v>0</v>
      </c>
      <c r="AV285" s="1030">
        <f>IFERROR(INDEX(V285:AG285,1,MATCH(Parametres!$B$3,V$1:AG$1,0)-1)*IF(OR(C285="L",C285="S",C285="I"),-1,1),"")</f>
        <v>0</v>
      </c>
      <c r="AW285" s="1030">
        <f t="shared" si="19"/>
        <v>0</v>
      </c>
      <c r="AX285" s="1030">
        <f>INDEX(V285:AG285,1,MATCH(Parametres!$B$3,V$1:AG$1,0))*IF(OR(C285="L",C285="S",C285="I"),-1,1)</f>
        <v>0</v>
      </c>
      <c r="AY285" s="598" t="s">
        <v>337</v>
      </c>
      <c r="AZ285" s="598" t="e">
        <f>+VLOOKUP($AJ285,Data_Validation!$A:$E,5,0)</f>
        <v>#N/A</v>
      </c>
    </row>
    <row r="286" spans="36:52" ht="15" customHeight="1">
      <c r="AJ286" s="1030">
        <f t="shared" si="16"/>
        <v>0</v>
      </c>
      <c r="AK286" s="1030">
        <f t="shared" si="16"/>
        <v>0</v>
      </c>
      <c r="AL286" s="1030">
        <f>IFERROR(INDEX(G286:R286,1,MATCH(Parametres!$B$3,G$1:R$1,0)-1)*IF(OR(F286="L",F286="S",F286="I"),-1,1),"")</f>
        <v>0</v>
      </c>
      <c r="AM286" s="1030">
        <f t="shared" si="17"/>
        <v>0</v>
      </c>
      <c r="AN286" s="1030">
        <f>INDEX(G286:R286,1,MATCH(Parametres!$B$3,G$1:R$1,0))*IF(OR(F286="L",F286="S",F286="I"),-1,1)</f>
        <v>0</v>
      </c>
      <c r="AO286" s="598" t="e">
        <f>+VLOOKUP($AJ286,Data_Validation!$A:$D,1,0)</f>
        <v>#N/A</v>
      </c>
      <c r="AP286" s="598" t="e">
        <f>+VLOOKUP($AJ286,Data_Validation!$A:$D,3,0)</f>
        <v>#N/A</v>
      </c>
      <c r="AQ286" s="598" t="e">
        <f>+VLOOKUP($AJ286,Data_Validation!$A:$D,4,0)</f>
        <v>#N/A</v>
      </c>
      <c r="AR286" s="598" t="s">
        <v>299</v>
      </c>
      <c r="AS286" s="598" t="e">
        <f>+VLOOKUP($AJ286,Data_Validation!$A:$E,5,0)</f>
        <v>#N/A</v>
      </c>
      <c r="AT286" s="1036">
        <f t="shared" si="18"/>
        <v>0</v>
      </c>
      <c r="AU286" s="599">
        <f t="shared" si="18"/>
        <v>0</v>
      </c>
      <c r="AV286" s="1030">
        <f>IFERROR(INDEX(V286:AG286,1,MATCH(Parametres!$B$3,V$1:AG$1,0)-1)*IF(OR(C286="L",C286="S",C286="I"),-1,1),"")</f>
        <v>0</v>
      </c>
      <c r="AW286" s="1030">
        <f t="shared" si="19"/>
        <v>0</v>
      </c>
      <c r="AX286" s="1030">
        <f>INDEX(V286:AG286,1,MATCH(Parametres!$B$3,V$1:AG$1,0))*IF(OR(C286="L",C286="S",C286="I"),-1,1)</f>
        <v>0</v>
      </c>
      <c r="AY286" s="598" t="s">
        <v>337</v>
      </c>
      <c r="AZ286" s="598" t="e">
        <f>+VLOOKUP($AJ286,Data_Validation!$A:$E,5,0)</f>
        <v>#N/A</v>
      </c>
    </row>
    <row r="287" spans="36:52" ht="15.75" customHeight="1">
      <c r="AJ287" s="1030">
        <f t="shared" si="16"/>
        <v>0</v>
      </c>
      <c r="AK287" s="1030">
        <f t="shared" si="16"/>
        <v>0</v>
      </c>
      <c r="AL287" s="1030">
        <f>IFERROR(INDEX(G287:R287,1,MATCH(Parametres!$B$3,G$1:R$1,0)-1)*IF(OR(F287="L",F287="S",F287="I"),-1,1),"")</f>
        <v>0</v>
      </c>
      <c r="AM287" s="1030">
        <f t="shared" si="17"/>
        <v>0</v>
      </c>
      <c r="AN287" s="1030">
        <f>INDEX(G287:R287,1,MATCH(Parametres!$B$3,G$1:R$1,0))*IF(OR(F287="L",F287="S",F287="I"),-1,1)</f>
        <v>0</v>
      </c>
      <c r="AO287" s="598" t="e">
        <f>+VLOOKUP($AJ287,Data_Validation!$A:$D,1,0)</f>
        <v>#N/A</v>
      </c>
      <c r="AP287" s="598" t="e">
        <f>+VLOOKUP($AJ287,Data_Validation!$A:$D,3,0)</f>
        <v>#N/A</v>
      </c>
      <c r="AQ287" s="598" t="e">
        <f>+VLOOKUP($AJ287,Data_Validation!$A:$D,4,0)</f>
        <v>#N/A</v>
      </c>
      <c r="AR287" s="598" t="s">
        <v>299</v>
      </c>
      <c r="AS287" s="598" t="e">
        <f>+VLOOKUP($AJ287,Data_Validation!$A:$E,5,0)</f>
        <v>#N/A</v>
      </c>
      <c r="AT287" s="1036">
        <f t="shared" si="18"/>
        <v>0</v>
      </c>
      <c r="AU287" s="599">
        <f t="shared" si="18"/>
        <v>0</v>
      </c>
      <c r="AV287" s="1030">
        <f>IFERROR(INDEX(V287:AG287,1,MATCH(Parametres!$B$3,V$1:AG$1,0)-1)*IF(OR(C287="L",C287="S",C287="I"),-1,1),"")</f>
        <v>0</v>
      </c>
      <c r="AW287" s="1030">
        <f t="shared" si="19"/>
        <v>0</v>
      </c>
      <c r="AX287" s="1030">
        <f>INDEX(V287:AG287,1,MATCH(Parametres!$B$3,V$1:AG$1,0))*IF(OR(C287="L",C287="S",C287="I"),-1,1)</f>
        <v>0</v>
      </c>
      <c r="AY287" s="598" t="s">
        <v>337</v>
      </c>
      <c r="AZ287" s="598" t="e">
        <f>+VLOOKUP($AJ287,Data_Validation!$A:$E,5,0)</f>
        <v>#N/A</v>
      </c>
    </row>
    <row r="288" spans="36:52" ht="15" customHeight="1">
      <c r="AJ288" s="1030">
        <f t="shared" si="16"/>
        <v>0</v>
      </c>
      <c r="AK288" s="1030">
        <f t="shared" si="16"/>
        <v>0</v>
      </c>
      <c r="AL288" s="1030">
        <f>IFERROR(INDEX(G288:R288,1,MATCH(Parametres!$B$3,G$1:R$1,0)-1)*IF(OR(F288="L",F288="S",F288="I"),-1,1),"")</f>
        <v>0</v>
      </c>
      <c r="AM288" s="1030">
        <f t="shared" si="17"/>
        <v>0</v>
      </c>
      <c r="AN288" s="1030">
        <f>INDEX(G288:R288,1,MATCH(Parametres!$B$3,G$1:R$1,0))*IF(OR(F288="L",F288="S",F288="I"),-1,1)</f>
        <v>0</v>
      </c>
      <c r="AO288" s="598" t="e">
        <f>+VLOOKUP($AJ288,Data_Validation!$A:$D,1,0)</f>
        <v>#N/A</v>
      </c>
      <c r="AP288" s="598" t="e">
        <f>+VLOOKUP($AJ288,Data_Validation!$A:$D,3,0)</f>
        <v>#N/A</v>
      </c>
      <c r="AQ288" s="598" t="e">
        <f>+VLOOKUP($AJ288,Data_Validation!$A:$D,4,0)</f>
        <v>#N/A</v>
      </c>
      <c r="AR288" s="598" t="s">
        <v>299</v>
      </c>
      <c r="AS288" s="598" t="e">
        <f>+VLOOKUP($AJ288,Data_Validation!$A:$E,5,0)</f>
        <v>#N/A</v>
      </c>
      <c r="AT288" s="1036">
        <f t="shared" si="18"/>
        <v>0</v>
      </c>
      <c r="AU288" s="599">
        <f t="shared" si="18"/>
        <v>0</v>
      </c>
      <c r="AV288" s="1030">
        <f>IFERROR(INDEX(V288:AG288,1,MATCH(Parametres!$B$3,V$1:AG$1,0)-1)*IF(OR(C288="L",C288="S",C288="I"),-1,1),"")</f>
        <v>0</v>
      </c>
      <c r="AW288" s="1030">
        <f t="shared" si="19"/>
        <v>0</v>
      </c>
      <c r="AX288" s="1030">
        <f>INDEX(V288:AG288,1,MATCH(Parametres!$B$3,V$1:AG$1,0))*IF(OR(C288="L",C288="S",C288="I"),-1,1)</f>
        <v>0</v>
      </c>
      <c r="AY288" s="598" t="s">
        <v>337</v>
      </c>
      <c r="AZ288" s="598" t="e">
        <f>+VLOOKUP($AJ288,Data_Validation!$A:$E,5,0)</f>
        <v>#N/A</v>
      </c>
    </row>
    <row r="289" spans="36:52" ht="15" customHeight="1">
      <c r="AJ289" s="1030">
        <f t="shared" si="16"/>
        <v>0</v>
      </c>
      <c r="AK289" s="1030">
        <f t="shared" si="16"/>
        <v>0</v>
      </c>
      <c r="AL289" s="1030">
        <f>IFERROR(INDEX(G289:R289,1,MATCH(Parametres!$B$3,G$1:R$1,0)-1)*IF(OR(F289="L",F289="S",F289="I"),-1,1),"")</f>
        <v>0</v>
      </c>
      <c r="AM289" s="1030">
        <f t="shared" si="17"/>
        <v>0</v>
      </c>
      <c r="AN289" s="1030">
        <f>INDEX(G289:R289,1,MATCH(Parametres!$B$3,G$1:R$1,0))*IF(OR(F289="L",F289="S",F289="I"),-1,1)</f>
        <v>0</v>
      </c>
      <c r="AO289" s="598" t="e">
        <f>+VLOOKUP($AJ289,Data_Validation!$A:$D,1,0)</f>
        <v>#N/A</v>
      </c>
      <c r="AP289" s="598" t="e">
        <f>+VLOOKUP($AJ289,Data_Validation!$A:$D,3,0)</f>
        <v>#N/A</v>
      </c>
      <c r="AQ289" s="598" t="e">
        <f>+VLOOKUP($AJ289,Data_Validation!$A:$D,4,0)</f>
        <v>#N/A</v>
      </c>
      <c r="AR289" s="598" t="s">
        <v>299</v>
      </c>
      <c r="AS289" s="598" t="e">
        <f>+VLOOKUP($AJ289,Data_Validation!$A:$E,5,0)</f>
        <v>#N/A</v>
      </c>
      <c r="AT289" s="1036">
        <f t="shared" si="18"/>
        <v>0</v>
      </c>
      <c r="AU289" s="599">
        <f t="shared" si="18"/>
        <v>0</v>
      </c>
      <c r="AV289" s="1030">
        <f>IFERROR(INDEX(V289:AG289,1,MATCH(Parametres!$B$3,V$1:AG$1,0)-1)*IF(OR(C289="L",C289="S",C289="I"),-1,1),"")</f>
        <v>0</v>
      </c>
      <c r="AW289" s="1030">
        <f t="shared" si="19"/>
        <v>0</v>
      </c>
      <c r="AX289" s="1030">
        <f>INDEX(V289:AG289,1,MATCH(Parametres!$B$3,V$1:AG$1,0))*IF(OR(C289="L",C289="S",C289="I"),-1,1)</f>
        <v>0</v>
      </c>
      <c r="AY289" s="598" t="s">
        <v>337</v>
      </c>
      <c r="AZ289" s="598" t="e">
        <f>+VLOOKUP($AJ289,Data_Validation!$A:$E,5,0)</f>
        <v>#N/A</v>
      </c>
    </row>
    <row r="290" spans="36:52" ht="15" customHeight="1">
      <c r="AJ290" s="1030">
        <f t="shared" si="16"/>
        <v>0</v>
      </c>
      <c r="AK290" s="1030">
        <f t="shared" si="16"/>
        <v>0</v>
      </c>
      <c r="AL290" s="1030">
        <f>IFERROR(INDEX(G290:R290,1,MATCH(Parametres!$B$3,G$1:R$1,0)-1)*IF(OR(F290="L",F290="S",F290="I"),-1,1),"")</f>
        <v>0</v>
      </c>
      <c r="AM290" s="1030">
        <f t="shared" si="17"/>
        <v>0</v>
      </c>
      <c r="AN290" s="1030">
        <f>INDEX(G290:R290,1,MATCH(Parametres!$B$3,G$1:R$1,0))*IF(OR(F290="L",F290="S",F290="I"),-1,1)</f>
        <v>0</v>
      </c>
      <c r="AO290" s="598" t="e">
        <f>+VLOOKUP($AJ290,Data_Validation!$A:$D,1,0)</f>
        <v>#N/A</v>
      </c>
      <c r="AP290" s="598" t="e">
        <f>+VLOOKUP($AJ290,Data_Validation!$A:$D,3,0)</f>
        <v>#N/A</v>
      </c>
      <c r="AQ290" s="598" t="e">
        <f>+VLOOKUP($AJ290,Data_Validation!$A:$D,4,0)</f>
        <v>#N/A</v>
      </c>
      <c r="AR290" s="598" t="s">
        <v>299</v>
      </c>
      <c r="AS290" s="598" t="e">
        <f>+VLOOKUP($AJ290,Data_Validation!$A:$E,5,0)</f>
        <v>#N/A</v>
      </c>
      <c r="AT290" s="1036">
        <f t="shared" si="18"/>
        <v>0</v>
      </c>
      <c r="AU290" s="599">
        <f t="shared" si="18"/>
        <v>0</v>
      </c>
      <c r="AV290" s="1030">
        <f>IFERROR(INDEX(V290:AG290,1,MATCH(Parametres!$B$3,V$1:AG$1,0)-1)*IF(OR(C290="L",C290="S",C290="I"),-1,1),"")</f>
        <v>0</v>
      </c>
      <c r="AW290" s="1030">
        <f t="shared" si="19"/>
        <v>0</v>
      </c>
      <c r="AX290" s="1030">
        <f>INDEX(V290:AG290,1,MATCH(Parametres!$B$3,V$1:AG$1,0))*IF(OR(C290="L",C290="S",C290="I"),-1,1)</f>
        <v>0</v>
      </c>
      <c r="AY290" s="598" t="s">
        <v>337</v>
      </c>
      <c r="AZ290" s="598" t="e">
        <f>+VLOOKUP($AJ290,Data_Validation!$A:$E,5,0)</f>
        <v>#N/A</v>
      </c>
    </row>
    <row r="291" spans="36:52" ht="15.75" customHeight="1">
      <c r="AJ291" s="1030">
        <f t="shared" si="16"/>
        <v>0</v>
      </c>
      <c r="AK291" s="1030">
        <f t="shared" si="16"/>
        <v>0</v>
      </c>
      <c r="AL291" s="1030">
        <f>IFERROR(INDEX(G291:R291,1,MATCH(Parametres!$B$3,G$1:R$1,0)-1)*IF(OR(F291="L",F291="S",F291="I"),-1,1),"")</f>
        <v>0</v>
      </c>
      <c r="AM291" s="1030">
        <f t="shared" si="17"/>
        <v>0</v>
      </c>
      <c r="AN291" s="1030">
        <f>INDEX(G291:R291,1,MATCH(Parametres!$B$3,G$1:R$1,0))*IF(OR(F291="L",F291="S",F291="I"),-1,1)</f>
        <v>0</v>
      </c>
      <c r="AO291" s="598" t="e">
        <f>+VLOOKUP($AJ291,Data_Validation!$A:$D,1,0)</f>
        <v>#N/A</v>
      </c>
      <c r="AP291" s="598" t="e">
        <f>+VLOOKUP($AJ291,Data_Validation!$A:$D,3,0)</f>
        <v>#N/A</v>
      </c>
      <c r="AQ291" s="598" t="e">
        <f>+VLOOKUP($AJ291,Data_Validation!$A:$D,4,0)</f>
        <v>#N/A</v>
      </c>
      <c r="AR291" s="598" t="s">
        <v>299</v>
      </c>
      <c r="AS291" s="598" t="e">
        <f>+VLOOKUP($AJ291,Data_Validation!$A:$E,5,0)</f>
        <v>#N/A</v>
      </c>
      <c r="AT291" s="1036">
        <f t="shared" si="18"/>
        <v>0</v>
      </c>
      <c r="AU291" s="599">
        <f t="shared" si="18"/>
        <v>0</v>
      </c>
      <c r="AV291" s="1030">
        <f>IFERROR(INDEX(V291:AG291,1,MATCH(Parametres!$B$3,V$1:AG$1,0)-1)*IF(OR(C291="L",C291="S",C291="I"),-1,1),"")</f>
        <v>0</v>
      </c>
      <c r="AW291" s="1030">
        <f t="shared" si="19"/>
        <v>0</v>
      </c>
      <c r="AX291" s="1030">
        <f>INDEX(V291:AG291,1,MATCH(Parametres!$B$3,V$1:AG$1,0))*IF(OR(C291="L",C291="S",C291="I"),-1,1)</f>
        <v>0</v>
      </c>
      <c r="AY291" s="598" t="s">
        <v>337</v>
      </c>
      <c r="AZ291" s="598" t="e">
        <f>+VLOOKUP($AJ291,Data_Validation!$A:$E,5,0)</f>
        <v>#N/A</v>
      </c>
    </row>
    <row r="292" spans="36:52" ht="15" customHeight="1">
      <c r="AJ292" s="1030">
        <f t="shared" si="16"/>
        <v>0</v>
      </c>
      <c r="AK292" s="1030">
        <f t="shared" si="16"/>
        <v>0</v>
      </c>
      <c r="AL292" s="1030">
        <f>IFERROR(INDEX(G292:R292,1,MATCH(Parametres!$B$3,G$1:R$1,0)-1)*IF(OR(F292="L",F292="S",F292="I"),-1,1),"")</f>
        <v>0</v>
      </c>
      <c r="AM292" s="1030">
        <f t="shared" si="17"/>
        <v>0</v>
      </c>
      <c r="AN292" s="1030">
        <f>INDEX(G292:R292,1,MATCH(Parametres!$B$3,G$1:R$1,0))*IF(OR(F292="L",F292="S",F292="I"),-1,1)</f>
        <v>0</v>
      </c>
      <c r="AO292" s="598" t="e">
        <f>+VLOOKUP($AJ292,Data_Validation!$A:$D,1,0)</f>
        <v>#N/A</v>
      </c>
      <c r="AP292" s="598" t="e">
        <f>+VLOOKUP($AJ292,Data_Validation!$A:$D,3,0)</f>
        <v>#N/A</v>
      </c>
      <c r="AQ292" s="598" t="e">
        <f>+VLOOKUP($AJ292,Data_Validation!$A:$D,4,0)</f>
        <v>#N/A</v>
      </c>
      <c r="AR292" s="598" t="s">
        <v>299</v>
      </c>
      <c r="AS292" s="598" t="e">
        <f>+VLOOKUP($AJ292,Data_Validation!$A:$E,5,0)</f>
        <v>#N/A</v>
      </c>
      <c r="AT292" s="1036">
        <f t="shared" si="18"/>
        <v>0</v>
      </c>
      <c r="AU292" s="599">
        <f t="shared" si="18"/>
        <v>0</v>
      </c>
      <c r="AV292" s="1030">
        <f>IFERROR(INDEX(V292:AG292,1,MATCH(Parametres!$B$3,V$1:AG$1,0)-1)*IF(OR(C292="L",C292="S",C292="I"),-1,1),"")</f>
        <v>0</v>
      </c>
      <c r="AW292" s="1030">
        <f t="shared" si="19"/>
        <v>0</v>
      </c>
      <c r="AX292" s="1030">
        <f>INDEX(V292:AG292,1,MATCH(Parametres!$B$3,V$1:AG$1,0))*IF(OR(C292="L",C292="S",C292="I"),-1,1)</f>
        <v>0</v>
      </c>
      <c r="AY292" s="598" t="s">
        <v>337</v>
      </c>
      <c r="AZ292" s="598" t="e">
        <f>+VLOOKUP($AJ292,Data_Validation!$A:$E,5,0)</f>
        <v>#N/A</v>
      </c>
    </row>
    <row r="293" spans="36:52" ht="15" customHeight="1">
      <c r="AJ293" s="1030">
        <f t="shared" si="16"/>
        <v>0</v>
      </c>
      <c r="AK293" s="1030">
        <f t="shared" si="16"/>
        <v>0</v>
      </c>
      <c r="AL293" s="1030">
        <f>IFERROR(INDEX(G293:R293,1,MATCH(Parametres!$B$3,G$1:R$1,0)-1)*IF(OR(F293="L",F293="S",F293="I"),-1,1),"")</f>
        <v>0</v>
      </c>
      <c r="AM293" s="1030">
        <f t="shared" si="17"/>
        <v>0</v>
      </c>
      <c r="AN293" s="1030">
        <f>INDEX(G293:R293,1,MATCH(Parametres!$B$3,G$1:R$1,0))*IF(OR(F293="L",F293="S",F293="I"),-1,1)</f>
        <v>0</v>
      </c>
      <c r="AO293" s="598" t="e">
        <f>+VLOOKUP($AJ293,Data_Validation!$A:$D,1,0)</f>
        <v>#N/A</v>
      </c>
      <c r="AP293" s="598" t="e">
        <f>+VLOOKUP($AJ293,Data_Validation!$A:$D,3,0)</f>
        <v>#N/A</v>
      </c>
      <c r="AQ293" s="598" t="e">
        <f>+VLOOKUP($AJ293,Data_Validation!$A:$D,4,0)</f>
        <v>#N/A</v>
      </c>
      <c r="AR293" s="598" t="s">
        <v>299</v>
      </c>
      <c r="AS293" s="598" t="e">
        <f>+VLOOKUP($AJ293,Data_Validation!$A:$E,5,0)</f>
        <v>#N/A</v>
      </c>
      <c r="AT293" s="1036">
        <f t="shared" si="18"/>
        <v>0</v>
      </c>
      <c r="AU293" s="599">
        <f t="shared" si="18"/>
        <v>0</v>
      </c>
      <c r="AV293" s="1030">
        <f>IFERROR(INDEX(V293:AG293,1,MATCH(Parametres!$B$3,V$1:AG$1,0)-1)*IF(OR(C293="L",C293="S",C293="I"),-1,1),"")</f>
        <v>0</v>
      </c>
      <c r="AW293" s="1030">
        <f t="shared" si="19"/>
        <v>0</v>
      </c>
      <c r="AX293" s="1030">
        <f>INDEX(V293:AG293,1,MATCH(Parametres!$B$3,V$1:AG$1,0))*IF(OR(C293="L",C293="S",C293="I"),-1,1)</f>
        <v>0</v>
      </c>
      <c r="AY293" s="598" t="s">
        <v>337</v>
      </c>
      <c r="AZ293" s="598" t="e">
        <f>+VLOOKUP($AJ293,Data_Validation!$A:$E,5,0)</f>
        <v>#N/A</v>
      </c>
    </row>
    <row r="294" spans="36:52" ht="15" customHeight="1">
      <c r="AJ294" s="1030">
        <f t="shared" si="16"/>
        <v>0</v>
      </c>
      <c r="AK294" s="1030">
        <f t="shared" si="16"/>
        <v>0</v>
      </c>
      <c r="AL294" s="1030">
        <f>IFERROR(INDEX(G294:R294,1,MATCH(Parametres!$B$3,G$1:R$1,0)-1)*IF(OR(F294="L",F294="S",F294="I"),-1,1),"")</f>
        <v>0</v>
      </c>
      <c r="AM294" s="1030">
        <f t="shared" si="17"/>
        <v>0</v>
      </c>
      <c r="AN294" s="1030">
        <f>INDEX(G294:R294,1,MATCH(Parametres!$B$3,G$1:R$1,0))*IF(OR(F294="L",F294="S",F294="I"),-1,1)</f>
        <v>0</v>
      </c>
      <c r="AO294" s="598" t="e">
        <f>+VLOOKUP($AJ294,Data_Validation!$A:$D,1,0)</f>
        <v>#N/A</v>
      </c>
      <c r="AP294" s="598" t="e">
        <f>+VLOOKUP($AJ294,Data_Validation!$A:$D,3,0)</f>
        <v>#N/A</v>
      </c>
      <c r="AQ294" s="598" t="e">
        <f>+VLOOKUP($AJ294,Data_Validation!$A:$D,4,0)</f>
        <v>#N/A</v>
      </c>
      <c r="AR294" s="598" t="s">
        <v>299</v>
      </c>
      <c r="AS294" s="598" t="e">
        <f>+VLOOKUP($AJ294,Data_Validation!$A:$E,5,0)</f>
        <v>#N/A</v>
      </c>
      <c r="AT294" s="1036">
        <f t="shared" si="18"/>
        <v>0</v>
      </c>
      <c r="AU294" s="599">
        <f t="shared" si="18"/>
        <v>0</v>
      </c>
      <c r="AV294" s="1030">
        <f>IFERROR(INDEX(V294:AG294,1,MATCH(Parametres!$B$3,V$1:AG$1,0)-1)*IF(OR(C294="L",C294="S",C294="I"),-1,1),"")</f>
        <v>0</v>
      </c>
      <c r="AW294" s="1030">
        <f t="shared" si="19"/>
        <v>0</v>
      </c>
      <c r="AX294" s="1030">
        <f>INDEX(V294:AG294,1,MATCH(Parametres!$B$3,V$1:AG$1,0))*IF(OR(C294="L",C294="S",C294="I"),-1,1)</f>
        <v>0</v>
      </c>
      <c r="AY294" s="598" t="s">
        <v>337</v>
      </c>
      <c r="AZ294" s="598" t="e">
        <f>+VLOOKUP($AJ294,Data_Validation!$A:$E,5,0)</f>
        <v>#N/A</v>
      </c>
    </row>
    <row r="295" spans="36:52" ht="15" customHeight="1">
      <c r="AJ295" s="1030">
        <f t="shared" si="16"/>
        <v>0</v>
      </c>
      <c r="AK295" s="1030">
        <f t="shared" si="16"/>
        <v>0</v>
      </c>
      <c r="AL295" s="1030">
        <f>IFERROR(INDEX(G295:R295,1,MATCH(Parametres!$B$3,G$1:R$1,0)-1)*IF(OR(F295="L",F295="S",F295="I"),-1,1),"")</f>
        <v>0</v>
      </c>
      <c r="AM295" s="1030">
        <f t="shared" si="17"/>
        <v>0</v>
      </c>
      <c r="AN295" s="1030">
        <f>INDEX(G295:R295,1,MATCH(Parametres!$B$3,G$1:R$1,0))*IF(OR(F295="L",F295="S",F295="I"),-1,1)</f>
        <v>0</v>
      </c>
      <c r="AO295" s="598" t="e">
        <f>+VLOOKUP($AJ295,Data_Validation!$A:$D,1,0)</f>
        <v>#N/A</v>
      </c>
      <c r="AP295" s="598" t="e">
        <f>+VLOOKUP($AJ295,Data_Validation!$A:$D,3,0)</f>
        <v>#N/A</v>
      </c>
      <c r="AQ295" s="598" t="e">
        <f>+VLOOKUP($AJ295,Data_Validation!$A:$D,4,0)</f>
        <v>#N/A</v>
      </c>
      <c r="AR295" s="598" t="s">
        <v>299</v>
      </c>
      <c r="AS295" s="598" t="e">
        <f>+VLOOKUP($AJ295,Data_Validation!$A:$E,5,0)</f>
        <v>#N/A</v>
      </c>
      <c r="AT295" s="1036">
        <f t="shared" si="18"/>
        <v>0</v>
      </c>
      <c r="AU295" s="599">
        <f t="shared" si="18"/>
        <v>0</v>
      </c>
      <c r="AV295" s="1030">
        <f>IFERROR(INDEX(V295:AG295,1,MATCH(Parametres!$B$3,V$1:AG$1,0)-1)*IF(OR(C295="L",C295="S",C295="I"),-1,1),"")</f>
        <v>0</v>
      </c>
      <c r="AW295" s="1030">
        <f t="shared" si="19"/>
        <v>0</v>
      </c>
      <c r="AX295" s="1030">
        <f>INDEX(V295:AG295,1,MATCH(Parametres!$B$3,V$1:AG$1,0))*IF(OR(C295="L",C295="S",C295="I"),-1,1)</f>
        <v>0</v>
      </c>
      <c r="AY295" s="598" t="s">
        <v>337</v>
      </c>
      <c r="AZ295" s="598" t="e">
        <f>+VLOOKUP($AJ295,Data_Validation!$A:$E,5,0)</f>
        <v>#N/A</v>
      </c>
    </row>
    <row r="296" spans="36:52" ht="15" customHeight="1">
      <c r="AJ296" s="1030">
        <f t="shared" si="16"/>
        <v>0</v>
      </c>
      <c r="AK296" s="1030">
        <f t="shared" si="16"/>
        <v>0</v>
      </c>
      <c r="AL296" s="1030">
        <f>IFERROR(INDEX(G296:R296,1,MATCH(Parametres!$B$3,G$1:R$1,0)-1)*IF(OR(F296="L",F296="S",F296="I"),-1,1),"")</f>
        <v>0</v>
      </c>
      <c r="AM296" s="1030">
        <f t="shared" si="17"/>
        <v>0</v>
      </c>
      <c r="AN296" s="1030">
        <f>INDEX(G296:R296,1,MATCH(Parametres!$B$3,G$1:R$1,0))*IF(OR(F296="L",F296="S",F296="I"),-1,1)</f>
        <v>0</v>
      </c>
      <c r="AO296" s="598" t="e">
        <f>+VLOOKUP($AJ296,Data_Validation!$A:$D,1,0)</f>
        <v>#N/A</v>
      </c>
      <c r="AP296" s="598" t="e">
        <f>+VLOOKUP($AJ296,Data_Validation!$A:$D,3,0)</f>
        <v>#N/A</v>
      </c>
      <c r="AQ296" s="598" t="e">
        <f>+VLOOKUP($AJ296,Data_Validation!$A:$D,4,0)</f>
        <v>#N/A</v>
      </c>
      <c r="AR296" s="598" t="s">
        <v>299</v>
      </c>
      <c r="AS296" s="598" t="e">
        <f>+VLOOKUP($AJ296,Data_Validation!$A:$E,5,0)</f>
        <v>#N/A</v>
      </c>
      <c r="AT296" s="1036">
        <f t="shared" si="18"/>
        <v>0</v>
      </c>
      <c r="AU296" s="599">
        <f t="shared" si="18"/>
        <v>0</v>
      </c>
      <c r="AV296" s="1030">
        <f>IFERROR(INDEX(V296:AG296,1,MATCH(Parametres!$B$3,V$1:AG$1,0)-1)*IF(OR(C296="L",C296="S",C296="I"),-1,1),"")</f>
        <v>0</v>
      </c>
      <c r="AW296" s="1030">
        <f t="shared" si="19"/>
        <v>0</v>
      </c>
      <c r="AX296" s="1030">
        <f>INDEX(V296:AG296,1,MATCH(Parametres!$B$3,V$1:AG$1,0))*IF(OR(C296="L",C296="S",C296="I"),-1,1)</f>
        <v>0</v>
      </c>
      <c r="AY296" s="598" t="s">
        <v>337</v>
      </c>
      <c r="AZ296" s="598" t="e">
        <f>+VLOOKUP($AJ296,Data_Validation!$A:$E,5,0)</f>
        <v>#N/A</v>
      </c>
    </row>
    <row r="297" spans="36:52" ht="15.75" customHeight="1">
      <c r="AJ297" s="1030">
        <f t="shared" si="16"/>
        <v>0</v>
      </c>
      <c r="AK297" s="1030">
        <f t="shared" si="16"/>
        <v>0</v>
      </c>
      <c r="AL297" s="1030">
        <f>IFERROR(INDEX(G297:R297,1,MATCH(Parametres!$B$3,G$1:R$1,0)-1)*IF(OR(F297="L",F297="S",F297="I"),-1,1),"")</f>
        <v>0</v>
      </c>
      <c r="AM297" s="1030">
        <f t="shared" si="17"/>
        <v>0</v>
      </c>
      <c r="AN297" s="1030">
        <f>INDEX(G297:R297,1,MATCH(Parametres!$B$3,G$1:R$1,0))*IF(OR(F297="L",F297="S",F297="I"),-1,1)</f>
        <v>0</v>
      </c>
      <c r="AO297" s="598" t="e">
        <f>+VLOOKUP($AJ297,Data_Validation!$A:$D,1,0)</f>
        <v>#N/A</v>
      </c>
      <c r="AP297" s="598" t="e">
        <f>+VLOOKUP($AJ297,Data_Validation!$A:$D,3,0)</f>
        <v>#N/A</v>
      </c>
      <c r="AQ297" s="598" t="e">
        <f>+VLOOKUP($AJ297,Data_Validation!$A:$D,4,0)</f>
        <v>#N/A</v>
      </c>
      <c r="AR297" s="598" t="s">
        <v>299</v>
      </c>
      <c r="AS297" s="598" t="e">
        <f>+VLOOKUP($AJ297,Data_Validation!$A:$E,5,0)</f>
        <v>#N/A</v>
      </c>
      <c r="AT297" s="1036">
        <f t="shared" si="18"/>
        <v>0</v>
      </c>
      <c r="AU297" s="599">
        <f t="shared" si="18"/>
        <v>0</v>
      </c>
      <c r="AV297" s="1030">
        <f>IFERROR(INDEX(V297:AG297,1,MATCH(Parametres!$B$3,V$1:AG$1,0)-1)*IF(OR(C297="L",C297="S",C297="I"),-1,1),"")</f>
        <v>0</v>
      </c>
      <c r="AW297" s="1030">
        <f t="shared" si="19"/>
        <v>0</v>
      </c>
      <c r="AX297" s="1030">
        <f>INDEX(V297:AG297,1,MATCH(Parametres!$B$3,V$1:AG$1,0))*IF(OR(C297="L",C297="S",C297="I"),-1,1)</f>
        <v>0</v>
      </c>
      <c r="AY297" s="598" t="s">
        <v>337</v>
      </c>
      <c r="AZ297" s="598" t="e">
        <f>+VLOOKUP($AJ297,Data_Validation!$A:$E,5,0)</f>
        <v>#N/A</v>
      </c>
    </row>
    <row r="298" spans="36:52" ht="15" customHeight="1">
      <c r="AJ298" s="1030">
        <f t="shared" si="16"/>
        <v>0</v>
      </c>
      <c r="AK298" s="1030">
        <f t="shared" si="16"/>
        <v>0</v>
      </c>
      <c r="AL298" s="1030">
        <f>IFERROR(INDEX(G298:R298,1,MATCH(Parametres!$B$3,G$1:R$1,0)-1)*IF(OR(F298="L",F298="S",F298="I"),-1,1),"")</f>
        <v>0</v>
      </c>
      <c r="AM298" s="1030">
        <f t="shared" si="17"/>
        <v>0</v>
      </c>
      <c r="AN298" s="1030">
        <f>INDEX(G298:R298,1,MATCH(Parametres!$B$3,G$1:R$1,0))*IF(OR(F298="L",F298="S",F298="I"),-1,1)</f>
        <v>0</v>
      </c>
      <c r="AO298" s="598" t="e">
        <f>+VLOOKUP($AJ298,Data_Validation!$A:$D,1,0)</f>
        <v>#N/A</v>
      </c>
      <c r="AP298" s="598" t="e">
        <f>+VLOOKUP($AJ298,Data_Validation!$A:$D,3,0)</f>
        <v>#N/A</v>
      </c>
      <c r="AQ298" s="598" t="e">
        <f>+VLOOKUP($AJ298,Data_Validation!$A:$D,4,0)</f>
        <v>#N/A</v>
      </c>
      <c r="AR298" s="598" t="s">
        <v>299</v>
      </c>
      <c r="AS298" s="598" t="e">
        <f>+VLOOKUP($AJ298,Data_Validation!$A:$E,5,0)</f>
        <v>#N/A</v>
      </c>
      <c r="AT298" s="1036">
        <f t="shared" si="18"/>
        <v>0</v>
      </c>
      <c r="AU298" s="599">
        <f t="shared" si="18"/>
        <v>0</v>
      </c>
      <c r="AV298" s="1030">
        <f>IFERROR(INDEX(V298:AG298,1,MATCH(Parametres!$B$3,V$1:AG$1,0)-1)*IF(OR(C298="L",C298="S",C298="I"),-1,1),"")</f>
        <v>0</v>
      </c>
      <c r="AW298" s="1030">
        <f t="shared" si="19"/>
        <v>0</v>
      </c>
      <c r="AX298" s="1030">
        <f>INDEX(V298:AG298,1,MATCH(Parametres!$B$3,V$1:AG$1,0))*IF(OR(C298="L",C298="S",C298="I"),-1,1)</f>
        <v>0</v>
      </c>
      <c r="AY298" s="598" t="s">
        <v>337</v>
      </c>
      <c r="AZ298" s="598" t="e">
        <f>+VLOOKUP($AJ298,Data_Validation!$A:$E,5,0)</f>
        <v>#N/A</v>
      </c>
    </row>
    <row r="299" spans="36:52" ht="15" customHeight="1">
      <c r="AJ299" s="1030">
        <f t="shared" si="16"/>
        <v>0</v>
      </c>
      <c r="AK299" s="1030">
        <f t="shared" si="16"/>
        <v>0</v>
      </c>
      <c r="AL299" s="1030">
        <f>IFERROR(INDEX(G299:R299,1,MATCH(Parametres!$B$3,G$1:R$1,0)-1)*IF(OR(F299="L",F299="S",F299="I"),-1,1),"")</f>
        <v>0</v>
      </c>
      <c r="AM299" s="1030">
        <f t="shared" si="17"/>
        <v>0</v>
      </c>
      <c r="AN299" s="1030">
        <f>INDEX(G299:R299,1,MATCH(Parametres!$B$3,G$1:R$1,0))*IF(OR(F299="L",F299="S",F299="I"),-1,1)</f>
        <v>0</v>
      </c>
      <c r="AO299" s="598" t="e">
        <f>+VLOOKUP($AJ299,Data_Validation!$A:$D,1,0)</f>
        <v>#N/A</v>
      </c>
      <c r="AP299" s="598" t="e">
        <f>+VLOOKUP($AJ299,Data_Validation!$A:$D,3,0)</f>
        <v>#N/A</v>
      </c>
      <c r="AQ299" s="598" t="e">
        <f>+VLOOKUP($AJ299,Data_Validation!$A:$D,4,0)</f>
        <v>#N/A</v>
      </c>
      <c r="AR299" s="598" t="s">
        <v>299</v>
      </c>
      <c r="AS299" s="598" t="e">
        <f>+VLOOKUP($AJ299,Data_Validation!$A:$E,5,0)</f>
        <v>#N/A</v>
      </c>
      <c r="AT299" s="1036">
        <f t="shared" si="18"/>
        <v>0</v>
      </c>
      <c r="AU299" s="599">
        <f t="shared" si="18"/>
        <v>0</v>
      </c>
      <c r="AV299" s="1030">
        <f>IFERROR(INDEX(V299:AG299,1,MATCH(Parametres!$B$3,V$1:AG$1,0)-1)*IF(OR(C299="L",C299="S",C299="I"),-1,1),"")</f>
        <v>0</v>
      </c>
      <c r="AW299" s="1030">
        <f t="shared" si="19"/>
        <v>0</v>
      </c>
      <c r="AX299" s="1030">
        <f>INDEX(V299:AG299,1,MATCH(Parametres!$B$3,V$1:AG$1,0))*IF(OR(C299="L",C299="S",C299="I"),-1,1)</f>
        <v>0</v>
      </c>
      <c r="AY299" s="598" t="s">
        <v>337</v>
      </c>
      <c r="AZ299" s="598" t="e">
        <f>+VLOOKUP($AJ299,Data_Validation!$A:$E,5,0)</f>
        <v>#N/A</v>
      </c>
    </row>
    <row r="300" spans="36:52" ht="15" customHeight="1">
      <c r="AJ300" s="1030">
        <f t="shared" si="16"/>
        <v>0</v>
      </c>
      <c r="AK300" s="1030">
        <f t="shared" si="16"/>
        <v>0</v>
      </c>
      <c r="AL300" s="1030">
        <f>IFERROR(INDEX(G300:R300,1,MATCH(Parametres!$B$3,G$1:R$1,0)-1)*IF(OR(F300="L",F300="S",F300="I"),-1,1),"")</f>
        <v>0</v>
      </c>
      <c r="AM300" s="1030">
        <f t="shared" si="17"/>
        <v>0</v>
      </c>
      <c r="AN300" s="1030">
        <f>INDEX(G300:R300,1,MATCH(Parametres!$B$3,G$1:R$1,0))*IF(OR(F300="L",F300="S",F300="I"),-1,1)</f>
        <v>0</v>
      </c>
      <c r="AO300" s="598" t="e">
        <f>+VLOOKUP($AJ300,Data_Validation!$A:$D,1,0)</f>
        <v>#N/A</v>
      </c>
      <c r="AP300" s="598" t="e">
        <f>+VLOOKUP($AJ300,Data_Validation!$A:$D,3,0)</f>
        <v>#N/A</v>
      </c>
      <c r="AQ300" s="598" t="e">
        <f>+VLOOKUP($AJ300,Data_Validation!$A:$D,4,0)</f>
        <v>#N/A</v>
      </c>
      <c r="AR300" s="598" t="s">
        <v>299</v>
      </c>
      <c r="AS300" s="598" t="e">
        <f>+VLOOKUP($AJ300,Data_Validation!$A:$E,5,0)</f>
        <v>#N/A</v>
      </c>
      <c r="AT300" s="1036">
        <f t="shared" si="18"/>
        <v>0</v>
      </c>
      <c r="AU300" s="599">
        <f t="shared" si="18"/>
        <v>0</v>
      </c>
      <c r="AV300" s="1030">
        <f>IFERROR(INDEX(V300:AG300,1,MATCH(Parametres!$B$3,V$1:AG$1,0)-1)*IF(OR(C300="L",C300="S",C300="I"),-1,1),"")</f>
        <v>0</v>
      </c>
      <c r="AW300" s="1030">
        <f t="shared" si="19"/>
        <v>0</v>
      </c>
      <c r="AX300" s="1030">
        <f>INDEX(V300:AG300,1,MATCH(Parametres!$B$3,V$1:AG$1,0))*IF(OR(C300="L",C300="S",C300="I"),-1,1)</f>
        <v>0</v>
      </c>
      <c r="AY300" s="598" t="s">
        <v>337</v>
      </c>
      <c r="AZ300" s="598" t="e">
        <f>+VLOOKUP($AJ300,Data_Validation!$A:$E,5,0)</f>
        <v>#N/A</v>
      </c>
    </row>
    <row r="301" spans="36:52" ht="15.75" customHeight="1">
      <c r="AJ301" s="1030">
        <f t="shared" si="16"/>
        <v>0</v>
      </c>
      <c r="AK301" s="1030">
        <f t="shared" si="16"/>
        <v>0</v>
      </c>
      <c r="AL301" s="1030">
        <f>IFERROR(INDEX(G301:R301,1,MATCH(Parametres!$B$3,G$1:R$1,0)-1)*IF(OR(F301="L",F301="S",F301="I"),-1,1),"")</f>
        <v>0</v>
      </c>
      <c r="AM301" s="1030">
        <f t="shared" si="17"/>
        <v>0</v>
      </c>
      <c r="AN301" s="1030">
        <f>INDEX(G301:R301,1,MATCH(Parametres!$B$3,G$1:R$1,0))*IF(OR(F301="L",F301="S",F301="I"),-1,1)</f>
        <v>0</v>
      </c>
      <c r="AO301" s="598" t="e">
        <f>+VLOOKUP($AJ301,Data_Validation!$A:$D,1,0)</f>
        <v>#N/A</v>
      </c>
      <c r="AP301" s="598" t="e">
        <f>+VLOOKUP($AJ301,Data_Validation!$A:$D,3,0)</f>
        <v>#N/A</v>
      </c>
      <c r="AQ301" s="598" t="e">
        <f>+VLOOKUP($AJ301,Data_Validation!$A:$D,4,0)</f>
        <v>#N/A</v>
      </c>
      <c r="AR301" s="598" t="s">
        <v>299</v>
      </c>
      <c r="AS301" s="598" t="e">
        <f>+VLOOKUP($AJ301,Data_Validation!$A:$E,5,0)</f>
        <v>#N/A</v>
      </c>
      <c r="AT301" s="1036">
        <f t="shared" si="18"/>
        <v>0</v>
      </c>
      <c r="AU301" s="599">
        <f t="shared" si="18"/>
        <v>0</v>
      </c>
      <c r="AV301" s="1030">
        <f>IFERROR(INDEX(V301:AG301,1,MATCH(Parametres!$B$3,V$1:AG$1,0)-1)*IF(OR(C301="L",C301="S",C301="I"),-1,1),"")</f>
        <v>0</v>
      </c>
      <c r="AW301" s="1030">
        <f t="shared" si="19"/>
        <v>0</v>
      </c>
      <c r="AX301" s="1030">
        <f>INDEX(V301:AG301,1,MATCH(Parametres!$B$3,V$1:AG$1,0))*IF(OR(C301="L",C301="S",C301="I"),-1,1)</f>
        <v>0</v>
      </c>
      <c r="AY301" s="598" t="s">
        <v>337</v>
      </c>
      <c r="AZ301" s="598" t="e">
        <f>+VLOOKUP($AJ301,Data_Validation!$A:$E,5,0)</f>
        <v>#N/A</v>
      </c>
    </row>
    <row r="302" spans="36:52" ht="15" customHeight="1">
      <c r="AJ302" s="1030">
        <f t="shared" si="16"/>
        <v>0</v>
      </c>
      <c r="AK302" s="1030">
        <f t="shared" si="16"/>
        <v>0</v>
      </c>
      <c r="AL302" s="1030">
        <f>IFERROR(INDEX(G302:R302,1,MATCH(Parametres!$B$3,G$1:R$1,0)-1)*IF(OR(F302="L",F302="S",F302="I"),-1,1),"")</f>
        <v>0</v>
      </c>
      <c r="AM302" s="1030">
        <f t="shared" si="17"/>
        <v>0</v>
      </c>
      <c r="AN302" s="1030">
        <f>INDEX(G302:R302,1,MATCH(Parametres!$B$3,G$1:R$1,0))*IF(OR(F302="L",F302="S",F302="I"),-1,1)</f>
        <v>0</v>
      </c>
      <c r="AO302" s="598" t="e">
        <f>+VLOOKUP($AJ302,Data_Validation!$A:$D,1,0)</f>
        <v>#N/A</v>
      </c>
      <c r="AP302" s="598" t="e">
        <f>+VLOOKUP($AJ302,Data_Validation!$A:$D,3,0)</f>
        <v>#N/A</v>
      </c>
      <c r="AQ302" s="598" t="e">
        <f>+VLOOKUP($AJ302,Data_Validation!$A:$D,4,0)</f>
        <v>#N/A</v>
      </c>
      <c r="AR302" s="598" t="s">
        <v>299</v>
      </c>
      <c r="AS302" s="598" t="e">
        <f>+VLOOKUP($AJ302,Data_Validation!$A:$E,5,0)</f>
        <v>#N/A</v>
      </c>
      <c r="AT302" s="1036">
        <f t="shared" si="18"/>
        <v>0</v>
      </c>
      <c r="AU302" s="599">
        <f t="shared" si="18"/>
        <v>0</v>
      </c>
      <c r="AV302" s="1030">
        <f>IFERROR(INDEX(V302:AG302,1,MATCH(Parametres!$B$3,V$1:AG$1,0)-1)*IF(OR(C302="L",C302="S",C302="I"),-1,1),"")</f>
        <v>0</v>
      </c>
      <c r="AW302" s="1030">
        <f t="shared" si="19"/>
        <v>0</v>
      </c>
      <c r="AX302" s="1030">
        <f>INDEX(V302:AG302,1,MATCH(Parametres!$B$3,V$1:AG$1,0))*IF(OR(C302="L",C302="S",C302="I"),-1,1)</f>
        <v>0</v>
      </c>
      <c r="AY302" s="598" t="s">
        <v>337</v>
      </c>
      <c r="AZ302" s="598" t="e">
        <f>+VLOOKUP($AJ302,Data_Validation!$A:$E,5,0)</f>
        <v>#N/A</v>
      </c>
    </row>
    <row r="303" spans="36:52" ht="15" customHeight="1">
      <c r="AJ303" s="1030">
        <f t="shared" si="16"/>
        <v>0</v>
      </c>
      <c r="AK303" s="1030">
        <f t="shared" si="16"/>
        <v>0</v>
      </c>
      <c r="AL303" s="1030">
        <f>IFERROR(INDEX(G303:R303,1,MATCH(Parametres!$B$3,G$1:R$1,0)-1)*IF(OR(F303="L",F303="S",F303="I"),-1,1),"")</f>
        <v>0</v>
      </c>
      <c r="AM303" s="1030">
        <f t="shared" si="17"/>
        <v>0</v>
      </c>
      <c r="AN303" s="1030">
        <f>INDEX(G303:R303,1,MATCH(Parametres!$B$3,G$1:R$1,0))*IF(OR(F303="L",F303="S",F303="I"),-1,1)</f>
        <v>0</v>
      </c>
      <c r="AO303" s="598" t="e">
        <f>+VLOOKUP($AJ303,Data_Validation!$A:$D,1,0)</f>
        <v>#N/A</v>
      </c>
      <c r="AP303" s="598" t="e">
        <f>+VLOOKUP($AJ303,Data_Validation!$A:$D,3,0)</f>
        <v>#N/A</v>
      </c>
      <c r="AQ303" s="598" t="e">
        <f>+VLOOKUP($AJ303,Data_Validation!$A:$D,4,0)</f>
        <v>#N/A</v>
      </c>
      <c r="AR303" s="598" t="s">
        <v>299</v>
      </c>
      <c r="AS303" s="598" t="e">
        <f>+VLOOKUP($AJ303,Data_Validation!$A:$E,5,0)</f>
        <v>#N/A</v>
      </c>
      <c r="AT303" s="1036">
        <f t="shared" si="18"/>
        <v>0</v>
      </c>
      <c r="AU303" s="599">
        <f t="shared" si="18"/>
        <v>0</v>
      </c>
      <c r="AV303" s="1030">
        <f>IFERROR(INDEX(V303:AG303,1,MATCH(Parametres!$B$3,V$1:AG$1,0)-1)*IF(OR(C303="L",C303="S",C303="I"),-1,1),"")</f>
        <v>0</v>
      </c>
      <c r="AW303" s="1030">
        <f t="shared" si="19"/>
        <v>0</v>
      </c>
      <c r="AX303" s="1030">
        <f>INDEX(V303:AG303,1,MATCH(Parametres!$B$3,V$1:AG$1,0))*IF(OR(C303="L",C303="S",C303="I"),-1,1)</f>
        <v>0</v>
      </c>
      <c r="AY303" s="598" t="s">
        <v>337</v>
      </c>
      <c r="AZ303" s="598" t="e">
        <f>+VLOOKUP($AJ303,Data_Validation!$A:$E,5,0)</f>
        <v>#N/A</v>
      </c>
    </row>
    <row r="304" spans="36:52" ht="15" customHeight="1">
      <c r="AJ304" s="1030">
        <f t="shared" si="16"/>
        <v>0</v>
      </c>
      <c r="AK304" s="1030">
        <f t="shared" si="16"/>
        <v>0</v>
      </c>
      <c r="AL304" s="1030">
        <f>IFERROR(INDEX(G304:R304,1,MATCH(Parametres!$B$3,G$1:R$1,0)-1)*IF(OR(F304="L",F304="S",F304="I"),-1,1),"")</f>
        <v>0</v>
      </c>
      <c r="AM304" s="1030">
        <f t="shared" si="17"/>
        <v>0</v>
      </c>
      <c r="AN304" s="1030">
        <f>INDEX(G304:R304,1,MATCH(Parametres!$B$3,G$1:R$1,0))*IF(OR(F304="L",F304="S",F304="I"),-1,1)</f>
        <v>0</v>
      </c>
      <c r="AO304" s="598" t="e">
        <f>+VLOOKUP($AJ304,Data_Validation!$A:$D,1,0)</f>
        <v>#N/A</v>
      </c>
      <c r="AP304" s="598" t="e">
        <f>+VLOOKUP($AJ304,Data_Validation!$A:$D,3,0)</f>
        <v>#N/A</v>
      </c>
      <c r="AQ304" s="598" t="e">
        <f>+VLOOKUP($AJ304,Data_Validation!$A:$D,4,0)</f>
        <v>#N/A</v>
      </c>
      <c r="AR304" s="598" t="s">
        <v>299</v>
      </c>
      <c r="AS304" s="598" t="e">
        <f>+VLOOKUP($AJ304,Data_Validation!$A:$E,5,0)</f>
        <v>#N/A</v>
      </c>
      <c r="AT304" s="1036">
        <f t="shared" si="18"/>
        <v>0</v>
      </c>
      <c r="AU304" s="599">
        <f t="shared" si="18"/>
        <v>0</v>
      </c>
      <c r="AV304" s="1030">
        <f>IFERROR(INDEX(V304:AG304,1,MATCH(Parametres!$B$3,V$1:AG$1,0)-1)*IF(OR(C304="L",C304="S",C304="I"),-1,1),"")</f>
        <v>0</v>
      </c>
      <c r="AW304" s="1030">
        <f t="shared" si="19"/>
        <v>0</v>
      </c>
      <c r="AX304" s="1030">
        <f>INDEX(V304:AG304,1,MATCH(Parametres!$B$3,V$1:AG$1,0))*IF(OR(C304="L",C304="S",C304="I"),-1,1)</f>
        <v>0</v>
      </c>
      <c r="AY304" s="598" t="s">
        <v>337</v>
      </c>
      <c r="AZ304" s="598" t="e">
        <f>+VLOOKUP($AJ304,Data_Validation!$A:$E,5,0)</f>
        <v>#N/A</v>
      </c>
    </row>
    <row r="305" spans="36:52" ht="15.75" customHeight="1">
      <c r="AJ305" s="1030">
        <f t="shared" si="16"/>
        <v>0</v>
      </c>
      <c r="AK305" s="1030">
        <f t="shared" si="16"/>
        <v>0</v>
      </c>
      <c r="AL305" s="1030">
        <f>IFERROR(INDEX(G305:R305,1,MATCH(Parametres!$B$3,G$1:R$1,0)-1)*IF(OR(F305="L",F305="S",F305="I"),-1,1),"")</f>
        <v>0</v>
      </c>
      <c r="AM305" s="1030">
        <f t="shared" si="17"/>
        <v>0</v>
      </c>
      <c r="AN305" s="1030">
        <f>INDEX(G305:R305,1,MATCH(Parametres!$B$3,G$1:R$1,0))*IF(OR(F305="L",F305="S",F305="I"),-1,1)</f>
        <v>0</v>
      </c>
      <c r="AO305" s="598" t="e">
        <f>+VLOOKUP($AJ305,Data_Validation!$A:$D,1,0)</f>
        <v>#N/A</v>
      </c>
      <c r="AP305" s="598" t="e">
        <f>+VLOOKUP($AJ305,Data_Validation!$A:$D,3,0)</f>
        <v>#N/A</v>
      </c>
      <c r="AQ305" s="598" t="e">
        <f>+VLOOKUP($AJ305,Data_Validation!$A:$D,4,0)</f>
        <v>#N/A</v>
      </c>
      <c r="AR305" s="598" t="s">
        <v>299</v>
      </c>
      <c r="AS305" s="598" t="e">
        <f>+VLOOKUP($AJ305,Data_Validation!$A:$E,5,0)</f>
        <v>#N/A</v>
      </c>
      <c r="AT305" s="1036">
        <f t="shared" si="18"/>
        <v>0</v>
      </c>
      <c r="AU305" s="599">
        <f t="shared" si="18"/>
        <v>0</v>
      </c>
      <c r="AV305" s="1030">
        <f>IFERROR(INDEX(V305:AG305,1,MATCH(Parametres!$B$3,V$1:AG$1,0)-1)*IF(OR(C305="L",C305="S",C305="I"),-1,1),"")</f>
        <v>0</v>
      </c>
      <c r="AW305" s="1030">
        <f t="shared" si="19"/>
        <v>0</v>
      </c>
      <c r="AX305" s="1030">
        <f>INDEX(V305:AG305,1,MATCH(Parametres!$B$3,V$1:AG$1,0))*IF(OR(C305="L",C305="S",C305="I"),-1,1)</f>
        <v>0</v>
      </c>
      <c r="AY305" s="598" t="s">
        <v>337</v>
      </c>
      <c r="AZ305" s="598" t="e">
        <f>+VLOOKUP($AJ305,Data_Validation!$A:$E,5,0)</f>
        <v>#N/A</v>
      </c>
    </row>
    <row r="306" spans="36:52" ht="15" customHeight="1">
      <c r="AJ306" s="1030">
        <f t="shared" si="16"/>
        <v>0</v>
      </c>
      <c r="AK306" s="1030">
        <f t="shared" si="16"/>
        <v>0</v>
      </c>
      <c r="AL306" s="1030">
        <f>IFERROR(INDEX(G306:R306,1,MATCH(Parametres!$B$3,G$1:R$1,0)-1)*IF(OR(F306="L",F306="S",F306="I"),-1,1),"")</f>
        <v>0</v>
      </c>
      <c r="AM306" s="1030">
        <f t="shared" si="17"/>
        <v>0</v>
      </c>
      <c r="AN306" s="1030">
        <f>INDEX(G306:R306,1,MATCH(Parametres!$B$3,G$1:R$1,0))*IF(OR(F306="L",F306="S",F306="I"),-1,1)</f>
        <v>0</v>
      </c>
      <c r="AO306" s="598" t="e">
        <f>+VLOOKUP($AJ306,Data_Validation!$A:$D,1,0)</f>
        <v>#N/A</v>
      </c>
      <c r="AP306" s="598" t="e">
        <f>+VLOOKUP($AJ306,Data_Validation!$A:$D,3,0)</f>
        <v>#N/A</v>
      </c>
      <c r="AQ306" s="598" t="e">
        <f>+VLOOKUP($AJ306,Data_Validation!$A:$D,4,0)</f>
        <v>#N/A</v>
      </c>
      <c r="AR306" s="598" t="s">
        <v>299</v>
      </c>
      <c r="AS306" s="598" t="e">
        <f>+VLOOKUP($AJ306,Data_Validation!$A:$E,5,0)</f>
        <v>#N/A</v>
      </c>
      <c r="AT306" s="1036">
        <f t="shared" si="18"/>
        <v>0</v>
      </c>
      <c r="AU306" s="599">
        <f t="shared" si="18"/>
        <v>0</v>
      </c>
      <c r="AV306" s="1030">
        <f>IFERROR(INDEX(V306:AG306,1,MATCH(Parametres!$B$3,V$1:AG$1,0)-1)*IF(OR(C306="L",C306="S",C306="I"),-1,1),"")</f>
        <v>0</v>
      </c>
      <c r="AW306" s="1030">
        <f t="shared" si="19"/>
        <v>0</v>
      </c>
      <c r="AX306" s="1030">
        <f>INDEX(V306:AG306,1,MATCH(Parametres!$B$3,V$1:AG$1,0))*IF(OR(C306="L",C306="S",C306="I"),-1,1)</f>
        <v>0</v>
      </c>
      <c r="AY306" s="598" t="s">
        <v>337</v>
      </c>
      <c r="AZ306" s="598" t="e">
        <f>+VLOOKUP($AJ306,Data_Validation!$A:$E,5,0)</f>
        <v>#N/A</v>
      </c>
    </row>
    <row r="307" spans="36:52" ht="15" customHeight="1">
      <c r="AJ307" s="1030">
        <f t="shared" si="16"/>
        <v>0</v>
      </c>
      <c r="AK307" s="1030">
        <f t="shared" si="16"/>
        <v>0</v>
      </c>
      <c r="AL307" s="1030">
        <f>IFERROR(INDEX(G307:R307,1,MATCH(Parametres!$B$3,G$1:R$1,0)-1)*IF(OR(F307="L",F307="S",F307="I"),-1,1),"")</f>
        <v>0</v>
      </c>
      <c r="AM307" s="1030">
        <f t="shared" si="17"/>
        <v>0</v>
      </c>
      <c r="AN307" s="1030">
        <f>INDEX(G307:R307,1,MATCH(Parametres!$B$3,G$1:R$1,0))*IF(OR(F307="L",F307="S",F307="I"),-1,1)</f>
        <v>0</v>
      </c>
      <c r="AO307" s="598" t="e">
        <f>+VLOOKUP($AJ307,Data_Validation!$A:$D,1,0)</f>
        <v>#N/A</v>
      </c>
      <c r="AP307" s="598" t="e">
        <f>+VLOOKUP($AJ307,Data_Validation!$A:$D,3,0)</f>
        <v>#N/A</v>
      </c>
      <c r="AQ307" s="598" t="e">
        <f>+VLOOKUP($AJ307,Data_Validation!$A:$D,4,0)</f>
        <v>#N/A</v>
      </c>
      <c r="AR307" s="598" t="s">
        <v>299</v>
      </c>
      <c r="AS307" s="598" t="e">
        <f>+VLOOKUP($AJ307,Data_Validation!$A:$E,5,0)</f>
        <v>#N/A</v>
      </c>
      <c r="AT307" s="1036">
        <f t="shared" si="18"/>
        <v>0</v>
      </c>
      <c r="AU307" s="599">
        <f t="shared" si="18"/>
        <v>0</v>
      </c>
      <c r="AV307" s="1030">
        <f>IFERROR(INDEX(V307:AG307,1,MATCH(Parametres!$B$3,V$1:AG$1,0)-1)*IF(OR(C307="L",C307="S",C307="I"),-1,1),"")</f>
        <v>0</v>
      </c>
      <c r="AW307" s="1030">
        <f t="shared" si="19"/>
        <v>0</v>
      </c>
      <c r="AX307" s="1030">
        <f>INDEX(V307:AG307,1,MATCH(Parametres!$B$3,V$1:AG$1,0))*IF(OR(C307="L",C307="S",C307="I"),-1,1)</f>
        <v>0</v>
      </c>
      <c r="AY307" s="598" t="s">
        <v>337</v>
      </c>
      <c r="AZ307" s="598" t="e">
        <f>+VLOOKUP($AJ307,Data_Validation!$A:$E,5,0)</f>
        <v>#N/A</v>
      </c>
    </row>
    <row r="308" spans="36:52" ht="15" customHeight="1">
      <c r="AJ308" s="1030">
        <f t="shared" si="16"/>
        <v>0</v>
      </c>
      <c r="AK308" s="1030">
        <f t="shared" si="16"/>
        <v>0</v>
      </c>
      <c r="AL308" s="1030">
        <f>IFERROR(INDEX(G308:R308,1,MATCH(Parametres!$B$3,G$1:R$1,0)-1)*IF(OR(F308="L",F308="S",F308="I"),-1,1),"")</f>
        <v>0</v>
      </c>
      <c r="AM308" s="1030">
        <f t="shared" si="17"/>
        <v>0</v>
      </c>
      <c r="AN308" s="1030">
        <f>INDEX(G308:R308,1,MATCH(Parametres!$B$3,G$1:R$1,0))*IF(OR(F308="L",F308="S",F308="I"),-1,1)</f>
        <v>0</v>
      </c>
      <c r="AO308" s="598" t="e">
        <f>+VLOOKUP($AJ308,Data_Validation!$A:$D,1,0)</f>
        <v>#N/A</v>
      </c>
      <c r="AP308" s="598" t="e">
        <f>+VLOOKUP($AJ308,Data_Validation!$A:$D,3,0)</f>
        <v>#N/A</v>
      </c>
      <c r="AQ308" s="598" t="e">
        <f>+VLOOKUP($AJ308,Data_Validation!$A:$D,4,0)</f>
        <v>#N/A</v>
      </c>
      <c r="AR308" s="598" t="s">
        <v>299</v>
      </c>
      <c r="AS308" s="598" t="e">
        <f>+VLOOKUP($AJ308,Data_Validation!$A:$E,5,0)</f>
        <v>#N/A</v>
      </c>
      <c r="AT308" s="1036">
        <f t="shared" si="18"/>
        <v>0</v>
      </c>
      <c r="AU308" s="599">
        <f t="shared" si="18"/>
        <v>0</v>
      </c>
      <c r="AV308" s="1030">
        <f>IFERROR(INDEX(V308:AG308,1,MATCH(Parametres!$B$3,V$1:AG$1,0)-1)*IF(OR(C308="L",C308="S",C308="I"),-1,1),"")</f>
        <v>0</v>
      </c>
      <c r="AW308" s="1030">
        <f t="shared" si="19"/>
        <v>0</v>
      </c>
      <c r="AX308" s="1030">
        <f>INDEX(V308:AG308,1,MATCH(Parametres!$B$3,V$1:AG$1,0))*IF(OR(C308="L",C308="S",C308="I"),-1,1)</f>
        <v>0</v>
      </c>
      <c r="AY308" s="598" t="s">
        <v>337</v>
      </c>
      <c r="AZ308" s="598" t="e">
        <f>+VLOOKUP($AJ308,Data_Validation!$A:$E,5,0)</f>
        <v>#N/A</v>
      </c>
    </row>
    <row r="309" spans="36:52" ht="15.75" customHeight="1">
      <c r="AJ309" s="1030">
        <f t="shared" si="16"/>
        <v>0</v>
      </c>
      <c r="AK309" s="1030">
        <f t="shared" si="16"/>
        <v>0</v>
      </c>
      <c r="AL309" s="1030">
        <f>IFERROR(INDEX(G309:R309,1,MATCH(Parametres!$B$3,G$1:R$1,0)-1)*IF(OR(F309="L",F309="S",F309="I"),-1,1),"")</f>
        <v>0</v>
      </c>
      <c r="AM309" s="1030">
        <f t="shared" si="17"/>
        <v>0</v>
      </c>
      <c r="AN309" s="1030">
        <f>INDEX(G309:R309,1,MATCH(Parametres!$B$3,G$1:R$1,0))*IF(OR(F309="L",F309="S",F309="I"),-1,1)</f>
        <v>0</v>
      </c>
      <c r="AO309" s="598" t="e">
        <f>+VLOOKUP($AJ309,Data_Validation!$A:$D,1,0)</f>
        <v>#N/A</v>
      </c>
      <c r="AP309" s="598" t="e">
        <f>+VLOOKUP($AJ309,Data_Validation!$A:$D,3,0)</f>
        <v>#N/A</v>
      </c>
      <c r="AQ309" s="598" t="e">
        <f>+VLOOKUP($AJ309,Data_Validation!$A:$D,4,0)</f>
        <v>#N/A</v>
      </c>
      <c r="AR309" s="598" t="s">
        <v>299</v>
      </c>
      <c r="AS309" s="598" t="e">
        <f>+VLOOKUP($AJ309,Data_Validation!$A:$E,5,0)</f>
        <v>#N/A</v>
      </c>
      <c r="AT309" s="1036">
        <f t="shared" si="18"/>
        <v>0</v>
      </c>
      <c r="AU309" s="599">
        <f t="shared" si="18"/>
        <v>0</v>
      </c>
      <c r="AV309" s="1030">
        <f>IFERROR(INDEX(V309:AG309,1,MATCH(Parametres!$B$3,V$1:AG$1,0)-1)*IF(OR(C309="L",C309="S",C309="I"),-1,1),"")</f>
        <v>0</v>
      </c>
      <c r="AW309" s="1030">
        <f t="shared" si="19"/>
        <v>0</v>
      </c>
      <c r="AX309" s="1030">
        <f>INDEX(V309:AG309,1,MATCH(Parametres!$B$3,V$1:AG$1,0))*IF(OR(C309="L",C309="S",C309="I"),-1,1)</f>
        <v>0</v>
      </c>
      <c r="AY309" s="598" t="s">
        <v>337</v>
      </c>
      <c r="AZ309" s="598" t="e">
        <f>+VLOOKUP($AJ309,Data_Validation!$A:$E,5,0)</f>
        <v>#N/A</v>
      </c>
    </row>
    <row r="310" spans="36:52" ht="15" customHeight="1">
      <c r="AJ310" s="1030">
        <f t="shared" si="16"/>
        <v>0</v>
      </c>
      <c r="AK310" s="1030">
        <f t="shared" si="16"/>
        <v>0</v>
      </c>
      <c r="AL310" s="1030">
        <f>IFERROR(INDEX(G310:R310,1,MATCH(Parametres!$B$3,G$1:R$1,0)-1)*IF(OR(F310="L",F310="S",F310="I"),-1,1),"")</f>
        <v>0</v>
      </c>
      <c r="AM310" s="1030">
        <f t="shared" si="17"/>
        <v>0</v>
      </c>
      <c r="AN310" s="1030">
        <f>INDEX(G310:R310,1,MATCH(Parametres!$B$3,G$1:R$1,0))*IF(OR(F310="L",F310="S",F310="I"),-1,1)</f>
        <v>0</v>
      </c>
      <c r="AO310" s="598" t="e">
        <f>+VLOOKUP($AJ310,Data_Validation!$A:$D,1,0)</f>
        <v>#N/A</v>
      </c>
      <c r="AP310" s="598" t="e">
        <f>+VLOOKUP($AJ310,Data_Validation!$A:$D,3,0)</f>
        <v>#N/A</v>
      </c>
      <c r="AQ310" s="598" t="e">
        <f>+VLOOKUP($AJ310,Data_Validation!$A:$D,4,0)</f>
        <v>#N/A</v>
      </c>
      <c r="AR310" s="598" t="s">
        <v>299</v>
      </c>
      <c r="AS310" s="598" t="e">
        <f>+VLOOKUP($AJ310,Data_Validation!$A:$E,5,0)</f>
        <v>#N/A</v>
      </c>
      <c r="AT310" s="1036">
        <f t="shared" si="18"/>
        <v>0</v>
      </c>
      <c r="AU310" s="599">
        <f t="shared" si="18"/>
        <v>0</v>
      </c>
      <c r="AV310" s="1030">
        <f>IFERROR(INDEX(V310:AG310,1,MATCH(Parametres!$B$3,V$1:AG$1,0)-1)*IF(OR(C310="L",C310="S",C310="I"),-1,1),"")</f>
        <v>0</v>
      </c>
      <c r="AW310" s="1030">
        <f t="shared" si="19"/>
        <v>0</v>
      </c>
      <c r="AX310" s="1030">
        <f>INDEX(V310:AG310,1,MATCH(Parametres!$B$3,V$1:AG$1,0))*IF(OR(C310="L",C310="S",C310="I"),-1,1)</f>
        <v>0</v>
      </c>
      <c r="AY310" s="598" t="s">
        <v>337</v>
      </c>
      <c r="AZ310" s="598" t="e">
        <f>+VLOOKUP($AJ310,Data_Validation!$A:$E,5,0)</f>
        <v>#N/A</v>
      </c>
    </row>
    <row r="311" spans="36:52" ht="15" customHeight="1">
      <c r="AJ311" s="1030">
        <f t="shared" si="16"/>
        <v>0</v>
      </c>
      <c r="AK311" s="1030">
        <f t="shared" si="16"/>
        <v>0</v>
      </c>
      <c r="AL311" s="1030">
        <f>IFERROR(INDEX(G311:R311,1,MATCH(Parametres!$B$3,G$1:R$1,0)-1)*IF(OR(F311="L",F311="S",F311="I"),-1,1),"")</f>
        <v>0</v>
      </c>
      <c r="AM311" s="1030">
        <f t="shared" si="17"/>
        <v>0</v>
      </c>
      <c r="AN311" s="1030">
        <f>INDEX(G311:R311,1,MATCH(Parametres!$B$3,G$1:R$1,0))*IF(OR(F311="L",F311="S",F311="I"),-1,1)</f>
        <v>0</v>
      </c>
      <c r="AO311" s="598" t="e">
        <f>+VLOOKUP($AJ311,Data_Validation!$A:$D,1,0)</f>
        <v>#N/A</v>
      </c>
      <c r="AP311" s="598" t="e">
        <f>+VLOOKUP($AJ311,Data_Validation!$A:$D,3,0)</f>
        <v>#N/A</v>
      </c>
      <c r="AQ311" s="598" t="e">
        <f>+VLOOKUP($AJ311,Data_Validation!$A:$D,4,0)</f>
        <v>#N/A</v>
      </c>
      <c r="AR311" s="598" t="s">
        <v>299</v>
      </c>
      <c r="AS311" s="598" t="e">
        <f>+VLOOKUP($AJ311,Data_Validation!$A:$E,5,0)</f>
        <v>#N/A</v>
      </c>
      <c r="AT311" s="1036">
        <f t="shared" si="18"/>
        <v>0</v>
      </c>
      <c r="AU311" s="599">
        <f t="shared" si="18"/>
        <v>0</v>
      </c>
      <c r="AV311" s="1030">
        <f>IFERROR(INDEX(V311:AG311,1,MATCH(Parametres!$B$3,V$1:AG$1,0)-1)*IF(OR(C311="L",C311="S",C311="I"),-1,1),"")</f>
        <v>0</v>
      </c>
      <c r="AW311" s="1030">
        <f t="shared" si="19"/>
        <v>0</v>
      </c>
      <c r="AX311" s="1030">
        <f>INDEX(V311:AG311,1,MATCH(Parametres!$B$3,V$1:AG$1,0))*IF(OR(C311="L",C311="S",C311="I"),-1,1)</f>
        <v>0</v>
      </c>
      <c r="AY311" s="598" t="s">
        <v>337</v>
      </c>
      <c r="AZ311" s="598" t="e">
        <f>+VLOOKUP($AJ311,Data_Validation!$A:$E,5,0)</f>
        <v>#N/A</v>
      </c>
    </row>
    <row r="312" spans="36:52" ht="15" customHeight="1">
      <c r="AJ312" s="1030">
        <f t="shared" si="16"/>
        <v>0</v>
      </c>
      <c r="AK312" s="1030">
        <f t="shared" si="16"/>
        <v>0</v>
      </c>
      <c r="AL312" s="1030">
        <f>IFERROR(INDEX(G312:R312,1,MATCH(Parametres!$B$3,G$1:R$1,0)-1)*IF(OR(F312="L",F312="S",F312="I"),-1,1),"")</f>
        <v>0</v>
      </c>
      <c r="AM312" s="1030">
        <f t="shared" si="17"/>
        <v>0</v>
      </c>
      <c r="AN312" s="1030">
        <f>INDEX(G312:R312,1,MATCH(Parametres!$B$3,G$1:R$1,0))*IF(OR(F312="L",F312="S",F312="I"),-1,1)</f>
        <v>0</v>
      </c>
      <c r="AO312" s="598" t="e">
        <f>+VLOOKUP($AJ312,Data_Validation!$A:$D,1,0)</f>
        <v>#N/A</v>
      </c>
      <c r="AP312" s="598" t="e">
        <f>+VLOOKUP($AJ312,Data_Validation!$A:$D,3,0)</f>
        <v>#N/A</v>
      </c>
      <c r="AQ312" s="598" t="e">
        <f>+VLOOKUP($AJ312,Data_Validation!$A:$D,4,0)</f>
        <v>#N/A</v>
      </c>
      <c r="AR312" s="598" t="s">
        <v>299</v>
      </c>
      <c r="AS312" s="598" t="e">
        <f>+VLOOKUP($AJ312,Data_Validation!$A:$E,5,0)</f>
        <v>#N/A</v>
      </c>
      <c r="AT312" s="1036">
        <f t="shared" si="18"/>
        <v>0</v>
      </c>
      <c r="AU312" s="599">
        <f t="shared" si="18"/>
        <v>0</v>
      </c>
      <c r="AV312" s="1030">
        <f>IFERROR(INDEX(V312:AG312,1,MATCH(Parametres!$B$3,V$1:AG$1,0)-1)*IF(OR(C312="L",C312="S",C312="I"),-1,1),"")</f>
        <v>0</v>
      </c>
      <c r="AW312" s="1030">
        <f t="shared" si="19"/>
        <v>0</v>
      </c>
      <c r="AX312" s="1030">
        <f>INDEX(V312:AG312,1,MATCH(Parametres!$B$3,V$1:AG$1,0))*IF(OR(C312="L",C312="S",C312="I"),-1,1)</f>
        <v>0</v>
      </c>
      <c r="AY312" s="598" t="s">
        <v>337</v>
      </c>
      <c r="AZ312" s="598" t="e">
        <f>+VLOOKUP($AJ312,Data_Validation!$A:$E,5,0)</f>
        <v>#N/A</v>
      </c>
    </row>
    <row r="313" spans="36:52" ht="15" customHeight="1">
      <c r="AJ313" s="1030">
        <f t="shared" si="16"/>
        <v>0</v>
      </c>
      <c r="AK313" s="1030">
        <f t="shared" si="16"/>
        <v>0</v>
      </c>
      <c r="AL313" s="1030">
        <f>IFERROR(INDEX(G313:R313,1,MATCH(Parametres!$B$3,G$1:R$1,0)-1)*IF(OR(F313="L",F313="S",F313="I"),-1,1),"")</f>
        <v>0</v>
      </c>
      <c r="AM313" s="1030">
        <f t="shared" si="17"/>
        <v>0</v>
      </c>
      <c r="AN313" s="1030">
        <f>INDEX(G313:R313,1,MATCH(Parametres!$B$3,G$1:R$1,0))*IF(OR(F313="L",F313="S",F313="I"),-1,1)</f>
        <v>0</v>
      </c>
      <c r="AO313" s="598" t="e">
        <f>+VLOOKUP($AJ313,Data_Validation!$A:$D,1,0)</f>
        <v>#N/A</v>
      </c>
      <c r="AP313" s="598" t="e">
        <f>+VLOOKUP($AJ313,Data_Validation!$A:$D,3,0)</f>
        <v>#N/A</v>
      </c>
      <c r="AQ313" s="598" t="e">
        <f>+VLOOKUP($AJ313,Data_Validation!$A:$D,4,0)</f>
        <v>#N/A</v>
      </c>
      <c r="AR313" s="598" t="s">
        <v>299</v>
      </c>
      <c r="AS313" s="598" t="e">
        <f>+VLOOKUP($AJ313,Data_Validation!$A:$E,5,0)</f>
        <v>#N/A</v>
      </c>
      <c r="AT313" s="1036">
        <f t="shared" si="18"/>
        <v>0</v>
      </c>
      <c r="AU313" s="599">
        <f t="shared" si="18"/>
        <v>0</v>
      </c>
      <c r="AV313" s="1030">
        <f>IFERROR(INDEX(V313:AG313,1,MATCH(Parametres!$B$3,V$1:AG$1,0)-1)*IF(OR(C313="L",C313="S",C313="I"),-1,1),"")</f>
        <v>0</v>
      </c>
      <c r="AW313" s="1030">
        <f t="shared" si="19"/>
        <v>0</v>
      </c>
      <c r="AX313" s="1030">
        <f>INDEX(V313:AG313,1,MATCH(Parametres!$B$3,V$1:AG$1,0))*IF(OR(C313="L",C313="S",C313="I"),-1,1)</f>
        <v>0</v>
      </c>
      <c r="AY313" s="598" t="s">
        <v>337</v>
      </c>
      <c r="AZ313" s="598" t="e">
        <f>+VLOOKUP($AJ313,Data_Validation!$A:$E,5,0)</f>
        <v>#N/A</v>
      </c>
    </row>
    <row r="314" spans="36:52" ht="15" customHeight="1">
      <c r="AJ314" s="1030">
        <f t="shared" si="16"/>
        <v>0</v>
      </c>
      <c r="AK314" s="1030">
        <f t="shared" si="16"/>
        <v>0</v>
      </c>
      <c r="AL314" s="1030">
        <f>IFERROR(INDEX(G314:R314,1,MATCH(Parametres!$B$3,G$1:R$1,0)-1)*IF(OR(F314="L",F314="S",F314="I"),-1,1),"")</f>
        <v>0</v>
      </c>
      <c r="AM314" s="1030">
        <f t="shared" si="17"/>
        <v>0</v>
      </c>
      <c r="AN314" s="1030">
        <f>INDEX(G314:R314,1,MATCH(Parametres!$B$3,G$1:R$1,0))*IF(OR(F314="L",F314="S",F314="I"),-1,1)</f>
        <v>0</v>
      </c>
      <c r="AO314" s="598" t="e">
        <f>+VLOOKUP($AJ314,Data_Validation!$A:$D,1,0)</f>
        <v>#N/A</v>
      </c>
      <c r="AP314" s="598" t="e">
        <f>+VLOOKUP($AJ314,Data_Validation!$A:$D,3,0)</f>
        <v>#N/A</v>
      </c>
      <c r="AQ314" s="598" t="e">
        <f>+VLOOKUP($AJ314,Data_Validation!$A:$D,4,0)</f>
        <v>#N/A</v>
      </c>
      <c r="AR314" s="598" t="s">
        <v>299</v>
      </c>
      <c r="AS314" s="598" t="e">
        <f>+VLOOKUP($AJ314,Data_Validation!$A:$E,5,0)</f>
        <v>#N/A</v>
      </c>
      <c r="AT314" s="1036">
        <f t="shared" si="18"/>
        <v>0</v>
      </c>
      <c r="AU314" s="599">
        <f t="shared" si="18"/>
        <v>0</v>
      </c>
      <c r="AV314" s="1030">
        <f>IFERROR(INDEX(V314:AG314,1,MATCH(Parametres!$B$3,V$1:AG$1,0)-1)*IF(OR(C314="L",C314="S",C314="I"),-1,1),"")</f>
        <v>0</v>
      </c>
      <c r="AW314" s="1030">
        <f t="shared" si="19"/>
        <v>0</v>
      </c>
      <c r="AX314" s="1030">
        <f>INDEX(V314:AG314,1,MATCH(Parametres!$B$3,V$1:AG$1,0))*IF(OR(C314="L",C314="S",C314="I"),-1,1)</f>
        <v>0</v>
      </c>
      <c r="AY314" s="598" t="s">
        <v>337</v>
      </c>
      <c r="AZ314" s="598" t="e">
        <f>+VLOOKUP($AJ314,Data_Validation!$A:$E,5,0)</f>
        <v>#N/A</v>
      </c>
    </row>
    <row r="315" spans="36:52" ht="15" customHeight="1">
      <c r="AJ315" s="1030">
        <f t="shared" si="16"/>
        <v>0</v>
      </c>
      <c r="AK315" s="1030">
        <f t="shared" si="16"/>
        <v>0</v>
      </c>
      <c r="AL315" s="1030">
        <f>IFERROR(INDEX(G315:R315,1,MATCH(Parametres!$B$3,G$1:R$1,0)-1)*IF(OR(F315="L",F315="S",F315="I"),-1,1),"")</f>
        <v>0</v>
      </c>
      <c r="AM315" s="1030">
        <f t="shared" si="17"/>
        <v>0</v>
      </c>
      <c r="AN315" s="1030">
        <f>INDEX(G315:R315,1,MATCH(Parametres!$B$3,G$1:R$1,0))*IF(OR(F315="L",F315="S",F315="I"),-1,1)</f>
        <v>0</v>
      </c>
      <c r="AO315" s="598" t="e">
        <f>+VLOOKUP($AJ315,Data_Validation!$A:$D,1,0)</f>
        <v>#N/A</v>
      </c>
      <c r="AP315" s="598" t="e">
        <f>+VLOOKUP($AJ315,Data_Validation!$A:$D,3,0)</f>
        <v>#N/A</v>
      </c>
      <c r="AQ315" s="598" t="e">
        <f>+VLOOKUP($AJ315,Data_Validation!$A:$D,4,0)</f>
        <v>#N/A</v>
      </c>
      <c r="AR315" s="598" t="s">
        <v>299</v>
      </c>
      <c r="AS315" s="598" t="e">
        <f>+VLOOKUP($AJ315,Data_Validation!$A:$E,5,0)</f>
        <v>#N/A</v>
      </c>
      <c r="AT315" s="1036">
        <f t="shared" si="18"/>
        <v>0</v>
      </c>
      <c r="AU315" s="599">
        <f t="shared" si="18"/>
        <v>0</v>
      </c>
      <c r="AV315" s="1030">
        <f>IFERROR(INDEX(V315:AG315,1,MATCH(Parametres!$B$3,V$1:AG$1,0)-1)*IF(OR(C315="L",C315="S",C315="I"),-1,1),"")</f>
        <v>0</v>
      </c>
      <c r="AW315" s="1030">
        <f t="shared" si="19"/>
        <v>0</v>
      </c>
      <c r="AX315" s="1030">
        <f>INDEX(V315:AG315,1,MATCH(Parametres!$B$3,V$1:AG$1,0))*IF(OR(C315="L",C315="S",C315="I"),-1,1)</f>
        <v>0</v>
      </c>
      <c r="AY315" s="598" t="s">
        <v>337</v>
      </c>
      <c r="AZ315" s="598" t="e">
        <f>+VLOOKUP($AJ315,Data_Validation!$A:$E,5,0)</f>
        <v>#N/A</v>
      </c>
    </row>
    <row r="316" spans="36:52" ht="15" customHeight="1">
      <c r="AJ316" s="1030">
        <f t="shared" si="16"/>
        <v>0</v>
      </c>
      <c r="AK316" s="1030">
        <f t="shared" si="16"/>
        <v>0</v>
      </c>
      <c r="AL316" s="1030">
        <f>IFERROR(INDEX(G316:R316,1,MATCH(Parametres!$B$3,G$1:R$1,0)-1)*IF(OR(F316="L",F316="S",F316="I"),-1,1),"")</f>
        <v>0</v>
      </c>
      <c r="AM316" s="1030">
        <f t="shared" si="17"/>
        <v>0</v>
      </c>
      <c r="AN316" s="1030">
        <f>INDEX(G316:R316,1,MATCH(Parametres!$B$3,G$1:R$1,0))*IF(OR(F316="L",F316="S",F316="I"),-1,1)</f>
        <v>0</v>
      </c>
      <c r="AO316" s="598" t="e">
        <f>+VLOOKUP($AJ316,Data_Validation!$A:$D,1,0)</f>
        <v>#N/A</v>
      </c>
      <c r="AP316" s="598" t="e">
        <f>+VLOOKUP($AJ316,Data_Validation!$A:$D,3,0)</f>
        <v>#N/A</v>
      </c>
      <c r="AQ316" s="598" t="e">
        <f>+VLOOKUP($AJ316,Data_Validation!$A:$D,4,0)</f>
        <v>#N/A</v>
      </c>
      <c r="AR316" s="598" t="s">
        <v>299</v>
      </c>
      <c r="AS316" s="598" t="e">
        <f>+VLOOKUP($AJ316,Data_Validation!$A:$E,5,0)</f>
        <v>#N/A</v>
      </c>
      <c r="AT316" s="1036">
        <f t="shared" si="18"/>
        <v>0</v>
      </c>
      <c r="AU316" s="599">
        <f t="shared" si="18"/>
        <v>0</v>
      </c>
      <c r="AV316" s="1030">
        <f>IFERROR(INDEX(V316:AG316,1,MATCH(Parametres!$B$3,V$1:AG$1,0)-1)*IF(OR(C316="L",C316="S",C316="I"),-1,1),"")</f>
        <v>0</v>
      </c>
      <c r="AW316" s="1030">
        <f t="shared" si="19"/>
        <v>0</v>
      </c>
      <c r="AX316" s="1030">
        <f>INDEX(V316:AG316,1,MATCH(Parametres!$B$3,V$1:AG$1,0))*IF(OR(C316="L",C316="S",C316="I"),-1,1)</f>
        <v>0</v>
      </c>
      <c r="AY316" s="598" t="s">
        <v>337</v>
      </c>
      <c r="AZ316" s="598" t="e">
        <f>+VLOOKUP($AJ316,Data_Validation!$A:$E,5,0)</f>
        <v>#N/A</v>
      </c>
    </row>
    <row r="317" spans="36:52" ht="15" customHeight="1">
      <c r="AJ317" s="1030">
        <f t="shared" si="16"/>
        <v>0</v>
      </c>
      <c r="AK317" s="1030">
        <f t="shared" si="16"/>
        <v>0</v>
      </c>
      <c r="AL317" s="1030">
        <f>IFERROR(INDEX(G317:R317,1,MATCH(Parametres!$B$3,G$1:R$1,0)-1)*IF(OR(F317="L",F317="S",F317="I"),-1,1),"")</f>
        <v>0</v>
      </c>
      <c r="AM317" s="1030">
        <f t="shared" si="17"/>
        <v>0</v>
      </c>
      <c r="AN317" s="1030">
        <f>INDEX(G317:R317,1,MATCH(Parametres!$B$3,G$1:R$1,0))*IF(OR(F317="L",F317="S",F317="I"),-1,1)</f>
        <v>0</v>
      </c>
      <c r="AO317" s="598" t="e">
        <f>+VLOOKUP($AJ317,Data_Validation!$A:$D,1,0)</f>
        <v>#N/A</v>
      </c>
      <c r="AP317" s="598" t="e">
        <f>+VLOOKUP($AJ317,Data_Validation!$A:$D,3,0)</f>
        <v>#N/A</v>
      </c>
      <c r="AQ317" s="598" t="e">
        <f>+VLOOKUP($AJ317,Data_Validation!$A:$D,4,0)</f>
        <v>#N/A</v>
      </c>
      <c r="AR317" s="598" t="s">
        <v>299</v>
      </c>
      <c r="AS317" s="598" t="e">
        <f>+VLOOKUP($AJ317,Data_Validation!$A:$E,5,0)</f>
        <v>#N/A</v>
      </c>
      <c r="AT317" s="1036">
        <f t="shared" si="18"/>
        <v>0</v>
      </c>
      <c r="AU317" s="599">
        <f t="shared" si="18"/>
        <v>0</v>
      </c>
      <c r="AV317" s="1030">
        <f>IFERROR(INDEX(V317:AG317,1,MATCH(Parametres!$B$3,V$1:AG$1,0)-1)*IF(OR(C317="L",C317="S",C317="I"),-1,1),"")</f>
        <v>0</v>
      </c>
      <c r="AW317" s="1030">
        <f t="shared" si="19"/>
        <v>0</v>
      </c>
      <c r="AX317" s="1030">
        <f>INDEX(V317:AG317,1,MATCH(Parametres!$B$3,V$1:AG$1,0))*IF(OR(C317="L",C317="S",C317="I"),-1,1)</f>
        <v>0</v>
      </c>
      <c r="AY317" s="598" t="s">
        <v>337</v>
      </c>
      <c r="AZ317" s="598" t="e">
        <f>+VLOOKUP($AJ317,Data_Validation!$A:$E,5,0)</f>
        <v>#N/A</v>
      </c>
    </row>
    <row r="318" spans="36:52" ht="15.75" customHeight="1">
      <c r="AJ318" s="1030">
        <f t="shared" si="16"/>
        <v>0</v>
      </c>
      <c r="AK318" s="1030">
        <f t="shared" si="16"/>
        <v>0</v>
      </c>
      <c r="AL318" s="1030">
        <f>IFERROR(INDEX(G318:R318,1,MATCH(Parametres!$B$3,G$1:R$1,0)-1)*IF(OR(F318="L",F318="S",F318="I"),-1,1),"")</f>
        <v>0</v>
      </c>
      <c r="AM318" s="1030">
        <f t="shared" si="17"/>
        <v>0</v>
      </c>
      <c r="AN318" s="1030">
        <f>INDEX(G318:R318,1,MATCH(Parametres!$B$3,G$1:R$1,0))*IF(OR(F318="L",F318="S",F318="I"),-1,1)</f>
        <v>0</v>
      </c>
      <c r="AO318" s="598" t="e">
        <f>+VLOOKUP($AJ318,Data_Validation!$A:$D,1,0)</f>
        <v>#N/A</v>
      </c>
      <c r="AP318" s="598" t="e">
        <f>+VLOOKUP($AJ318,Data_Validation!$A:$D,3,0)</f>
        <v>#N/A</v>
      </c>
      <c r="AQ318" s="598" t="e">
        <f>+VLOOKUP($AJ318,Data_Validation!$A:$D,4,0)</f>
        <v>#N/A</v>
      </c>
      <c r="AR318" s="598" t="s">
        <v>299</v>
      </c>
      <c r="AS318" s="598" t="e">
        <f>+VLOOKUP($AJ318,Data_Validation!$A:$E,5,0)</f>
        <v>#N/A</v>
      </c>
      <c r="AT318" s="1036">
        <f t="shared" si="18"/>
        <v>0</v>
      </c>
      <c r="AU318" s="599">
        <f t="shared" si="18"/>
        <v>0</v>
      </c>
      <c r="AV318" s="1030">
        <f>IFERROR(INDEX(V318:AG318,1,MATCH(Parametres!$B$3,V$1:AG$1,0)-1)*IF(OR(C318="L",C318="S",C318="I"),-1,1),"")</f>
        <v>0</v>
      </c>
      <c r="AW318" s="1030">
        <f t="shared" si="19"/>
        <v>0</v>
      </c>
      <c r="AX318" s="1030">
        <f>INDEX(V318:AG318,1,MATCH(Parametres!$B$3,V$1:AG$1,0))*IF(OR(C318="L",C318="S",C318="I"),-1,1)</f>
        <v>0</v>
      </c>
      <c r="AY318" s="598" t="s">
        <v>337</v>
      </c>
      <c r="AZ318" s="598" t="e">
        <f>+VLOOKUP($AJ318,Data_Validation!$A:$E,5,0)</f>
        <v>#N/A</v>
      </c>
    </row>
    <row r="319" spans="36:52" ht="15" customHeight="1">
      <c r="AJ319" s="1030">
        <f t="shared" si="16"/>
        <v>0</v>
      </c>
      <c r="AK319" s="1030">
        <f t="shared" si="16"/>
        <v>0</v>
      </c>
      <c r="AL319" s="1030">
        <f>IFERROR(INDEX(G319:R319,1,MATCH(Parametres!$B$3,G$1:R$1,0)-1)*IF(OR(F319="L",F319="S",F319="I"),-1,1),"")</f>
        <v>0</v>
      </c>
      <c r="AM319" s="1030">
        <f t="shared" si="17"/>
        <v>0</v>
      </c>
      <c r="AN319" s="1030">
        <f>INDEX(G319:R319,1,MATCH(Parametres!$B$3,G$1:R$1,0))*IF(OR(F319="L",F319="S",F319="I"),-1,1)</f>
        <v>0</v>
      </c>
      <c r="AO319" s="598" t="e">
        <f>+VLOOKUP($AJ319,Data_Validation!$A:$D,1,0)</f>
        <v>#N/A</v>
      </c>
      <c r="AP319" s="598" t="e">
        <f>+VLOOKUP($AJ319,Data_Validation!$A:$D,3,0)</f>
        <v>#N/A</v>
      </c>
      <c r="AQ319" s="598" t="e">
        <f>+VLOOKUP($AJ319,Data_Validation!$A:$D,4,0)</f>
        <v>#N/A</v>
      </c>
      <c r="AR319" s="598" t="s">
        <v>299</v>
      </c>
      <c r="AS319" s="598" t="e">
        <f>+VLOOKUP($AJ319,Data_Validation!$A:$E,5,0)</f>
        <v>#N/A</v>
      </c>
      <c r="AT319" s="1036">
        <f t="shared" si="18"/>
        <v>0</v>
      </c>
      <c r="AU319" s="599">
        <f t="shared" si="18"/>
        <v>0</v>
      </c>
      <c r="AV319" s="1030">
        <f>IFERROR(INDEX(V319:AG319,1,MATCH(Parametres!$B$3,V$1:AG$1,0)-1)*IF(OR(C319="L",C319="S",C319="I"),-1,1),"")</f>
        <v>0</v>
      </c>
      <c r="AW319" s="1030">
        <f t="shared" si="19"/>
        <v>0</v>
      </c>
      <c r="AX319" s="1030">
        <f>INDEX(V319:AG319,1,MATCH(Parametres!$B$3,V$1:AG$1,0))*IF(OR(C319="L",C319="S",C319="I"),-1,1)</f>
        <v>0</v>
      </c>
      <c r="AY319" s="598" t="s">
        <v>337</v>
      </c>
      <c r="AZ319" s="598" t="e">
        <f>+VLOOKUP($AJ319,Data_Validation!$A:$E,5,0)</f>
        <v>#N/A</v>
      </c>
    </row>
    <row r="320" spans="36:52" ht="15" customHeight="1">
      <c r="AJ320" s="1030">
        <f t="shared" si="16"/>
        <v>0</v>
      </c>
      <c r="AK320" s="1030">
        <f t="shared" si="16"/>
        <v>0</v>
      </c>
      <c r="AL320" s="1030">
        <f>IFERROR(INDEX(G320:R320,1,MATCH(Parametres!$B$3,G$1:R$1,0)-1)*IF(OR(F320="L",F320="S",F320="I"),-1,1),"")</f>
        <v>0</v>
      </c>
      <c r="AM320" s="1030">
        <f t="shared" si="17"/>
        <v>0</v>
      </c>
      <c r="AN320" s="1030">
        <f>INDEX(G320:R320,1,MATCH(Parametres!$B$3,G$1:R$1,0))*IF(OR(F320="L",F320="S",F320="I"),-1,1)</f>
        <v>0</v>
      </c>
      <c r="AO320" s="598" t="e">
        <f>+VLOOKUP($AJ320,Data_Validation!$A:$D,1,0)</f>
        <v>#N/A</v>
      </c>
      <c r="AP320" s="598" t="e">
        <f>+VLOOKUP($AJ320,Data_Validation!$A:$D,3,0)</f>
        <v>#N/A</v>
      </c>
      <c r="AQ320" s="598" t="e">
        <f>+VLOOKUP($AJ320,Data_Validation!$A:$D,4,0)</f>
        <v>#N/A</v>
      </c>
      <c r="AR320" s="598" t="s">
        <v>299</v>
      </c>
      <c r="AS320" s="598" t="e">
        <f>+VLOOKUP($AJ320,Data_Validation!$A:$E,5,0)</f>
        <v>#N/A</v>
      </c>
      <c r="AT320" s="1036">
        <f t="shared" si="18"/>
        <v>0</v>
      </c>
      <c r="AU320" s="599">
        <f t="shared" si="18"/>
        <v>0</v>
      </c>
      <c r="AV320" s="1030">
        <f>IFERROR(INDEX(V320:AG320,1,MATCH(Parametres!$B$3,V$1:AG$1,0)-1)*IF(OR(C320="L",C320="S",C320="I"),-1,1),"")</f>
        <v>0</v>
      </c>
      <c r="AW320" s="1030">
        <f t="shared" si="19"/>
        <v>0</v>
      </c>
      <c r="AX320" s="1030">
        <f>INDEX(V320:AG320,1,MATCH(Parametres!$B$3,V$1:AG$1,0))*IF(OR(C320="L",C320="S",C320="I"),-1,1)</f>
        <v>0</v>
      </c>
      <c r="AY320" s="598" t="s">
        <v>337</v>
      </c>
      <c r="AZ320" s="598" t="e">
        <f>+VLOOKUP($AJ320,Data_Validation!$A:$E,5,0)</f>
        <v>#N/A</v>
      </c>
    </row>
    <row r="321" spans="36:52" ht="15" customHeight="1">
      <c r="AJ321" s="1030">
        <f t="shared" si="16"/>
        <v>0</v>
      </c>
      <c r="AK321" s="1030">
        <f t="shared" si="16"/>
        <v>0</v>
      </c>
      <c r="AL321" s="1030">
        <f>IFERROR(INDEX(G321:R321,1,MATCH(Parametres!$B$3,G$1:R$1,0)-1)*IF(OR(F321="L",F321="S",F321="I"),-1,1),"")</f>
        <v>0</v>
      </c>
      <c r="AM321" s="1030">
        <f t="shared" si="17"/>
        <v>0</v>
      </c>
      <c r="AN321" s="1030">
        <f>INDEX(G321:R321,1,MATCH(Parametres!$B$3,G$1:R$1,0))*IF(OR(F321="L",F321="S",F321="I"),-1,1)</f>
        <v>0</v>
      </c>
      <c r="AO321" s="598" t="e">
        <f>+VLOOKUP($AJ321,Data_Validation!$A:$D,1,0)</f>
        <v>#N/A</v>
      </c>
      <c r="AP321" s="598" t="e">
        <f>+VLOOKUP($AJ321,Data_Validation!$A:$D,3,0)</f>
        <v>#N/A</v>
      </c>
      <c r="AQ321" s="598" t="e">
        <f>+VLOOKUP($AJ321,Data_Validation!$A:$D,4,0)</f>
        <v>#N/A</v>
      </c>
      <c r="AR321" s="598" t="s">
        <v>299</v>
      </c>
      <c r="AS321" s="598" t="e">
        <f>+VLOOKUP($AJ321,Data_Validation!$A:$E,5,0)</f>
        <v>#N/A</v>
      </c>
      <c r="AT321" s="1036">
        <f t="shared" si="18"/>
        <v>0</v>
      </c>
      <c r="AU321" s="599">
        <f t="shared" si="18"/>
        <v>0</v>
      </c>
      <c r="AV321" s="1030">
        <f>IFERROR(INDEX(V321:AG321,1,MATCH(Parametres!$B$3,V$1:AG$1,0)-1)*IF(OR(C321="L",C321="S",C321="I"),-1,1),"")</f>
        <v>0</v>
      </c>
      <c r="AW321" s="1030">
        <f t="shared" si="19"/>
        <v>0</v>
      </c>
      <c r="AX321" s="1030">
        <f>INDEX(V321:AG321,1,MATCH(Parametres!$B$3,V$1:AG$1,0))*IF(OR(C321="L",C321="S",C321="I"),-1,1)</f>
        <v>0</v>
      </c>
      <c r="AY321" s="598" t="s">
        <v>337</v>
      </c>
      <c r="AZ321" s="598" t="e">
        <f>+VLOOKUP($AJ321,Data_Validation!$A:$E,5,0)</f>
        <v>#N/A</v>
      </c>
    </row>
    <row r="322" spans="36:52" ht="15.75" customHeight="1">
      <c r="AJ322" s="1030">
        <f t="shared" si="16"/>
        <v>0</v>
      </c>
      <c r="AK322" s="1030">
        <f t="shared" si="16"/>
        <v>0</v>
      </c>
      <c r="AL322" s="1030">
        <f>IFERROR(INDEX(G322:R322,1,MATCH(Parametres!$B$3,G$1:R$1,0)-1)*IF(OR(F322="L",F322="S",F322="I"),-1,1),"")</f>
        <v>0</v>
      </c>
      <c r="AM322" s="1030">
        <f t="shared" si="17"/>
        <v>0</v>
      </c>
      <c r="AN322" s="1030">
        <f>INDEX(G322:R322,1,MATCH(Parametres!$B$3,G$1:R$1,0))*IF(OR(F322="L",F322="S",F322="I"),-1,1)</f>
        <v>0</v>
      </c>
      <c r="AO322" s="598" t="e">
        <f>+VLOOKUP($AJ322,Data_Validation!$A:$D,1,0)</f>
        <v>#N/A</v>
      </c>
      <c r="AP322" s="598" t="e">
        <f>+VLOOKUP($AJ322,Data_Validation!$A:$D,3,0)</f>
        <v>#N/A</v>
      </c>
      <c r="AQ322" s="598" t="e">
        <f>+VLOOKUP($AJ322,Data_Validation!$A:$D,4,0)</f>
        <v>#N/A</v>
      </c>
      <c r="AR322" s="598" t="s">
        <v>299</v>
      </c>
      <c r="AS322" s="598" t="e">
        <f>+VLOOKUP($AJ322,Data_Validation!$A:$E,5,0)</f>
        <v>#N/A</v>
      </c>
      <c r="AT322" s="1036">
        <f t="shared" si="18"/>
        <v>0</v>
      </c>
      <c r="AU322" s="599">
        <f t="shared" si="18"/>
        <v>0</v>
      </c>
      <c r="AV322" s="1030">
        <f>IFERROR(INDEX(V322:AG322,1,MATCH(Parametres!$B$3,V$1:AG$1,0)-1)*IF(OR(C322="L",C322="S",C322="I"),-1,1),"")</f>
        <v>0</v>
      </c>
      <c r="AW322" s="1030">
        <f t="shared" si="19"/>
        <v>0</v>
      </c>
      <c r="AX322" s="1030">
        <f>INDEX(V322:AG322,1,MATCH(Parametres!$B$3,V$1:AG$1,0))*IF(OR(C322="L",C322="S",C322="I"),-1,1)</f>
        <v>0</v>
      </c>
      <c r="AY322" s="598" t="s">
        <v>337</v>
      </c>
      <c r="AZ322" s="598" t="e">
        <f>+VLOOKUP($AJ322,Data_Validation!$A:$E,5,0)</f>
        <v>#N/A</v>
      </c>
    </row>
    <row r="323" spans="36:52" ht="15" customHeight="1">
      <c r="AJ323" s="1030">
        <f t="shared" si="16"/>
        <v>0</v>
      </c>
      <c r="AK323" s="1030">
        <f t="shared" si="16"/>
        <v>0</v>
      </c>
      <c r="AL323" s="1030">
        <f>IFERROR(INDEX(G323:R323,1,MATCH(Parametres!$B$3,G$1:R$1,0)-1)*IF(OR(F323="L",F323="S",F323="I"),-1,1),"")</f>
        <v>0</v>
      </c>
      <c r="AM323" s="1030">
        <f t="shared" si="17"/>
        <v>0</v>
      </c>
      <c r="AN323" s="1030">
        <f>INDEX(G323:R323,1,MATCH(Parametres!$B$3,G$1:R$1,0))*IF(OR(F323="L",F323="S",F323="I"),-1,1)</f>
        <v>0</v>
      </c>
      <c r="AO323" s="598" t="e">
        <f>+VLOOKUP($AJ323,Data_Validation!$A:$D,1,0)</f>
        <v>#N/A</v>
      </c>
      <c r="AP323" s="598" t="e">
        <f>+VLOOKUP($AJ323,Data_Validation!$A:$D,3,0)</f>
        <v>#N/A</v>
      </c>
      <c r="AQ323" s="598" t="e">
        <f>+VLOOKUP($AJ323,Data_Validation!$A:$D,4,0)</f>
        <v>#N/A</v>
      </c>
      <c r="AR323" s="598" t="s">
        <v>299</v>
      </c>
      <c r="AS323" s="598" t="e">
        <f>+VLOOKUP($AJ323,Data_Validation!$A:$E,5,0)</f>
        <v>#N/A</v>
      </c>
      <c r="AT323" s="1036">
        <f t="shared" si="18"/>
        <v>0</v>
      </c>
      <c r="AU323" s="599">
        <f t="shared" si="18"/>
        <v>0</v>
      </c>
      <c r="AV323" s="1030">
        <f>IFERROR(INDEX(V323:AG323,1,MATCH(Parametres!$B$3,V$1:AG$1,0)-1)*IF(OR(C323="L",C323="S",C323="I"),-1,1),"")</f>
        <v>0</v>
      </c>
      <c r="AW323" s="1030">
        <f t="shared" si="19"/>
        <v>0</v>
      </c>
      <c r="AX323" s="1030">
        <f>INDEX(V323:AG323,1,MATCH(Parametres!$B$3,V$1:AG$1,0))*IF(OR(C323="L",C323="S",C323="I"),-1,1)</f>
        <v>0</v>
      </c>
      <c r="AY323" s="598" t="s">
        <v>337</v>
      </c>
      <c r="AZ323" s="598" t="e">
        <f>+VLOOKUP($AJ323,Data_Validation!$A:$E,5,0)</f>
        <v>#N/A</v>
      </c>
    </row>
    <row r="324" spans="36:52" ht="15" customHeight="1">
      <c r="AJ324" s="1030">
        <f t="shared" ref="AJ324:AK387" si="20">C324</f>
        <v>0</v>
      </c>
      <c r="AK324" s="1030">
        <f t="shared" si="20"/>
        <v>0</v>
      </c>
      <c r="AL324" s="1030">
        <f>IFERROR(INDEX(G324:R324,1,MATCH(Parametres!$B$3,G$1:R$1,0)-1)*IF(OR(F324="L",F324="S",F324="I"),-1,1),"")</f>
        <v>0</v>
      </c>
      <c r="AM324" s="1030">
        <f t="shared" ref="AM324:AM387" si="21">AN324-N(AL324)</f>
        <v>0</v>
      </c>
      <c r="AN324" s="1030">
        <f>INDEX(G324:R324,1,MATCH(Parametres!$B$3,G$1:R$1,0))*IF(OR(F324="L",F324="S",F324="I"),-1,1)</f>
        <v>0</v>
      </c>
      <c r="AO324" s="598" t="e">
        <f>+VLOOKUP($AJ324,Data_Validation!$A:$D,1,0)</f>
        <v>#N/A</v>
      </c>
      <c r="AP324" s="598" t="e">
        <f>+VLOOKUP($AJ324,Data_Validation!$A:$D,3,0)</f>
        <v>#N/A</v>
      </c>
      <c r="AQ324" s="598" t="e">
        <f>+VLOOKUP($AJ324,Data_Validation!$A:$D,4,0)</f>
        <v>#N/A</v>
      </c>
      <c r="AR324" s="598" t="s">
        <v>299</v>
      </c>
      <c r="AS324" s="598" t="e">
        <f>+VLOOKUP($AJ324,Data_Validation!$A:$E,5,0)</f>
        <v>#N/A</v>
      </c>
      <c r="AT324" s="1036">
        <f t="shared" ref="AT324:AU387" si="22">C324</f>
        <v>0</v>
      </c>
      <c r="AU324" s="599">
        <f t="shared" si="22"/>
        <v>0</v>
      </c>
      <c r="AV324" s="1030">
        <f>IFERROR(INDEX(V324:AG324,1,MATCH(Parametres!$B$3,V$1:AG$1,0)-1)*IF(OR(C324="L",C324="S",C324="I"),-1,1),"")</f>
        <v>0</v>
      </c>
      <c r="AW324" s="1030">
        <f t="shared" ref="AW324:AW387" si="23">AX324-AV324</f>
        <v>0</v>
      </c>
      <c r="AX324" s="1030">
        <f>INDEX(V324:AG324,1,MATCH(Parametres!$B$3,V$1:AG$1,0))*IF(OR(C324="L",C324="S",C324="I"),-1,1)</f>
        <v>0</v>
      </c>
      <c r="AY324" s="598" t="s">
        <v>337</v>
      </c>
      <c r="AZ324" s="598" t="e">
        <f>+VLOOKUP($AJ324,Data_Validation!$A:$E,5,0)</f>
        <v>#N/A</v>
      </c>
    </row>
    <row r="325" spans="36:52" ht="15" customHeight="1">
      <c r="AJ325" s="1030">
        <f t="shared" si="20"/>
        <v>0</v>
      </c>
      <c r="AK325" s="1030">
        <f t="shared" si="20"/>
        <v>0</v>
      </c>
      <c r="AL325" s="1030">
        <f>IFERROR(INDEX(G325:R325,1,MATCH(Parametres!$B$3,G$1:R$1,0)-1)*IF(OR(F325="L",F325="S",F325="I"),-1,1),"")</f>
        <v>0</v>
      </c>
      <c r="AM325" s="1030">
        <f t="shared" si="21"/>
        <v>0</v>
      </c>
      <c r="AN325" s="1030">
        <f>INDEX(G325:R325,1,MATCH(Parametres!$B$3,G$1:R$1,0))*IF(OR(F325="L",F325="S",F325="I"),-1,1)</f>
        <v>0</v>
      </c>
      <c r="AO325" s="598" t="e">
        <f>+VLOOKUP($AJ325,Data_Validation!$A:$D,1,0)</f>
        <v>#N/A</v>
      </c>
      <c r="AP325" s="598" t="e">
        <f>+VLOOKUP($AJ325,Data_Validation!$A:$D,3,0)</f>
        <v>#N/A</v>
      </c>
      <c r="AQ325" s="598" t="e">
        <f>+VLOOKUP($AJ325,Data_Validation!$A:$D,4,0)</f>
        <v>#N/A</v>
      </c>
      <c r="AR325" s="598" t="s">
        <v>299</v>
      </c>
      <c r="AS325" s="598" t="e">
        <f>+VLOOKUP($AJ325,Data_Validation!$A:$E,5,0)</f>
        <v>#N/A</v>
      </c>
      <c r="AT325" s="1036">
        <f t="shared" si="22"/>
        <v>0</v>
      </c>
      <c r="AU325" s="599">
        <f t="shared" si="22"/>
        <v>0</v>
      </c>
      <c r="AV325" s="1030">
        <f>IFERROR(INDEX(V325:AG325,1,MATCH(Parametres!$B$3,V$1:AG$1,0)-1)*IF(OR(C325="L",C325="S",C325="I"),-1,1),"")</f>
        <v>0</v>
      </c>
      <c r="AW325" s="1030">
        <f t="shared" si="23"/>
        <v>0</v>
      </c>
      <c r="AX325" s="1030">
        <f>INDEX(V325:AG325,1,MATCH(Parametres!$B$3,V$1:AG$1,0))*IF(OR(C325="L",C325="S",C325="I"),-1,1)</f>
        <v>0</v>
      </c>
      <c r="AY325" s="598" t="s">
        <v>337</v>
      </c>
      <c r="AZ325" s="598" t="e">
        <f>+VLOOKUP($AJ325,Data_Validation!$A:$E,5,0)</f>
        <v>#N/A</v>
      </c>
    </row>
    <row r="326" spans="36:52" ht="15" customHeight="1">
      <c r="AJ326" s="1030">
        <f t="shared" si="20"/>
        <v>0</v>
      </c>
      <c r="AK326" s="1030">
        <f t="shared" si="20"/>
        <v>0</v>
      </c>
      <c r="AL326" s="1030">
        <f>IFERROR(INDEX(G326:R326,1,MATCH(Parametres!$B$3,G$1:R$1,0)-1)*IF(OR(F326="L",F326="S",F326="I"),-1,1),"")</f>
        <v>0</v>
      </c>
      <c r="AM326" s="1030">
        <f t="shared" si="21"/>
        <v>0</v>
      </c>
      <c r="AN326" s="1030">
        <f>INDEX(G326:R326,1,MATCH(Parametres!$B$3,G$1:R$1,0))*IF(OR(F326="L",F326="S",F326="I"),-1,1)</f>
        <v>0</v>
      </c>
      <c r="AO326" s="598" t="e">
        <f>+VLOOKUP($AJ326,Data_Validation!$A:$D,1,0)</f>
        <v>#N/A</v>
      </c>
      <c r="AP326" s="598" t="e">
        <f>+VLOOKUP($AJ326,Data_Validation!$A:$D,3,0)</f>
        <v>#N/A</v>
      </c>
      <c r="AQ326" s="598" t="e">
        <f>+VLOOKUP($AJ326,Data_Validation!$A:$D,4,0)</f>
        <v>#N/A</v>
      </c>
      <c r="AR326" s="598" t="s">
        <v>299</v>
      </c>
      <c r="AS326" s="598" t="e">
        <f>+VLOOKUP($AJ326,Data_Validation!$A:$E,5,0)</f>
        <v>#N/A</v>
      </c>
      <c r="AT326" s="1036">
        <f t="shared" si="22"/>
        <v>0</v>
      </c>
      <c r="AU326" s="599">
        <f t="shared" si="22"/>
        <v>0</v>
      </c>
      <c r="AV326" s="1030">
        <f>IFERROR(INDEX(V326:AG326,1,MATCH(Parametres!$B$3,V$1:AG$1,0)-1)*IF(OR(C326="L",C326="S",C326="I"),-1,1),"")</f>
        <v>0</v>
      </c>
      <c r="AW326" s="1030">
        <f t="shared" si="23"/>
        <v>0</v>
      </c>
      <c r="AX326" s="1030">
        <f>INDEX(V326:AG326,1,MATCH(Parametres!$B$3,V$1:AG$1,0))*IF(OR(C326="L",C326="S",C326="I"),-1,1)</f>
        <v>0</v>
      </c>
      <c r="AY326" s="598" t="s">
        <v>337</v>
      </c>
      <c r="AZ326" s="598" t="e">
        <f>+VLOOKUP($AJ326,Data_Validation!$A:$E,5,0)</f>
        <v>#N/A</v>
      </c>
    </row>
    <row r="327" spans="36:52" ht="15.75" customHeight="1">
      <c r="AJ327" s="1030">
        <f t="shared" si="20"/>
        <v>0</v>
      </c>
      <c r="AK327" s="1030">
        <f t="shared" si="20"/>
        <v>0</v>
      </c>
      <c r="AL327" s="1030">
        <f>IFERROR(INDEX(G327:R327,1,MATCH(Parametres!$B$3,G$1:R$1,0)-1)*IF(OR(F327="L",F327="S",F327="I"),-1,1),"")</f>
        <v>0</v>
      </c>
      <c r="AM327" s="1030">
        <f t="shared" si="21"/>
        <v>0</v>
      </c>
      <c r="AN327" s="1030">
        <f>INDEX(G327:R327,1,MATCH(Parametres!$B$3,G$1:R$1,0))*IF(OR(F327="L",F327="S",F327="I"),-1,1)</f>
        <v>0</v>
      </c>
      <c r="AO327" s="598" t="e">
        <f>+VLOOKUP($AJ327,Data_Validation!$A:$D,1,0)</f>
        <v>#N/A</v>
      </c>
      <c r="AP327" s="598" t="e">
        <f>+VLOOKUP($AJ327,Data_Validation!$A:$D,3,0)</f>
        <v>#N/A</v>
      </c>
      <c r="AQ327" s="598" t="e">
        <f>+VLOOKUP($AJ327,Data_Validation!$A:$D,4,0)</f>
        <v>#N/A</v>
      </c>
      <c r="AR327" s="598" t="s">
        <v>299</v>
      </c>
      <c r="AS327" s="598" t="e">
        <f>+VLOOKUP($AJ327,Data_Validation!$A:$E,5,0)</f>
        <v>#N/A</v>
      </c>
      <c r="AT327" s="1036">
        <f t="shared" si="22"/>
        <v>0</v>
      </c>
      <c r="AU327" s="599">
        <f t="shared" si="22"/>
        <v>0</v>
      </c>
      <c r="AV327" s="1030">
        <f>IFERROR(INDEX(V327:AG327,1,MATCH(Parametres!$B$3,V$1:AG$1,0)-1)*IF(OR(C327="L",C327="S",C327="I"),-1,1),"")</f>
        <v>0</v>
      </c>
      <c r="AW327" s="1030">
        <f t="shared" si="23"/>
        <v>0</v>
      </c>
      <c r="AX327" s="1030">
        <f>INDEX(V327:AG327,1,MATCH(Parametres!$B$3,V$1:AG$1,0))*IF(OR(C327="L",C327="S",C327="I"),-1,1)</f>
        <v>0</v>
      </c>
      <c r="AY327" s="598" t="s">
        <v>337</v>
      </c>
      <c r="AZ327" s="598" t="e">
        <f>+VLOOKUP($AJ327,Data_Validation!$A:$E,5,0)</f>
        <v>#N/A</v>
      </c>
    </row>
    <row r="328" spans="36:52" ht="15" customHeight="1">
      <c r="AJ328" s="1030">
        <f t="shared" si="20"/>
        <v>0</v>
      </c>
      <c r="AK328" s="1030">
        <f t="shared" si="20"/>
        <v>0</v>
      </c>
      <c r="AL328" s="1030">
        <f>IFERROR(INDEX(G328:R328,1,MATCH(Parametres!$B$3,G$1:R$1,0)-1)*IF(OR(F328="L",F328="S",F328="I"),-1,1),"")</f>
        <v>0</v>
      </c>
      <c r="AM328" s="1030">
        <f t="shared" si="21"/>
        <v>0</v>
      </c>
      <c r="AN328" s="1030">
        <f>INDEX(G328:R328,1,MATCH(Parametres!$B$3,G$1:R$1,0))*IF(OR(F328="L",F328="S",F328="I"),-1,1)</f>
        <v>0</v>
      </c>
      <c r="AO328" s="598" t="e">
        <f>+VLOOKUP($AJ328,Data_Validation!$A:$D,1,0)</f>
        <v>#N/A</v>
      </c>
      <c r="AP328" s="598" t="e">
        <f>+VLOOKUP($AJ328,Data_Validation!$A:$D,3,0)</f>
        <v>#N/A</v>
      </c>
      <c r="AQ328" s="598" t="e">
        <f>+VLOOKUP($AJ328,Data_Validation!$A:$D,4,0)</f>
        <v>#N/A</v>
      </c>
      <c r="AR328" s="598" t="s">
        <v>299</v>
      </c>
      <c r="AS328" s="598" t="e">
        <f>+VLOOKUP($AJ328,Data_Validation!$A:$E,5,0)</f>
        <v>#N/A</v>
      </c>
      <c r="AT328" s="1036">
        <f t="shared" si="22"/>
        <v>0</v>
      </c>
      <c r="AU328" s="599">
        <f t="shared" si="22"/>
        <v>0</v>
      </c>
      <c r="AV328" s="1030">
        <f>IFERROR(INDEX(V328:AG328,1,MATCH(Parametres!$B$3,V$1:AG$1,0)-1)*IF(OR(C328="L",C328="S",C328="I"),-1,1),"")</f>
        <v>0</v>
      </c>
      <c r="AW328" s="1030">
        <f t="shared" si="23"/>
        <v>0</v>
      </c>
      <c r="AX328" s="1030">
        <f>INDEX(V328:AG328,1,MATCH(Parametres!$B$3,V$1:AG$1,0))*IF(OR(C328="L",C328="S",C328="I"),-1,1)</f>
        <v>0</v>
      </c>
      <c r="AY328" s="598" t="s">
        <v>337</v>
      </c>
      <c r="AZ328" s="598" t="e">
        <f>+VLOOKUP($AJ328,Data_Validation!$A:$E,5,0)</f>
        <v>#N/A</v>
      </c>
    </row>
    <row r="329" spans="36:52" ht="15" customHeight="1">
      <c r="AJ329" s="1030">
        <f t="shared" si="20"/>
        <v>0</v>
      </c>
      <c r="AK329" s="1030">
        <f t="shared" si="20"/>
        <v>0</v>
      </c>
      <c r="AL329" s="1030">
        <f>IFERROR(INDEX(G329:R329,1,MATCH(Parametres!$B$3,G$1:R$1,0)-1)*IF(OR(F329="L",F329="S",F329="I"),-1,1),"")</f>
        <v>0</v>
      </c>
      <c r="AM329" s="1030">
        <f t="shared" si="21"/>
        <v>0</v>
      </c>
      <c r="AN329" s="1030">
        <f>INDEX(G329:R329,1,MATCH(Parametres!$B$3,G$1:R$1,0))*IF(OR(F329="L",F329="S",F329="I"),-1,1)</f>
        <v>0</v>
      </c>
      <c r="AO329" s="598" t="e">
        <f>+VLOOKUP($AJ329,Data_Validation!$A:$D,1,0)</f>
        <v>#N/A</v>
      </c>
      <c r="AP329" s="598" t="e">
        <f>+VLOOKUP($AJ329,Data_Validation!$A:$D,3,0)</f>
        <v>#N/A</v>
      </c>
      <c r="AQ329" s="598" t="e">
        <f>+VLOOKUP($AJ329,Data_Validation!$A:$D,4,0)</f>
        <v>#N/A</v>
      </c>
      <c r="AR329" s="598" t="s">
        <v>299</v>
      </c>
      <c r="AS329" s="598" t="e">
        <f>+VLOOKUP($AJ329,Data_Validation!$A:$E,5,0)</f>
        <v>#N/A</v>
      </c>
      <c r="AT329" s="1036">
        <f t="shared" si="22"/>
        <v>0</v>
      </c>
      <c r="AU329" s="599">
        <f t="shared" si="22"/>
        <v>0</v>
      </c>
      <c r="AV329" s="1030">
        <f>IFERROR(INDEX(V329:AG329,1,MATCH(Parametres!$B$3,V$1:AG$1,0)-1)*IF(OR(C329="L",C329="S",C329="I"),-1,1),"")</f>
        <v>0</v>
      </c>
      <c r="AW329" s="1030">
        <f t="shared" si="23"/>
        <v>0</v>
      </c>
      <c r="AX329" s="1030">
        <f>INDEX(V329:AG329,1,MATCH(Parametres!$B$3,V$1:AG$1,0))*IF(OR(C329="L",C329="S",C329="I"),-1,1)</f>
        <v>0</v>
      </c>
      <c r="AY329" s="598" t="s">
        <v>337</v>
      </c>
      <c r="AZ329" s="598" t="e">
        <f>+VLOOKUP($AJ329,Data_Validation!$A:$E,5,0)</f>
        <v>#N/A</v>
      </c>
    </row>
    <row r="330" spans="36:52" ht="15" customHeight="1">
      <c r="AJ330" s="1030">
        <f t="shared" si="20"/>
        <v>0</v>
      </c>
      <c r="AK330" s="1030">
        <f t="shared" si="20"/>
        <v>0</v>
      </c>
      <c r="AL330" s="1030">
        <f>IFERROR(INDEX(G330:R330,1,MATCH(Parametres!$B$3,G$1:R$1,0)-1)*IF(OR(F330="L",F330="S",F330="I"),-1,1),"")</f>
        <v>0</v>
      </c>
      <c r="AM330" s="1030">
        <f t="shared" si="21"/>
        <v>0</v>
      </c>
      <c r="AN330" s="1030">
        <f>INDEX(G330:R330,1,MATCH(Parametres!$B$3,G$1:R$1,0))*IF(OR(F330="L",F330="S",F330="I"),-1,1)</f>
        <v>0</v>
      </c>
      <c r="AO330" s="598" t="e">
        <f>+VLOOKUP($AJ330,Data_Validation!$A:$D,1,0)</f>
        <v>#N/A</v>
      </c>
      <c r="AP330" s="598" t="e">
        <f>+VLOOKUP($AJ330,Data_Validation!$A:$D,3,0)</f>
        <v>#N/A</v>
      </c>
      <c r="AQ330" s="598" t="e">
        <f>+VLOOKUP($AJ330,Data_Validation!$A:$D,4,0)</f>
        <v>#N/A</v>
      </c>
      <c r="AR330" s="598" t="s">
        <v>299</v>
      </c>
      <c r="AS330" s="598" t="e">
        <f>+VLOOKUP($AJ330,Data_Validation!$A:$E,5,0)</f>
        <v>#N/A</v>
      </c>
      <c r="AT330" s="1036">
        <f t="shared" si="22"/>
        <v>0</v>
      </c>
      <c r="AU330" s="599">
        <f t="shared" si="22"/>
        <v>0</v>
      </c>
      <c r="AV330" s="1030">
        <f>IFERROR(INDEX(V330:AG330,1,MATCH(Parametres!$B$3,V$1:AG$1,0)-1)*IF(OR(C330="L",C330="S",C330="I"),-1,1),"")</f>
        <v>0</v>
      </c>
      <c r="AW330" s="1030">
        <f t="shared" si="23"/>
        <v>0</v>
      </c>
      <c r="AX330" s="1030">
        <f>INDEX(V330:AG330,1,MATCH(Parametres!$B$3,V$1:AG$1,0))*IF(OR(C330="L",C330="S",C330="I"),-1,1)</f>
        <v>0</v>
      </c>
      <c r="AY330" s="598" t="s">
        <v>337</v>
      </c>
      <c r="AZ330" s="598" t="e">
        <f>+VLOOKUP($AJ330,Data_Validation!$A:$E,5,0)</f>
        <v>#N/A</v>
      </c>
    </row>
    <row r="331" spans="36:52" ht="15" customHeight="1">
      <c r="AJ331" s="1030">
        <f t="shared" si="20"/>
        <v>0</v>
      </c>
      <c r="AK331" s="1030">
        <f t="shared" si="20"/>
        <v>0</v>
      </c>
      <c r="AL331" s="1030">
        <f>IFERROR(INDEX(G331:R331,1,MATCH(Parametres!$B$3,G$1:R$1,0)-1)*IF(OR(F331="L",F331="S",F331="I"),-1,1),"")</f>
        <v>0</v>
      </c>
      <c r="AM331" s="1030">
        <f t="shared" si="21"/>
        <v>0</v>
      </c>
      <c r="AN331" s="1030">
        <f>INDEX(G331:R331,1,MATCH(Parametres!$B$3,G$1:R$1,0))*IF(OR(F331="L",F331="S",F331="I"),-1,1)</f>
        <v>0</v>
      </c>
      <c r="AO331" s="598" t="e">
        <f>+VLOOKUP($AJ331,Data_Validation!$A:$D,1,0)</f>
        <v>#N/A</v>
      </c>
      <c r="AP331" s="598" t="e">
        <f>+VLOOKUP($AJ331,Data_Validation!$A:$D,3,0)</f>
        <v>#N/A</v>
      </c>
      <c r="AQ331" s="598" t="e">
        <f>+VLOOKUP($AJ331,Data_Validation!$A:$D,4,0)</f>
        <v>#N/A</v>
      </c>
      <c r="AR331" s="598" t="s">
        <v>299</v>
      </c>
      <c r="AS331" s="598" t="e">
        <f>+VLOOKUP($AJ331,Data_Validation!$A:$E,5,0)</f>
        <v>#N/A</v>
      </c>
      <c r="AT331" s="1036">
        <f t="shared" si="22"/>
        <v>0</v>
      </c>
      <c r="AU331" s="599">
        <f t="shared" si="22"/>
        <v>0</v>
      </c>
      <c r="AV331" s="1030">
        <f>IFERROR(INDEX(V331:AG331,1,MATCH(Parametres!$B$3,V$1:AG$1,0)-1)*IF(OR(C331="L",C331="S",C331="I"),-1,1),"")</f>
        <v>0</v>
      </c>
      <c r="AW331" s="1030">
        <f t="shared" si="23"/>
        <v>0</v>
      </c>
      <c r="AX331" s="1030">
        <f>INDEX(V331:AG331,1,MATCH(Parametres!$B$3,V$1:AG$1,0))*IF(OR(C331="L",C331="S",C331="I"),-1,1)</f>
        <v>0</v>
      </c>
      <c r="AY331" s="598" t="s">
        <v>337</v>
      </c>
      <c r="AZ331" s="598" t="e">
        <f>+VLOOKUP($AJ331,Data_Validation!$A:$E,5,0)</f>
        <v>#N/A</v>
      </c>
    </row>
    <row r="332" spans="36:52" ht="15" customHeight="1">
      <c r="AJ332" s="1030">
        <f t="shared" si="20"/>
        <v>0</v>
      </c>
      <c r="AK332" s="1030">
        <f t="shared" si="20"/>
        <v>0</v>
      </c>
      <c r="AL332" s="1030">
        <f>IFERROR(INDEX(G332:R332,1,MATCH(Parametres!$B$3,G$1:R$1,0)-1)*IF(OR(F332="L",F332="S",F332="I"),-1,1),"")</f>
        <v>0</v>
      </c>
      <c r="AM332" s="1030">
        <f t="shared" si="21"/>
        <v>0</v>
      </c>
      <c r="AN332" s="1030">
        <f>INDEX(G332:R332,1,MATCH(Parametres!$B$3,G$1:R$1,0))*IF(OR(F332="L",F332="S",F332="I"),-1,1)</f>
        <v>0</v>
      </c>
      <c r="AO332" s="598" t="e">
        <f>+VLOOKUP($AJ332,Data_Validation!$A:$D,1,0)</f>
        <v>#N/A</v>
      </c>
      <c r="AP332" s="598" t="e">
        <f>+VLOOKUP($AJ332,Data_Validation!$A:$D,3,0)</f>
        <v>#N/A</v>
      </c>
      <c r="AQ332" s="598" t="e">
        <f>+VLOOKUP($AJ332,Data_Validation!$A:$D,4,0)</f>
        <v>#N/A</v>
      </c>
      <c r="AR332" s="598" t="s">
        <v>299</v>
      </c>
      <c r="AS332" s="598" t="e">
        <f>+VLOOKUP($AJ332,Data_Validation!$A:$E,5,0)</f>
        <v>#N/A</v>
      </c>
      <c r="AT332" s="1036">
        <f t="shared" si="22"/>
        <v>0</v>
      </c>
      <c r="AU332" s="599">
        <f t="shared" si="22"/>
        <v>0</v>
      </c>
      <c r="AV332" s="1030">
        <f>IFERROR(INDEX(V332:AG332,1,MATCH(Parametres!$B$3,V$1:AG$1,0)-1)*IF(OR(C332="L",C332="S",C332="I"),-1,1),"")</f>
        <v>0</v>
      </c>
      <c r="AW332" s="1030">
        <f t="shared" si="23"/>
        <v>0</v>
      </c>
      <c r="AX332" s="1030">
        <f>INDEX(V332:AG332,1,MATCH(Parametres!$B$3,V$1:AG$1,0))*IF(OR(C332="L",C332="S",C332="I"),-1,1)</f>
        <v>0</v>
      </c>
      <c r="AY332" s="598" t="s">
        <v>337</v>
      </c>
      <c r="AZ332" s="598" t="e">
        <f>+VLOOKUP($AJ332,Data_Validation!$A:$E,5,0)</f>
        <v>#N/A</v>
      </c>
    </row>
    <row r="333" spans="36:52" ht="15.75" customHeight="1">
      <c r="AJ333" s="1030">
        <f t="shared" si="20"/>
        <v>0</v>
      </c>
      <c r="AK333" s="1030">
        <f t="shared" si="20"/>
        <v>0</v>
      </c>
      <c r="AL333" s="1030">
        <f>IFERROR(INDEX(G333:R333,1,MATCH(Parametres!$B$3,G$1:R$1,0)-1)*IF(OR(F333="L",F333="S",F333="I"),-1,1),"")</f>
        <v>0</v>
      </c>
      <c r="AM333" s="1030">
        <f t="shared" si="21"/>
        <v>0</v>
      </c>
      <c r="AN333" s="1030">
        <f>INDEX(G333:R333,1,MATCH(Parametres!$B$3,G$1:R$1,0))*IF(OR(F333="L",F333="S",F333="I"),-1,1)</f>
        <v>0</v>
      </c>
      <c r="AO333" s="598" t="e">
        <f>+VLOOKUP($AJ333,Data_Validation!$A:$D,1,0)</f>
        <v>#N/A</v>
      </c>
      <c r="AP333" s="598" t="e">
        <f>+VLOOKUP($AJ333,Data_Validation!$A:$D,3,0)</f>
        <v>#N/A</v>
      </c>
      <c r="AQ333" s="598" t="e">
        <f>+VLOOKUP($AJ333,Data_Validation!$A:$D,4,0)</f>
        <v>#N/A</v>
      </c>
      <c r="AR333" s="598" t="s">
        <v>299</v>
      </c>
      <c r="AS333" s="598" t="e">
        <f>+VLOOKUP($AJ333,Data_Validation!$A:$E,5,0)</f>
        <v>#N/A</v>
      </c>
      <c r="AT333" s="1036">
        <f t="shared" si="22"/>
        <v>0</v>
      </c>
      <c r="AU333" s="599">
        <f t="shared" si="22"/>
        <v>0</v>
      </c>
      <c r="AV333" s="1030">
        <f>IFERROR(INDEX(V333:AG333,1,MATCH(Parametres!$B$3,V$1:AG$1,0)-1)*IF(OR(C333="L",C333="S",C333="I"),-1,1),"")</f>
        <v>0</v>
      </c>
      <c r="AW333" s="1030">
        <f t="shared" si="23"/>
        <v>0</v>
      </c>
      <c r="AX333" s="1030">
        <f>INDEX(V333:AG333,1,MATCH(Parametres!$B$3,V$1:AG$1,0))*IF(OR(C333="L",C333="S",C333="I"),-1,1)</f>
        <v>0</v>
      </c>
      <c r="AY333" s="598" t="s">
        <v>337</v>
      </c>
      <c r="AZ333" s="598" t="e">
        <f>+VLOOKUP($AJ333,Data_Validation!$A:$E,5,0)</f>
        <v>#N/A</v>
      </c>
    </row>
    <row r="334" spans="36:52" ht="15.75" customHeight="1">
      <c r="AJ334" s="1030">
        <f t="shared" si="20"/>
        <v>0</v>
      </c>
      <c r="AK334" s="1030">
        <f t="shared" si="20"/>
        <v>0</v>
      </c>
      <c r="AL334" s="1030">
        <f>IFERROR(INDEX(G334:R334,1,MATCH(Parametres!$B$3,G$1:R$1,0)-1)*IF(OR(F334="L",F334="S",F334="I"),-1,1),"")</f>
        <v>0</v>
      </c>
      <c r="AM334" s="1030">
        <f t="shared" si="21"/>
        <v>0</v>
      </c>
      <c r="AN334" s="1030">
        <f>INDEX(G334:R334,1,MATCH(Parametres!$B$3,G$1:R$1,0))*IF(OR(F334="L",F334="S",F334="I"),-1,1)</f>
        <v>0</v>
      </c>
      <c r="AO334" s="598" t="e">
        <f>+VLOOKUP($AJ334,Data_Validation!$A:$D,1,0)</f>
        <v>#N/A</v>
      </c>
      <c r="AP334" s="598" t="e">
        <f>+VLOOKUP($AJ334,Data_Validation!$A:$D,3,0)</f>
        <v>#N/A</v>
      </c>
      <c r="AQ334" s="598" t="e">
        <f>+VLOOKUP($AJ334,Data_Validation!$A:$D,4,0)</f>
        <v>#N/A</v>
      </c>
      <c r="AR334" s="598" t="s">
        <v>299</v>
      </c>
      <c r="AS334" s="598" t="e">
        <f>+VLOOKUP($AJ334,Data_Validation!$A:$E,5,0)</f>
        <v>#N/A</v>
      </c>
      <c r="AT334" s="1036">
        <f t="shared" si="22"/>
        <v>0</v>
      </c>
      <c r="AU334" s="599">
        <f t="shared" si="22"/>
        <v>0</v>
      </c>
      <c r="AV334" s="1030">
        <f>IFERROR(INDEX(V334:AG334,1,MATCH(Parametres!$B$3,V$1:AG$1,0)-1)*IF(OR(C334="L",C334="S",C334="I"),-1,1),"")</f>
        <v>0</v>
      </c>
      <c r="AW334" s="1030">
        <f t="shared" si="23"/>
        <v>0</v>
      </c>
      <c r="AX334" s="1030">
        <f>INDEX(V334:AG334,1,MATCH(Parametres!$B$3,V$1:AG$1,0))*IF(OR(C334="L",C334="S",C334="I"),-1,1)</f>
        <v>0</v>
      </c>
      <c r="AY334" s="598" t="s">
        <v>337</v>
      </c>
      <c r="AZ334" s="598" t="e">
        <f>+VLOOKUP($AJ334,Data_Validation!$A:$E,5,0)</f>
        <v>#N/A</v>
      </c>
    </row>
    <row r="335" spans="36:52" ht="15" customHeight="1">
      <c r="AJ335" s="1030">
        <f t="shared" si="20"/>
        <v>0</v>
      </c>
      <c r="AK335" s="1030">
        <f t="shared" si="20"/>
        <v>0</v>
      </c>
      <c r="AL335" s="1030">
        <f>IFERROR(INDEX(G335:R335,1,MATCH(Parametres!$B$3,G$1:R$1,0)-1)*IF(OR(F335="L",F335="S",F335="I"),-1,1),"")</f>
        <v>0</v>
      </c>
      <c r="AM335" s="1030">
        <f t="shared" si="21"/>
        <v>0</v>
      </c>
      <c r="AN335" s="1030">
        <f>INDEX(G335:R335,1,MATCH(Parametres!$B$3,G$1:R$1,0))*IF(OR(F335="L",F335="S",F335="I"),-1,1)</f>
        <v>0</v>
      </c>
      <c r="AO335" s="598" t="e">
        <f>+VLOOKUP($AJ335,Data_Validation!$A:$D,1,0)</f>
        <v>#N/A</v>
      </c>
      <c r="AP335" s="598" t="e">
        <f>+VLOOKUP($AJ335,Data_Validation!$A:$D,3,0)</f>
        <v>#N/A</v>
      </c>
      <c r="AQ335" s="598" t="e">
        <f>+VLOOKUP($AJ335,Data_Validation!$A:$D,4,0)</f>
        <v>#N/A</v>
      </c>
      <c r="AR335" s="598" t="s">
        <v>299</v>
      </c>
      <c r="AS335" s="598" t="e">
        <f>+VLOOKUP($AJ335,Data_Validation!$A:$E,5,0)</f>
        <v>#N/A</v>
      </c>
      <c r="AT335" s="1036">
        <f t="shared" si="22"/>
        <v>0</v>
      </c>
      <c r="AU335" s="599">
        <f t="shared" si="22"/>
        <v>0</v>
      </c>
      <c r="AV335" s="1030">
        <f>IFERROR(INDEX(V335:AG335,1,MATCH(Parametres!$B$3,V$1:AG$1,0)-1)*IF(OR(C335="L",C335="S",C335="I"),-1,1),"")</f>
        <v>0</v>
      </c>
      <c r="AW335" s="1030">
        <f t="shared" si="23"/>
        <v>0</v>
      </c>
      <c r="AX335" s="1030">
        <f>INDEX(V335:AG335,1,MATCH(Parametres!$B$3,V$1:AG$1,0))*IF(OR(C335="L",C335="S",C335="I"),-1,1)</f>
        <v>0</v>
      </c>
      <c r="AY335" s="598" t="s">
        <v>337</v>
      </c>
      <c r="AZ335" s="598" t="e">
        <f>+VLOOKUP($AJ335,Data_Validation!$A:$E,5,0)</f>
        <v>#N/A</v>
      </c>
    </row>
    <row r="336" spans="36:52" ht="15" customHeight="1">
      <c r="AJ336" s="1030">
        <f t="shared" si="20"/>
        <v>0</v>
      </c>
      <c r="AK336" s="1030">
        <f t="shared" si="20"/>
        <v>0</v>
      </c>
      <c r="AL336" s="1030">
        <f>IFERROR(INDEX(G336:R336,1,MATCH(Parametres!$B$3,G$1:R$1,0)-1)*IF(OR(F336="L",F336="S",F336="I"),-1,1),"")</f>
        <v>0</v>
      </c>
      <c r="AM336" s="1030">
        <f t="shared" si="21"/>
        <v>0</v>
      </c>
      <c r="AN336" s="1030">
        <f>INDEX(G336:R336,1,MATCH(Parametres!$B$3,G$1:R$1,0))*IF(OR(F336="L",F336="S",F336="I"),-1,1)</f>
        <v>0</v>
      </c>
      <c r="AO336" s="598" t="e">
        <f>+VLOOKUP($AJ336,Data_Validation!$A:$D,1,0)</f>
        <v>#N/A</v>
      </c>
      <c r="AP336" s="598" t="e">
        <f>+VLOOKUP($AJ336,Data_Validation!$A:$D,3,0)</f>
        <v>#N/A</v>
      </c>
      <c r="AQ336" s="598" t="e">
        <f>+VLOOKUP($AJ336,Data_Validation!$A:$D,4,0)</f>
        <v>#N/A</v>
      </c>
      <c r="AR336" s="598" t="s">
        <v>299</v>
      </c>
      <c r="AS336" s="598" t="e">
        <f>+VLOOKUP($AJ336,Data_Validation!$A:$E,5,0)</f>
        <v>#N/A</v>
      </c>
      <c r="AT336" s="1036">
        <f t="shared" si="22"/>
        <v>0</v>
      </c>
      <c r="AU336" s="599">
        <f t="shared" si="22"/>
        <v>0</v>
      </c>
      <c r="AV336" s="1030">
        <f>IFERROR(INDEX(V336:AG336,1,MATCH(Parametres!$B$3,V$1:AG$1,0)-1)*IF(OR(C336="L",C336="S",C336="I"),-1,1),"")</f>
        <v>0</v>
      </c>
      <c r="AW336" s="1030">
        <f t="shared" si="23"/>
        <v>0</v>
      </c>
      <c r="AX336" s="1030">
        <f>INDEX(V336:AG336,1,MATCH(Parametres!$B$3,V$1:AG$1,0))*IF(OR(C336="L",C336="S",C336="I"),-1,1)</f>
        <v>0</v>
      </c>
      <c r="AY336" s="598" t="s">
        <v>337</v>
      </c>
      <c r="AZ336" s="598" t="e">
        <f>+VLOOKUP($AJ336,Data_Validation!$A:$E,5,0)</f>
        <v>#N/A</v>
      </c>
    </row>
    <row r="337" spans="36:52" ht="15" customHeight="1">
      <c r="AJ337" s="1030">
        <f t="shared" si="20"/>
        <v>0</v>
      </c>
      <c r="AK337" s="1030">
        <f t="shared" si="20"/>
        <v>0</v>
      </c>
      <c r="AL337" s="1030">
        <f>IFERROR(INDEX(G337:R337,1,MATCH(Parametres!$B$3,G$1:R$1,0)-1)*IF(OR(F337="L",F337="S",F337="I"),-1,1),"")</f>
        <v>0</v>
      </c>
      <c r="AM337" s="1030">
        <f t="shared" si="21"/>
        <v>0</v>
      </c>
      <c r="AN337" s="1030">
        <f>INDEX(G337:R337,1,MATCH(Parametres!$B$3,G$1:R$1,0))*IF(OR(F337="L",F337="S",F337="I"),-1,1)</f>
        <v>0</v>
      </c>
      <c r="AO337" s="598" t="e">
        <f>+VLOOKUP($AJ337,Data_Validation!$A:$D,1,0)</f>
        <v>#N/A</v>
      </c>
      <c r="AP337" s="598" t="e">
        <f>+VLOOKUP($AJ337,Data_Validation!$A:$D,3,0)</f>
        <v>#N/A</v>
      </c>
      <c r="AQ337" s="598" t="e">
        <f>+VLOOKUP($AJ337,Data_Validation!$A:$D,4,0)</f>
        <v>#N/A</v>
      </c>
      <c r="AR337" s="598" t="s">
        <v>299</v>
      </c>
      <c r="AS337" s="598" t="e">
        <f>+VLOOKUP($AJ337,Data_Validation!$A:$E,5,0)</f>
        <v>#N/A</v>
      </c>
      <c r="AT337" s="1036">
        <f t="shared" si="22"/>
        <v>0</v>
      </c>
      <c r="AU337" s="599">
        <f t="shared" si="22"/>
        <v>0</v>
      </c>
      <c r="AV337" s="1030">
        <f>IFERROR(INDEX(V337:AG337,1,MATCH(Parametres!$B$3,V$1:AG$1,0)-1)*IF(OR(C337="L",C337="S",C337="I"),-1,1),"")</f>
        <v>0</v>
      </c>
      <c r="AW337" s="1030">
        <f t="shared" si="23"/>
        <v>0</v>
      </c>
      <c r="AX337" s="1030">
        <f>INDEX(V337:AG337,1,MATCH(Parametres!$B$3,V$1:AG$1,0))*IF(OR(C337="L",C337="S",C337="I"),-1,1)</f>
        <v>0</v>
      </c>
      <c r="AY337" s="598" t="s">
        <v>337</v>
      </c>
      <c r="AZ337" s="598" t="e">
        <f>+VLOOKUP($AJ337,Data_Validation!$A:$E,5,0)</f>
        <v>#N/A</v>
      </c>
    </row>
    <row r="338" spans="36:52" ht="15.75" customHeight="1">
      <c r="AJ338" s="1030">
        <f t="shared" si="20"/>
        <v>0</v>
      </c>
      <c r="AK338" s="1030">
        <f t="shared" si="20"/>
        <v>0</v>
      </c>
      <c r="AL338" s="1030">
        <f>IFERROR(INDEX(G338:R338,1,MATCH(Parametres!$B$3,G$1:R$1,0)-1)*IF(OR(F338="L",F338="S",F338="I"),-1,1),"")</f>
        <v>0</v>
      </c>
      <c r="AM338" s="1030">
        <f t="shared" si="21"/>
        <v>0</v>
      </c>
      <c r="AN338" s="1030">
        <f>INDEX(G338:R338,1,MATCH(Parametres!$B$3,G$1:R$1,0))*IF(OR(F338="L",F338="S",F338="I"),-1,1)</f>
        <v>0</v>
      </c>
      <c r="AO338" s="598" t="e">
        <f>+VLOOKUP($AJ338,Data_Validation!$A:$D,1,0)</f>
        <v>#N/A</v>
      </c>
      <c r="AP338" s="598" t="e">
        <f>+VLOOKUP($AJ338,Data_Validation!$A:$D,3,0)</f>
        <v>#N/A</v>
      </c>
      <c r="AQ338" s="598" t="e">
        <f>+VLOOKUP($AJ338,Data_Validation!$A:$D,4,0)</f>
        <v>#N/A</v>
      </c>
      <c r="AR338" s="598" t="s">
        <v>299</v>
      </c>
      <c r="AS338" s="598" t="e">
        <f>+VLOOKUP($AJ338,Data_Validation!$A:$E,5,0)</f>
        <v>#N/A</v>
      </c>
      <c r="AT338" s="1036">
        <f t="shared" si="22"/>
        <v>0</v>
      </c>
      <c r="AU338" s="599">
        <f t="shared" si="22"/>
        <v>0</v>
      </c>
      <c r="AV338" s="1030">
        <f>IFERROR(INDEX(V338:AG338,1,MATCH(Parametres!$B$3,V$1:AG$1,0)-1)*IF(OR(C338="L",C338="S",C338="I"),-1,1),"")</f>
        <v>0</v>
      </c>
      <c r="AW338" s="1030">
        <f t="shared" si="23"/>
        <v>0</v>
      </c>
      <c r="AX338" s="1030">
        <f>INDEX(V338:AG338,1,MATCH(Parametres!$B$3,V$1:AG$1,0))*IF(OR(C338="L",C338="S",C338="I"),-1,1)</f>
        <v>0</v>
      </c>
      <c r="AY338" s="598" t="s">
        <v>337</v>
      </c>
      <c r="AZ338" s="598" t="e">
        <f>+VLOOKUP($AJ338,Data_Validation!$A:$E,5,0)</f>
        <v>#N/A</v>
      </c>
    </row>
    <row r="339" spans="36:52" ht="15" customHeight="1">
      <c r="AJ339" s="1030">
        <f t="shared" si="20"/>
        <v>0</v>
      </c>
      <c r="AK339" s="1030">
        <f t="shared" si="20"/>
        <v>0</v>
      </c>
      <c r="AL339" s="1030">
        <f>IFERROR(INDEX(G339:R339,1,MATCH(Parametres!$B$3,G$1:R$1,0)-1)*IF(OR(F339="L",F339="S",F339="I"),-1,1),"")</f>
        <v>0</v>
      </c>
      <c r="AM339" s="1030">
        <f t="shared" si="21"/>
        <v>0</v>
      </c>
      <c r="AN339" s="1030">
        <f>INDEX(G339:R339,1,MATCH(Parametres!$B$3,G$1:R$1,0))*IF(OR(F339="L",F339="S",F339="I"),-1,1)</f>
        <v>0</v>
      </c>
      <c r="AO339" s="598" t="e">
        <f>+VLOOKUP($AJ339,Data_Validation!$A:$D,1,0)</f>
        <v>#N/A</v>
      </c>
      <c r="AP339" s="598" t="e">
        <f>+VLOOKUP($AJ339,Data_Validation!$A:$D,3,0)</f>
        <v>#N/A</v>
      </c>
      <c r="AQ339" s="598" t="e">
        <f>+VLOOKUP($AJ339,Data_Validation!$A:$D,4,0)</f>
        <v>#N/A</v>
      </c>
      <c r="AR339" s="598" t="s">
        <v>299</v>
      </c>
      <c r="AS339" s="598" t="e">
        <f>+VLOOKUP($AJ339,Data_Validation!$A:$E,5,0)</f>
        <v>#N/A</v>
      </c>
      <c r="AT339" s="1036">
        <f t="shared" si="22"/>
        <v>0</v>
      </c>
      <c r="AU339" s="599">
        <f t="shared" si="22"/>
        <v>0</v>
      </c>
      <c r="AV339" s="1030">
        <f>IFERROR(INDEX(V339:AG339,1,MATCH(Parametres!$B$3,V$1:AG$1,0)-1)*IF(OR(C339="L",C339="S",C339="I"),-1,1),"")</f>
        <v>0</v>
      </c>
      <c r="AW339" s="1030">
        <f t="shared" si="23"/>
        <v>0</v>
      </c>
      <c r="AX339" s="1030">
        <f>INDEX(V339:AG339,1,MATCH(Parametres!$B$3,V$1:AG$1,0))*IF(OR(C339="L",C339="S",C339="I"),-1,1)</f>
        <v>0</v>
      </c>
      <c r="AY339" s="598" t="s">
        <v>337</v>
      </c>
      <c r="AZ339" s="598" t="e">
        <f>+VLOOKUP($AJ339,Data_Validation!$A:$E,5,0)</f>
        <v>#N/A</v>
      </c>
    </row>
    <row r="340" spans="36:52" ht="15" customHeight="1">
      <c r="AJ340" s="1030">
        <f t="shared" si="20"/>
        <v>0</v>
      </c>
      <c r="AK340" s="1030">
        <f t="shared" si="20"/>
        <v>0</v>
      </c>
      <c r="AL340" s="1030">
        <f>IFERROR(INDEX(G340:R340,1,MATCH(Parametres!$B$3,G$1:R$1,0)-1)*IF(OR(F340="L",F340="S",F340="I"),-1,1),"")</f>
        <v>0</v>
      </c>
      <c r="AM340" s="1030">
        <f t="shared" si="21"/>
        <v>0</v>
      </c>
      <c r="AN340" s="1030">
        <f>INDEX(G340:R340,1,MATCH(Parametres!$B$3,G$1:R$1,0))*IF(OR(F340="L",F340="S",F340="I"),-1,1)</f>
        <v>0</v>
      </c>
      <c r="AO340" s="598" t="e">
        <f>+VLOOKUP($AJ340,Data_Validation!$A:$D,1,0)</f>
        <v>#N/A</v>
      </c>
      <c r="AP340" s="598" t="e">
        <f>+VLOOKUP($AJ340,Data_Validation!$A:$D,3,0)</f>
        <v>#N/A</v>
      </c>
      <c r="AQ340" s="598" t="e">
        <f>+VLOOKUP($AJ340,Data_Validation!$A:$D,4,0)</f>
        <v>#N/A</v>
      </c>
      <c r="AR340" s="598" t="s">
        <v>299</v>
      </c>
      <c r="AS340" s="598" t="e">
        <f>+VLOOKUP($AJ340,Data_Validation!$A:$E,5,0)</f>
        <v>#N/A</v>
      </c>
      <c r="AT340" s="1036">
        <f t="shared" si="22"/>
        <v>0</v>
      </c>
      <c r="AU340" s="599">
        <f t="shared" si="22"/>
        <v>0</v>
      </c>
      <c r="AV340" s="1030">
        <f>IFERROR(INDEX(V340:AG340,1,MATCH(Parametres!$B$3,V$1:AG$1,0)-1)*IF(OR(C340="L",C340="S",C340="I"),-1,1),"")</f>
        <v>0</v>
      </c>
      <c r="AW340" s="1030">
        <f t="shared" si="23"/>
        <v>0</v>
      </c>
      <c r="AX340" s="1030">
        <f>INDEX(V340:AG340,1,MATCH(Parametres!$B$3,V$1:AG$1,0))*IF(OR(C340="L",C340="S",C340="I"),-1,1)</f>
        <v>0</v>
      </c>
      <c r="AY340" s="598" t="s">
        <v>337</v>
      </c>
      <c r="AZ340" s="598" t="e">
        <f>+VLOOKUP($AJ340,Data_Validation!$A:$E,5,0)</f>
        <v>#N/A</v>
      </c>
    </row>
    <row r="341" spans="36:52" ht="15" customHeight="1">
      <c r="AJ341" s="1030">
        <f t="shared" si="20"/>
        <v>0</v>
      </c>
      <c r="AK341" s="1030">
        <f t="shared" si="20"/>
        <v>0</v>
      </c>
      <c r="AL341" s="1030">
        <f>IFERROR(INDEX(G341:R341,1,MATCH(Parametres!$B$3,G$1:R$1,0)-1)*IF(OR(F341="L",F341="S",F341="I"),-1,1),"")</f>
        <v>0</v>
      </c>
      <c r="AM341" s="1030">
        <f t="shared" si="21"/>
        <v>0</v>
      </c>
      <c r="AN341" s="1030">
        <f>INDEX(G341:R341,1,MATCH(Parametres!$B$3,G$1:R$1,0))*IF(OR(F341="L",F341="S",F341="I"),-1,1)</f>
        <v>0</v>
      </c>
      <c r="AO341" s="598" t="e">
        <f>+VLOOKUP($AJ341,Data_Validation!$A:$D,1,0)</f>
        <v>#N/A</v>
      </c>
      <c r="AP341" s="598" t="e">
        <f>+VLOOKUP($AJ341,Data_Validation!$A:$D,3,0)</f>
        <v>#N/A</v>
      </c>
      <c r="AQ341" s="598" t="e">
        <f>+VLOOKUP($AJ341,Data_Validation!$A:$D,4,0)</f>
        <v>#N/A</v>
      </c>
      <c r="AR341" s="598" t="s">
        <v>299</v>
      </c>
      <c r="AS341" s="598" t="e">
        <f>+VLOOKUP($AJ341,Data_Validation!$A:$E,5,0)</f>
        <v>#N/A</v>
      </c>
      <c r="AT341" s="1036">
        <f t="shared" si="22"/>
        <v>0</v>
      </c>
      <c r="AU341" s="599">
        <f t="shared" si="22"/>
        <v>0</v>
      </c>
      <c r="AV341" s="1030">
        <f>IFERROR(INDEX(V341:AG341,1,MATCH(Parametres!$B$3,V$1:AG$1,0)-1)*IF(OR(C341="L",C341="S",C341="I"),-1,1),"")</f>
        <v>0</v>
      </c>
      <c r="AW341" s="1030">
        <f t="shared" si="23"/>
        <v>0</v>
      </c>
      <c r="AX341" s="1030">
        <f>INDEX(V341:AG341,1,MATCH(Parametres!$B$3,V$1:AG$1,0))*IF(OR(C341="L",C341="S",C341="I"),-1,1)</f>
        <v>0</v>
      </c>
      <c r="AY341" s="598" t="s">
        <v>337</v>
      </c>
      <c r="AZ341" s="598" t="e">
        <f>+VLOOKUP($AJ341,Data_Validation!$A:$E,5,0)</f>
        <v>#N/A</v>
      </c>
    </row>
    <row r="342" spans="36:52" ht="15" customHeight="1">
      <c r="AJ342" s="1030">
        <f t="shared" si="20"/>
        <v>0</v>
      </c>
      <c r="AK342" s="1030">
        <f t="shared" si="20"/>
        <v>0</v>
      </c>
      <c r="AL342" s="1030">
        <f>IFERROR(INDEX(G342:R342,1,MATCH(Parametres!$B$3,G$1:R$1,0)-1)*IF(OR(F342="L",F342="S",F342="I"),-1,1),"")</f>
        <v>0</v>
      </c>
      <c r="AM342" s="1030">
        <f t="shared" si="21"/>
        <v>0</v>
      </c>
      <c r="AN342" s="1030">
        <f>INDEX(G342:R342,1,MATCH(Parametres!$B$3,G$1:R$1,0))*IF(OR(F342="L",F342="S",F342="I"),-1,1)</f>
        <v>0</v>
      </c>
      <c r="AO342" s="598" t="e">
        <f>+VLOOKUP($AJ342,Data_Validation!$A:$D,1,0)</f>
        <v>#N/A</v>
      </c>
      <c r="AP342" s="598" t="e">
        <f>+VLOOKUP($AJ342,Data_Validation!$A:$D,3,0)</f>
        <v>#N/A</v>
      </c>
      <c r="AQ342" s="598" t="e">
        <f>+VLOOKUP($AJ342,Data_Validation!$A:$D,4,0)</f>
        <v>#N/A</v>
      </c>
      <c r="AR342" s="598" t="s">
        <v>299</v>
      </c>
      <c r="AS342" s="598" t="e">
        <f>+VLOOKUP($AJ342,Data_Validation!$A:$E,5,0)</f>
        <v>#N/A</v>
      </c>
      <c r="AT342" s="1036">
        <f t="shared" si="22"/>
        <v>0</v>
      </c>
      <c r="AU342" s="599">
        <f t="shared" si="22"/>
        <v>0</v>
      </c>
      <c r="AV342" s="1030">
        <f>IFERROR(INDEX(V342:AG342,1,MATCH(Parametres!$B$3,V$1:AG$1,0)-1)*IF(OR(C342="L",C342="S",C342="I"),-1,1),"")</f>
        <v>0</v>
      </c>
      <c r="AW342" s="1030">
        <f t="shared" si="23"/>
        <v>0</v>
      </c>
      <c r="AX342" s="1030">
        <f>INDEX(V342:AG342,1,MATCH(Parametres!$B$3,V$1:AG$1,0))*IF(OR(C342="L",C342="S",C342="I"),-1,1)</f>
        <v>0</v>
      </c>
      <c r="AY342" s="598" t="s">
        <v>337</v>
      </c>
      <c r="AZ342" s="598" t="e">
        <f>+VLOOKUP($AJ342,Data_Validation!$A:$E,5,0)</f>
        <v>#N/A</v>
      </c>
    </row>
    <row r="343" spans="36:52" ht="15.75" customHeight="1">
      <c r="AJ343" s="1030">
        <f t="shared" si="20"/>
        <v>0</v>
      </c>
      <c r="AK343" s="1030">
        <f t="shared" si="20"/>
        <v>0</v>
      </c>
      <c r="AL343" s="1030">
        <f>IFERROR(INDEX(G343:R343,1,MATCH(Parametres!$B$3,G$1:R$1,0)-1)*IF(OR(F343="L",F343="S",F343="I"),-1,1),"")</f>
        <v>0</v>
      </c>
      <c r="AM343" s="1030">
        <f t="shared" si="21"/>
        <v>0</v>
      </c>
      <c r="AN343" s="1030">
        <f>INDEX(G343:R343,1,MATCH(Parametres!$B$3,G$1:R$1,0))*IF(OR(F343="L",F343="S",F343="I"),-1,1)</f>
        <v>0</v>
      </c>
      <c r="AO343" s="598" t="e">
        <f>+VLOOKUP($AJ343,Data_Validation!$A:$D,1,0)</f>
        <v>#N/A</v>
      </c>
      <c r="AP343" s="598" t="e">
        <f>+VLOOKUP($AJ343,Data_Validation!$A:$D,3,0)</f>
        <v>#N/A</v>
      </c>
      <c r="AQ343" s="598" t="e">
        <f>+VLOOKUP($AJ343,Data_Validation!$A:$D,4,0)</f>
        <v>#N/A</v>
      </c>
      <c r="AR343" s="598" t="s">
        <v>299</v>
      </c>
      <c r="AS343" s="598" t="e">
        <f>+VLOOKUP($AJ343,Data_Validation!$A:$E,5,0)</f>
        <v>#N/A</v>
      </c>
      <c r="AT343" s="1036">
        <f t="shared" si="22"/>
        <v>0</v>
      </c>
      <c r="AU343" s="599">
        <f t="shared" si="22"/>
        <v>0</v>
      </c>
      <c r="AV343" s="1030">
        <f>IFERROR(INDEX(V343:AG343,1,MATCH(Parametres!$B$3,V$1:AG$1,0)-1)*IF(OR(C343="L",C343="S",C343="I"),-1,1),"")</f>
        <v>0</v>
      </c>
      <c r="AW343" s="1030">
        <f t="shared" si="23"/>
        <v>0</v>
      </c>
      <c r="AX343" s="1030">
        <f>INDEX(V343:AG343,1,MATCH(Parametres!$B$3,V$1:AG$1,0))*IF(OR(C343="L",C343="S",C343="I"),-1,1)</f>
        <v>0</v>
      </c>
      <c r="AY343" s="598" t="s">
        <v>337</v>
      </c>
      <c r="AZ343" s="598" t="e">
        <f>+VLOOKUP($AJ343,Data_Validation!$A:$E,5,0)</f>
        <v>#N/A</v>
      </c>
    </row>
    <row r="344" spans="36:52" ht="15" customHeight="1">
      <c r="AJ344" s="1030">
        <f t="shared" si="20"/>
        <v>0</v>
      </c>
      <c r="AK344" s="1030">
        <f t="shared" si="20"/>
        <v>0</v>
      </c>
      <c r="AL344" s="1030">
        <f>IFERROR(INDEX(G344:R344,1,MATCH(Parametres!$B$3,G$1:R$1,0)-1)*IF(OR(F344="L",F344="S",F344="I"),-1,1),"")</f>
        <v>0</v>
      </c>
      <c r="AM344" s="1030">
        <f t="shared" si="21"/>
        <v>0</v>
      </c>
      <c r="AN344" s="1030">
        <f>INDEX(G344:R344,1,MATCH(Parametres!$B$3,G$1:R$1,0))*IF(OR(F344="L",F344="S",F344="I"),-1,1)</f>
        <v>0</v>
      </c>
      <c r="AO344" s="598" t="e">
        <f>+VLOOKUP($AJ344,Data_Validation!$A:$D,1,0)</f>
        <v>#N/A</v>
      </c>
      <c r="AP344" s="598" t="e">
        <f>+VLOOKUP($AJ344,Data_Validation!$A:$D,3,0)</f>
        <v>#N/A</v>
      </c>
      <c r="AQ344" s="598" t="e">
        <f>+VLOOKUP($AJ344,Data_Validation!$A:$D,4,0)</f>
        <v>#N/A</v>
      </c>
      <c r="AR344" s="598" t="s">
        <v>299</v>
      </c>
      <c r="AS344" s="598" t="e">
        <f>+VLOOKUP($AJ344,Data_Validation!$A:$E,5,0)</f>
        <v>#N/A</v>
      </c>
      <c r="AT344" s="1036">
        <f t="shared" si="22"/>
        <v>0</v>
      </c>
      <c r="AU344" s="599">
        <f t="shared" si="22"/>
        <v>0</v>
      </c>
      <c r="AV344" s="1030">
        <f>IFERROR(INDEX(V344:AG344,1,MATCH(Parametres!$B$3,V$1:AG$1,0)-1)*IF(OR(C344="L",C344="S",C344="I"),-1,1),"")</f>
        <v>0</v>
      </c>
      <c r="AW344" s="1030">
        <f t="shared" si="23"/>
        <v>0</v>
      </c>
      <c r="AX344" s="1030">
        <f>INDEX(V344:AG344,1,MATCH(Parametres!$B$3,V$1:AG$1,0))*IF(OR(C344="L",C344="S",C344="I"),-1,1)</f>
        <v>0</v>
      </c>
      <c r="AY344" s="598" t="s">
        <v>337</v>
      </c>
      <c r="AZ344" s="598" t="e">
        <f>+VLOOKUP($AJ344,Data_Validation!$A:$E,5,0)</f>
        <v>#N/A</v>
      </c>
    </row>
    <row r="345" spans="36:52" ht="15" customHeight="1">
      <c r="AJ345" s="1030">
        <f t="shared" si="20"/>
        <v>0</v>
      </c>
      <c r="AK345" s="1030">
        <f t="shared" si="20"/>
        <v>0</v>
      </c>
      <c r="AL345" s="1030">
        <f>IFERROR(INDEX(G345:R345,1,MATCH(Parametres!$B$3,G$1:R$1,0)-1)*IF(OR(F345="L",F345="S",F345="I"),-1,1),"")</f>
        <v>0</v>
      </c>
      <c r="AM345" s="1030">
        <f t="shared" si="21"/>
        <v>0</v>
      </c>
      <c r="AN345" s="1030">
        <f>INDEX(G345:R345,1,MATCH(Parametres!$B$3,G$1:R$1,0))*IF(OR(F345="L",F345="S",F345="I"),-1,1)</f>
        <v>0</v>
      </c>
      <c r="AO345" s="598" t="e">
        <f>+VLOOKUP($AJ345,Data_Validation!$A:$D,1,0)</f>
        <v>#N/A</v>
      </c>
      <c r="AP345" s="598" t="e">
        <f>+VLOOKUP($AJ345,Data_Validation!$A:$D,3,0)</f>
        <v>#N/A</v>
      </c>
      <c r="AQ345" s="598" t="e">
        <f>+VLOOKUP($AJ345,Data_Validation!$A:$D,4,0)</f>
        <v>#N/A</v>
      </c>
      <c r="AR345" s="598" t="s">
        <v>299</v>
      </c>
      <c r="AS345" s="598" t="e">
        <f>+VLOOKUP($AJ345,Data_Validation!$A:$E,5,0)</f>
        <v>#N/A</v>
      </c>
      <c r="AT345" s="1036">
        <f t="shared" si="22"/>
        <v>0</v>
      </c>
      <c r="AU345" s="599">
        <f t="shared" si="22"/>
        <v>0</v>
      </c>
      <c r="AV345" s="1030">
        <f>IFERROR(INDEX(V345:AG345,1,MATCH(Parametres!$B$3,V$1:AG$1,0)-1)*IF(OR(C345="L",C345="S",C345="I"),-1,1),"")</f>
        <v>0</v>
      </c>
      <c r="AW345" s="1030">
        <f t="shared" si="23"/>
        <v>0</v>
      </c>
      <c r="AX345" s="1030">
        <f>INDEX(V345:AG345,1,MATCH(Parametres!$B$3,V$1:AG$1,0))*IF(OR(C345="L",C345="S",C345="I"),-1,1)</f>
        <v>0</v>
      </c>
      <c r="AY345" s="598" t="s">
        <v>337</v>
      </c>
      <c r="AZ345" s="598" t="e">
        <f>+VLOOKUP($AJ345,Data_Validation!$A:$E,5,0)</f>
        <v>#N/A</v>
      </c>
    </row>
    <row r="346" spans="36:52" ht="15" customHeight="1">
      <c r="AJ346" s="1030">
        <f t="shared" si="20"/>
        <v>0</v>
      </c>
      <c r="AK346" s="1030">
        <f t="shared" si="20"/>
        <v>0</v>
      </c>
      <c r="AL346" s="1030">
        <f>IFERROR(INDEX(G346:R346,1,MATCH(Parametres!$B$3,G$1:R$1,0)-1)*IF(OR(F346="L",F346="S",F346="I"),-1,1),"")</f>
        <v>0</v>
      </c>
      <c r="AM346" s="1030">
        <f t="shared" si="21"/>
        <v>0</v>
      </c>
      <c r="AN346" s="1030">
        <f>INDEX(G346:R346,1,MATCH(Parametres!$B$3,G$1:R$1,0))*IF(OR(F346="L",F346="S",F346="I"),-1,1)</f>
        <v>0</v>
      </c>
      <c r="AO346" s="598" t="e">
        <f>+VLOOKUP($AJ346,Data_Validation!$A:$D,1,0)</f>
        <v>#N/A</v>
      </c>
      <c r="AP346" s="598" t="e">
        <f>+VLOOKUP($AJ346,Data_Validation!$A:$D,3,0)</f>
        <v>#N/A</v>
      </c>
      <c r="AQ346" s="598" t="e">
        <f>+VLOOKUP($AJ346,Data_Validation!$A:$D,4,0)</f>
        <v>#N/A</v>
      </c>
      <c r="AR346" s="598" t="s">
        <v>299</v>
      </c>
      <c r="AS346" s="598" t="e">
        <f>+VLOOKUP($AJ346,Data_Validation!$A:$E,5,0)</f>
        <v>#N/A</v>
      </c>
      <c r="AT346" s="1036">
        <f t="shared" si="22"/>
        <v>0</v>
      </c>
      <c r="AU346" s="599">
        <f t="shared" si="22"/>
        <v>0</v>
      </c>
      <c r="AV346" s="1030">
        <f>IFERROR(INDEX(V346:AG346,1,MATCH(Parametres!$B$3,V$1:AG$1,0)-1)*IF(OR(C346="L",C346="S",C346="I"),-1,1),"")</f>
        <v>0</v>
      </c>
      <c r="AW346" s="1030">
        <f t="shared" si="23"/>
        <v>0</v>
      </c>
      <c r="AX346" s="1030">
        <f>INDEX(V346:AG346,1,MATCH(Parametres!$B$3,V$1:AG$1,0))*IF(OR(C346="L",C346="S",C346="I"),-1,1)</f>
        <v>0</v>
      </c>
      <c r="AY346" s="598" t="s">
        <v>337</v>
      </c>
      <c r="AZ346" s="598" t="e">
        <f>+VLOOKUP($AJ346,Data_Validation!$A:$E,5,0)</f>
        <v>#N/A</v>
      </c>
    </row>
    <row r="347" spans="36:52" ht="15.75" customHeight="1">
      <c r="AJ347" s="1030">
        <f t="shared" si="20"/>
        <v>0</v>
      </c>
      <c r="AK347" s="1030">
        <f t="shared" si="20"/>
        <v>0</v>
      </c>
      <c r="AL347" s="1030">
        <f>IFERROR(INDEX(G347:R347,1,MATCH(Parametres!$B$3,G$1:R$1,0)-1)*IF(OR(F347="L",F347="S",F347="I"),-1,1),"")</f>
        <v>0</v>
      </c>
      <c r="AM347" s="1030">
        <f t="shared" si="21"/>
        <v>0</v>
      </c>
      <c r="AN347" s="1030">
        <f>INDEX(G347:R347,1,MATCH(Parametres!$B$3,G$1:R$1,0))*IF(OR(F347="L",F347="S",F347="I"),-1,1)</f>
        <v>0</v>
      </c>
      <c r="AO347" s="598" t="e">
        <f>+VLOOKUP($AJ347,Data_Validation!$A:$D,1,0)</f>
        <v>#N/A</v>
      </c>
      <c r="AP347" s="598" t="e">
        <f>+VLOOKUP($AJ347,Data_Validation!$A:$D,3,0)</f>
        <v>#N/A</v>
      </c>
      <c r="AQ347" s="598" t="e">
        <f>+VLOOKUP($AJ347,Data_Validation!$A:$D,4,0)</f>
        <v>#N/A</v>
      </c>
      <c r="AR347" s="598" t="s">
        <v>299</v>
      </c>
      <c r="AS347" s="598" t="e">
        <f>+VLOOKUP($AJ347,Data_Validation!$A:$E,5,0)</f>
        <v>#N/A</v>
      </c>
      <c r="AT347" s="1036">
        <f t="shared" si="22"/>
        <v>0</v>
      </c>
      <c r="AU347" s="599">
        <f t="shared" si="22"/>
        <v>0</v>
      </c>
      <c r="AV347" s="1030">
        <f>IFERROR(INDEX(V347:AG347,1,MATCH(Parametres!$B$3,V$1:AG$1,0)-1)*IF(OR(C347="L",C347="S",C347="I"),-1,1),"")</f>
        <v>0</v>
      </c>
      <c r="AW347" s="1030">
        <f t="shared" si="23"/>
        <v>0</v>
      </c>
      <c r="AX347" s="1030">
        <f>INDEX(V347:AG347,1,MATCH(Parametres!$B$3,V$1:AG$1,0))*IF(OR(C347="L",C347="S",C347="I"),-1,1)</f>
        <v>0</v>
      </c>
      <c r="AY347" s="598" t="s">
        <v>337</v>
      </c>
      <c r="AZ347" s="598" t="e">
        <f>+VLOOKUP($AJ347,Data_Validation!$A:$E,5,0)</f>
        <v>#N/A</v>
      </c>
    </row>
    <row r="348" spans="36:52" ht="15" customHeight="1">
      <c r="AJ348" s="1030">
        <f t="shared" si="20"/>
        <v>0</v>
      </c>
      <c r="AK348" s="1030">
        <f t="shared" si="20"/>
        <v>0</v>
      </c>
      <c r="AL348" s="1030">
        <f>IFERROR(INDEX(G348:R348,1,MATCH(Parametres!$B$3,G$1:R$1,0)-1)*IF(OR(F348="L",F348="S",F348="I"),-1,1),"")</f>
        <v>0</v>
      </c>
      <c r="AM348" s="1030">
        <f t="shared" si="21"/>
        <v>0</v>
      </c>
      <c r="AN348" s="1030">
        <f>INDEX(G348:R348,1,MATCH(Parametres!$B$3,G$1:R$1,0))*IF(OR(F348="L",F348="S",F348="I"),-1,1)</f>
        <v>0</v>
      </c>
      <c r="AO348" s="598" t="e">
        <f>+VLOOKUP($AJ348,Data_Validation!$A:$D,1,0)</f>
        <v>#N/A</v>
      </c>
      <c r="AP348" s="598" t="e">
        <f>+VLOOKUP($AJ348,Data_Validation!$A:$D,3,0)</f>
        <v>#N/A</v>
      </c>
      <c r="AQ348" s="598" t="e">
        <f>+VLOOKUP($AJ348,Data_Validation!$A:$D,4,0)</f>
        <v>#N/A</v>
      </c>
      <c r="AR348" s="598" t="s">
        <v>299</v>
      </c>
      <c r="AS348" s="598" t="e">
        <f>+VLOOKUP($AJ348,Data_Validation!$A:$E,5,0)</f>
        <v>#N/A</v>
      </c>
      <c r="AT348" s="1036">
        <f t="shared" si="22"/>
        <v>0</v>
      </c>
      <c r="AU348" s="599">
        <f t="shared" si="22"/>
        <v>0</v>
      </c>
      <c r="AV348" s="1030">
        <f>IFERROR(INDEX(V348:AG348,1,MATCH(Parametres!$B$3,V$1:AG$1,0)-1)*IF(OR(C348="L",C348="S",C348="I"),-1,1),"")</f>
        <v>0</v>
      </c>
      <c r="AW348" s="1030">
        <f t="shared" si="23"/>
        <v>0</v>
      </c>
      <c r="AX348" s="1030">
        <f>INDEX(V348:AG348,1,MATCH(Parametres!$B$3,V$1:AG$1,0))*IF(OR(C348="L",C348="S",C348="I"),-1,1)</f>
        <v>0</v>
      </c>
      <c r="AY348" s="598" t="s">
        <v>337</v>
      </c>
      <c r="AZ348" s="598" t="e">
        <f>+VLOOKUP($AJ348,Data_Validation!$A:$E,5,0)</f>
        <v>#N/A</v>
      </c>
    </row>
    <row r="349" spans="36:52" ht="15" customHeight="1">
      <c r="AJ349" s="1030">
        <f t="shared" si="20"/>
        <v>0</v>
      </c>
      <c r="AK349" s="1030">
        <f t="shared" si="20"/>
        <v>0</v>
      </c>
      <c r="AL349" s="1030">
        <f>IFERROR(INDEX(G349:R349,1,MATCH(Parametres!$B$3,G$1:R$1,0)-1)*IF(OR(F349="L",F349="S",F349="I"),-1,1),"")</f>
        <v>0</v>
      </c>
      <c r="AM349" s="1030">
        <f t="shared" si="21"/>
        <v>0</v>
      </c>
      <c r="AN349" s="1030">
        <f>INDEX(G349:R349,1,MATCH(Parametres!$B$3,G$1:R$1,0))*IF(OR(F349="L",F349="S",F349="I"),-1,1)</f>
        <v>0</v>
      </c>
      <c r="AO349" s="598" t="e">
        <f>+VLOOKUP($AJ349,Data_Validation!$A:$D,1,0)</f>
        <v>#N/A</v>
      </c>
      <c r="AP349" s="598" t="e">
        <f>+VLOOKUP($AJ349,Data_Validation!$A:$D,3,0)</f>
        <v>#N/A</v>
      </c>
      <c r="AQ349" s="598" t="e">
        <f>+VLOOKUP($AJ349,Data_Validation!$A:$D,4,0)</f>
        <v>#N/A</v>
      </c>
      <c r="AR349" s="598" t="s">
        <v>299</v>
      </c>
      <c r="AS349" s="598" t="e">
        <f>+VLOOKUP($AJ349,Data_Validation!$A:$E,5,0)</f>
        <v>#N/A</v>
      </c>
      <c r="AT349" s="1036">
        <f t="shared" si="22"/>
        <v>0</v>
      </c>
      <c r="AU349" s="599">
        <f t="shared" si="22"/>
        <v>0</v>
      </c>
      <c r="AV349" s="1030">
        <f>IFERROR(INDEX(V349:AG349,1,MATCH(Parametres!$B$3,V$1:AG$1,0)-1)*IF(OR(C349="L",C349="S",C349="I"),-1,1),"")</f>
        <v>0</v>
      </c>
      <c r="AW349" s="1030">
        <f t="shared" si="23"/>
        <v>0</v>
      </c>
      <c r="AX349" s="1030">
        <f>INDEX(V349:AG349,1,MATCH(Parametres!$B$3,V$1:AG$1,0))*IF(OR(C349="L",C349="S",C349="I"),-1,1)</f>
        <v>0</v>
      </c>
      <c r="AY349" s="598" t="s">
        <v>337</v>
      </c>
      <c r="AZ349" s="598" t="e">
        <f>+VLOOKUP($AJ349,Data_Validation!$A:$E,5,0)</f>
        <v>#N/A</v>
      </c>
    </row>
    <row r="350" spans="36:52" ht="15" customHeight="1">
      <c r="AJ350" s="1030">
        <f t="shared" si="20"/>
        <v>0</v>
      </c>
      <c r="AK350" s="1030">
        <f t="shared" si="20"/>
        <v>0</v>
      </c>
      <c r="AL350" s="1030">
        <f>IFERROR(INDEX(G350:R350,1,MATCH(Parametres!$B$3,G$1:R$1,0)-1)*IF(OR(F350="L",F350="S",F350="I"),-1,1),"")</f>
        <v>0</v>
      </c>
      <c r="AM350" s="1030">
        <f t="shared" si="21"/>
        <v>0</v>
      </c>
      <c r="AN350" s="1030">
        <f>INDEX(G350:R350,1,MATCH(Parametres!$B$3,G$1:R$1,0))*IF(OR(F350="L",F350="S",F350="I"),-1,1)</f>
        <v>0</v>
      </c>
      <c r="AO350" s="598" t="e">
        <f>+VLOOKUP($AJ350,Data_Validation!$A:$D,1,0)</f>
        <v>#N/A</v>
      </c>
      <c r="AP350" s="598" t="e">
        <f>+VLOOKUP($AJ350,Data_Validation!$A:$D,3,0)</f>
        <v>#N/A</v>
      </c>
      <c r="AQ350" s="598" t="e">
        <f>+VLOOKUP($AJ350,Data_Validation!$A:$D,4,0)</f>
        <v>#N/A</v>
      </c>
      <c r="AR350" s="598" t="s">
        <v>299</v>
      </c>
      <c r="AS350" s="598" t="e">
        <f>+VLOOKUP($AJ350,Data_Validation!$A:$E,5,0)</f>
        <v>#N/A</v>
      </c>
      <c r="AT350" s="1036">
        <f t="shared" si="22"/>
        <v>0</v>
      </c>
      <c r="AU350" s="599">
        <f t="shared" si="22"/>
        <v>0</v>
      </c>
      <c r="AV350" s="1030">
        <f>IFERROR(INDEX(V350:AG350,1,MATCH(Parametres!$B$3,V$1:AG$1,0)-1)*IF(OR(C350="L",C350="S",C350="I"),-1,1),"")</f>
        <v>0</v>
      </c>
      <c r="AW350" s="1030">
        <f t="shared" si="23"/>
        <v>0</v>
      </c>
      <c r="AX350" s="1030">
        <f>INDEX(V350:AG350,1,MATCH(Parametres!$B$3,V$1:AG$1,0))*IF(OR(C350="L",C350="S",C350="I"),-1,1)</f>
        <v>0</v>
      </c>
      <c r="AY350" s="598" t="s">
        <v>337</v>
      </c>
      <c r="AZ350" s="598" t="e">
        <f>+VLOOKUP($AJ350,Data_Validation!$A:$E,5,0)</f>
        <v>#N/A</v>
      </c>
    </row>
    <row r="351" spans="36:52" ht="15" customHeight="1">
      <c r="AJ351" s="1030">
        <f t="shared" si="20"/>
        <v>0</v>
      </c>
      <c r="AK351" s="1030">
        <f t="shared" si="20"/>
        <v>0</v>
      </c>
      <c r="AL351" s="1030">
        <f>IFERROR(INDEX(G351:R351,1,MATCH(Parametres!$B$3,G$1:R$1,0)-1)*IF(OR(F351="L",F351="S",F351="I"),-1,1),"")</f>
        <v>0</v>
      </c>
      <c r="AM351" s="1030">
        <f t="shared" si="21"/>
        <v>0</v>
      </c>
      <c r="AN351" s="1030">
        <f>INDEX(G351:R351,1,MATCH(Parametres!$B$3,G$1:R$1,0))*IF(OR(F351="L",F351="S",F351="I"),-1,1)</f>
        <v>0</v>
      </c>
      <c r="AO351" s="598" t="e">
        <f>+VLOOKUP($AJ351,Data_Validation!$A:$D,1,0)</f>
        <v>#N/A</v>
      </c>
      <c r="AP351" s="598" t="e">
        <f>+VLOOKUP($AJ351,Data_Validation!$A:$D,3,0)</f>
        <v>#N/A</v>
      </c>
      <c r="AQ351" s="598" t="e">
        <f>+VLOOKUP($AJ351,Data_Validation!$A:$D,4,0)</f>
        <v>#N/A</v>
      </c>
      <c r="AR351" s="598" t="s">
        <v>299</v>
      </c>
      <c r="AS351" s="598" t="e">
        <f>+VLOOKUP($AJ351,Data_Validation!$A:$E,5,0)</f>
        <v>#N/A</v>
      </c>
      <c r="AT351" s="1036">
        <f t="shared" si="22"/>
        <v>0</v>
      </c>
      <c r="AU351" s="599">
        <f t="shared" si="22"/>
        <v>0</v>
      </c>
      <c r="AV351" s="1030">
        <f>IFERROR(INDEX(V351:AG351,1,MATCH(Parametres!$B$3,V$1:AG$1,0)-1)*IF(OR(C351="L",C351="S",C351="I"),-1,1),"")</f>
        <v>0</v>
      </c>
      <c r="AW351" s="1030">
        <f t="shared" si="23"/>
        <v>0</v>
      </c>
      <c r="AX351" s="1030">
        <f>INDEX(V351:AG351,1,MATCH(Parametres!$B$3,V$1:AG$1,0))*IF(OR(C351="L",C351="S",C351="I"),-1,1)</f>
        <v>0</v>
      </c>
      <c r="AY351" s="598" t="s">
        <v>337</v>
      </c>
      <c r="AZ351" s="598" t="e">
        <f>+VLOOKUP($AJ351,Data_Validation!$A:$E,5,0)</f>
        <v>#N/A</v>
      </c>
    </row>
    <row r="352" spans="36:52" ht="15.75" customHeight="1">
      <c r="AJ352" s="1030">
        <f t="shared" si="20"/>
        <v>0</v>
      </c>
      <c r="AK352" s="1030">
        <f t="shared" si="20"/>
        <v>0</v>
      </c>
      <c r="AL352" s="1030">
        <f>IFERROR(INDEX(G352:R352,1,MATCH(Parametres!$B$3,G$1:R$1,0)-1)*IF(OR(F352="L",F352="S",F352="I"),-1,1),"")</f>
        <v>0</v>
      </c>
      <c r="AM352" s="1030">
        <f t="shared" si="21"/>
        <v>0</v>
      </c>
      <c r="AN352" s="1030">
        <f>INDEX(G352:R352,1,MATCH(Parametres!$B$3,G$1:R$1,0))*IF(OR(F352="L",F352="S",F352="I"),-1,1)</f>
        <v>0</v>
      </c>
      <c r="AO352" s="598" t="e">
        <f>+VLOOKUP($AJ352,Data_Validation!$A:$D,1,0)</f>
        <v>#N/A</v>
      </c>
      <c r="AP352" s="598" t="e">
        <f>+VLOOKUP($AJ352,Data_Validation!$A:$D,3,0)</f>
        <v>#N/A</v>
      </c>
      <c r="AQ352" s="598" t="e">
        <f>+VLOOKUP($AJ352,Data_Validation!$A:$D,4,0)</f>
        <v>#N/A</v>
      </c>
      <c r="AR352" s="598" t="s">
        <v>299</v>
      </c>
      <c r="AS352" s="598" t="e">
        <f>+VLOOKUP($AJ352,Data_Validation!$A:$E,5,0)</f>
        <v>#N/A</v>
      </c>
      <c r="AT352" s="1036">
        <f t="shared" si="22"/>
        <v>0</v>
      </c>
      <c r="AU352" s="599">
        <f t="shared" si="22"/>
        <v>0</v>
      </c>
      <c r="AV352" s="1030">
        <f>IFERROR(INDEX(V352:AG352,1,MATCH(Parametres!$B$3,V$1:AG$1,0)-1)*IF(OR(C352="L",C352="S",C352="I"),-1,1),"")</f>
        <v>0</v>
      </c>
      <c r="AW352" s="1030">
        <f t="shared" si="23"/>
        <v>0</v>
      </c>
      <c r="AX352" s="1030">
        <f>INDEX(V352:AG352,1,MATCH(Parametres!$B$3,V$1:AG$1,0))*IF(OR(C352="L",C352="S",C352="I"),-1,1)</f>
        <v>0</v>
      </c>
      <c r="AY352" s="598" t="s">
        <v>337</v>
      </c>
      <c r="AZ352" s="598" t="e">
        <f>+VLOOKUP($AJ352,Data_Validation!$A:$E,5,0)</f>
        <v>#N/A</v>
      </c>
    </row>
    <row r="353" spans="36:52" ht="15" customHeight="1">
      <c r="AJ353" s="1030">
        <f t="shared" si="20"/>
        <v>0</v>
      </c>
      <c r="AK353" s="1030">
        <f t="shared" si="20"/>
        <v>0</v>
      </c>
      <c r="AL353" s="1030">
        <f>IFERROR(INDEX(G353:R353,1,MATCH(Parametres!$B$3,G$1:R$1,0)-1)*IF(OR(F353="L",F353="S",F353="I"),-1,1),"")</f>
        <v>0</v>
      </c>
      <c r="AM353" s="1030">
        <f t="shared" si="21"/>
        <v>0</v>
      </c>
      <c r="AN353" s="1030">
        <f>INDEX(G353:R353,1,MATCH(Parametres!$B$3,G$1:R$1,0))*IF(OR(F353="L",F353="S",F353="I"),-1,1)</f>
        <v>0</v>
      </c>
      <c r="AO353" s="598" t="e">
        <f>+VLOOKUP($AJ353,Data_Validation!$A:$D,1,0)</f>
        <v>#N/A</v>
      </c>
      <c r="AP353" s="598" t="e">
        <f>+VLOOKUP($AJ353,Data_Validation!$A:$D,3,0)</f>
        <v>#N/A</v>
      </c>
      <c r="AQ353" s="598" t="e">
        <f>+VLOOKUP($AJ353,Data_Validation!$A:$D,4,0)</f>
        <v>#N/A</v>
      </c>
      <c r="AR353" s="598" t="s">
        <v>299</v>
      </c>
      <c r="AS353" s="598" t="e">
        <f>+VLOOKUP($AJ353,Data_Validation!$A:$E,5,0)</f>
        <v>#N/A</v>
      </c>
      <c r="AT353" s="1036">
        <f t="shared" si="22"/>
        <v>0</v>
      </c>
      <c r="AU353" s="599">
        <f t="shared" si="22"/>
        <v>0</v>
      </c>
      <c r="AV353" s="1030">
        <f>IFERROR(INDEX(V353:AG353,1,MATCH(Parametres!$B$3,V$1:AG$1,0)-1)*IF(OR(C353="L",C353="S",C353="I"),-1,1),"")</f>
        <v>0</v>
      </c>
      <c r="AW353" s="1030">
        <f t="shared" si="23"/>
        <v>0</v>
      </c>
      <c r="AX353" s="1030">
        <f>INDEX(V353:AG353,1,MATCH(Parametres!$B$3,V$1:AG$1,0))*IF(OR(C353="L",C353="S",C353="I"),-1,1)</f>
        <v>0</v>
      </c>
      <c r="AY353" s="598" t="s">
        <v>337</v>
      </c>
      <c r="AZ353" s="598" t="e">
        <f>+VLOOKUP($AJ353,Data_Validation!$A:$E,5,0)</f>
        <v>#N/A</v>
      </c>
    </row>
    <row r="354" spans="36:52" ht="15" customHeight="1">
      <c r="AJ354" s="1030">
        <f t="shared" si="20"/>
        <v>0</v>
      </c>
      <c r="AK354" s="1030">
        <f t="shared" si="20"/>
        <v>0</v>
      </c>
      <c r="AL354" s="1030">
        <f>IFERROR(INDEX(G354:R354,1,MATCH(Parametres!$B$3,G$1:R$1,0)-1)*IF(OR(F354="L",F354="S",F354="I"),-1,1),"")</f>
        <v>0</v>
      </c>
      <c r="AM354" s="1030">
        <f t="shared" si="21"/>
        <v>0</v>
      </c>
      <c r="AN354" s="1030">
        <f>INDEX(G354:R354,1,MATCH(Parametres!$B$3,G$1:R$1,0))*IF(OR(F354="L",F354="S",F354="I"),-1,1)</f>
        <v>0</v>
      </c>
      <c r="AO354" s="598" t="e">
        <f>+VLOOKUP($AJ354,Data_Validation!$A:$D,1,0)</f>
        <v>#N/A</v>
      </c>
      <c r="AP354" s="598" t="e">
        <f>+VLOOKUP($AJ354,Data_Validation!$A:$D,3,0)</f>
        <v>#N/A</v>
      </c>
      <c r="AQ354" s="598" t="e">
        <f>+VLOOKUP($AJ354,Data_Validation!$A:$D,4,0)</f>
        <v>#N/A</v>
      </c>
      <c r="AR354" s="598" t="s">
        <v>299</v>
      </c>
      <c r="AS354" s="598" t="e">
        <f>+VLOOKUP($AJ354,Data_Validation!$A:$E,5,0)</f>
        <v>#N/A</v>
      </c>
      <c r="AT354" s="1036">
        <f t="shared" si="22"/>
        <v>0</v>
      </c>
      <c r="AU354" s="599">
        <f t="shared" si="22"/>
        <v>0</v>
      </c>
      <c r="AV354" s="1030">
        <f>IFERROR(INDEX(V354:AG354,1,MATCH(Parametres!$B$3,V$1:AG$1,0)-1)*IF(OR(C354="L",C354="S",C354="I"),-1,1),"")</f>
        <v>0</v>
      </c>
      <c r="AW354" s="1030">
        <f t="shared" si="23"/>
        <v>0</v>
      </c>
      <c r="AX354" s="1030">
        <f>INDEX(V354:AG354,1,MATCH(Parametres!$B$3,V$1:AG$1,0))*IF(OR(C354="L",C354="S",C354="I"),-1,1)</f>
        <v>0</v>
      </c>
      <c r="AY354" s="598" t="s">
        <v>337</v>
      </c>
      <c r="AZ354" s="598" t="e">
        <f>+VLOOKUP($AJ354,Data_Validation!$A:$E,5,0)</f>
        <v>#N/A</v>
      </c>
    </row>
    <row r="355" spans="36:52" ht="15" customHeight="1">
      <c r="AJ355" s="1030">
        <f t="shared" si="20"/>
        <v>0</v>
      </c>
      <c r="AK355" s="1030">
        <f t="shared" si="20"/>
        <v>0</v>
      </c>
      <c r="AL355" s="1030">
        <f>IFERROR(INDEX(G355:R355,1,MATCH(Parametres!$B$3,G$1:R$1,0)-1)*IF(OR(F355="L",F355="S",F355="I"),-1,1),"")</f>
        <v>0</v>
      </c>
      <c r="AM355" s="1030">
        <f t="shared" si="21"/>
        <v>0</v>
      </c>
      <c r="AN355" s="1030">
        <f>INDEX(G355:R355,1,MATCH(Parametres!$B$3,G$1:R$1,0))*IF(OR(F355="L",F355="S",F355="I"),-1,1)</f>
        <v>0</v>
      </c>
      <c r="AO355" s="598" t="e">
        <f>+VLOOKUP($AJ355,Data_Validation!$A:$D,1,0)</f>
        <v>#N/A</v>
      </c>
      <c r="AP355" s="598" t="e">
        <f>+VLOOKUP($AJ355,Data_Validation!$A:$D,3,0)</f>
        <v>#N/A</v>
      </c>
      <c r="AQ355" s="598" t="e">
        <f>+VLOOKUP($AJ355,Data_Validation!$A:$D,4,0)</f>
        <v>#N/A</v>
      </c>
      <c r="AR355" s="598" t="s">
        <v>299</v>
      </c>
      <c r="AS355" s="598" t="e">
        <f>+VLOOKUP($AJ355,Data_Validation!$A:$E,5,0)</f>
        <v>#N/A</v>
      </c>
      <c r="AT355" s="1036">
        <f t="shared" si="22"/>
        <v>0</v>
      </c>
      <c r="AU355" s="599">
        <f t="shared" si="22"/>
        <v>0</v>
      </c>
      <c r="AV355" s="1030">
        <f>IFERROR(INDEX(V355:AG355,1,MATCH(Parametres!$B$3,V$1:AG$1,0)-1)*IF(OR(C355="L",C355="S",C355="I"),-1,1),"")</f>
        <v>0</v>
      </c>
      <c r="AW355" s="1030">
        <f t="shared" si="23"/>
        <v>0</v>
      </c>
      <c r="AX355" s="1030">
        <f>INDEX(V355:AG355,1,MATCH(Parametres!$B$3,V$1:AG$1,0))*IF(OR(C355="L",C355="S",C355="I"),-1,1)</f>
        <v>0</v>
      </c>
      <c r="AY355" s="598" t="s">
        <v>337</v>
      </c>
      <c r="AZ355" s="598" t="e">
        <f>+VLOOKUP($AJ355,Data_Validation!$A:$E,5,0)</f>
        <v>#N/A</v>
      </c>
    </row>
    <row r="356" spans="36:52" ht="15" customHeight="1">
      <c r="AJ356" s="1030">
        <f t="shared" si="20"/>
        <v>0</v>
      </c>
      <c r="AK356" s="1030">
        <f t="shared" si="20"/>
        <v>0</v>
      </c>
      <c r="AL356" s="1030">
        <f>IFERROR(INDEX(G356:R356,1,MATCH(Parametres!$B$3,G$1:R$1,0)-1)*IF(OR(F356="L",F356="S",F356="I"),-1,1),"")</f>
        <v>0</v>
      </c>
      <c r="AM356" s="1030">
        <f t="shared" si="21"/>
        <v>0</v>
      </c>
      <c r="AN356" s="1030">
        <f>INDEX(G356:R356,1,MATCH(Parametres!$B$3,G$1:R$1,0))*IF(OR(F356="L",F356="S",F356="I"),-1,1)</f>
        <v>0</v>
      </c>
      <c r="AO356" s="598" t="e">
        <f>+VLOOKUP($AJ356,Data_Validation!$A:$D,1,0)</f>
        <v>#N/A</v>
      </c>
      <c r="AP356" s="598" t="e">
        <f>+VLOOKUP($AJ356,Data_Validation!$A:$D,3,0)</f>
        <v>#N/A</v>
      </c>
      <c r="AQ356" s="598" t="e">
        <f>+VLOOKUP($AJ356,Data_Validation!$A:$D,4,0)</f>
        <v>#N/A</v>
      </c>
      <c r="AR356" s="598" t="s">
        <v>299</v>
      </c>
      <c r="AS356" s="598" t="e">
        <f>+VLOOKUP($AJ356,Data_Validation!$A:$E,5,0)</f>
        <v>#N/A</v>
      </c>
      <c r="AT356" s="1036">
        <f t="shared" si="22"/>
        <v>0</v>
      </c>
      <c r="AU356" s="599">
        <f t="shared" si="22"/>
        <v>0</v>
      </c>
      <c r="AV356" s="1030">
        <f>IFERROR(INDEX(V356:AG356,1,MATCH(Parametres!$B$3,V$1:AG$1,0)-1)*IF(OR(C356="L",C356="S",C356="I"),-1,1),"")</f>
        <v>0</v>
      </c>
      <c r="AW356" s="1030">
        <f t="shared" si="23"/>
        <v>0</v>
      </c>
      <c r="AX356" s="1030">
        <f>INDEX(V356:AG356,1,MATCH(Parametres!$B$3,V$1:AG$1,0))*IF(OR(C356="L",C356="S",C356="I"),-1,1)</f>
        <v>0</v>
      </c>
      <c r="AY356" s="598" t="s">
        <v>337</v>
      </c>
      <c r="AZ356" s="598" t="e">
        <f>+VLOOKUP($AJ356,Data_Validation!$A:$E,5,0)</f>
        <v>#N/A</v>
      </c>
    </row>
    <row r="357" spans="36:52" ht="15" customHeight="1">
      <c r="AJ357" s="1030">
        <f t="shared" si="20"/>
        <v>0</v>
      </c>
      <c r="AK357" s="1030">
        <f t="shared" si="20"/>
        <v>0</v>
      </c>
      <c r="AL357" s="1030">
        <f>IFERROR(INDEX(G357:R357,1,MATCH(Parametres!$B$3,G$1:R$1,0)-1)*IF(OR(F357="L",F357="S",F357="I"),-1,1),"")</f>
        <v>0</v>
      </c>
      <c r="AM357" s="1030">
        <f t="shared" si="21"/>
        <v>0</v>
      </c>
      <c r="AN357" s="1030">
        <f>INDEX(G357:R357,1,MATCH(Parametres!$B$3,G$1:R$1,0))*IF(OR(F357="L",F357="S",F357="I"),-1,1)</f>
        <v>0</v>
      </c>
      <c r="AO357" s="598" t="e">
        <f>+VLOOKUP($AJ357,Data_Validation!$A:$D,1,0)</f>
        <v>#N/A</v>
      </c>
      <c r="AP357" s="598" t="e">
        <f>+VLOOKUP($AJ357,Data_Validation!$A:$D,3,0)</f>
        <v>#N/A</v>
      </c>
      <c r="AQ357" s="598" t="e">
        <f>+VLOOKUP($AJ357,Data_Validation!$A:$D,4,0)</f>
        <v>#N/A</v>
      </c>
      <c r="AR357" s="598" t="s">
        <v>299</v>
      </c>
      <c r="AS357" s="598" t="e">
        <f>+VLOOKUP($AJ357,Data_Validation!$A:$E,5,0)</f>
        <v>#N/A</v>
      </c>
      <c r="AT357" s="1036">
        <f t="shared" si="22"/>
        <v>0</v>
      </c>
      <c r="AU357" s="599">
        <f t="shared" si="22"/>
        <v>0</v>
      </c>
      <c r="AV357" s="1030">
        <f>IFERROR(INDEX(V357:AG357,1,MATCH(Parametres!$B$3,V$1:AG$1,0)-1)*IF(OR(C357="L",C357="S",C357="I"),-1,1),"")</f>
        <v>0</v>
      </c>
      <c r="AW357" s="1030">
        <f t="shared" si="23"/>
        <v>0</v>
      </c>
      <c r="AX357" s="1030">
        <f>INDEX(V357:AG357,1,MATCH(Parametres!$B$3,V$1:AG$1,0))*IF(OR(C357="L",C357="S",C357="I"),-1,1)</f>
        <v>0</v>
      </c>
      <c r="AY357" s="598" t="s">
        <v>337</v>
      </c>
      <c r="AZ357" s="598" t="e">
        <f>+VLOOKUP($AJ357,Data_Validation!$A:$E,5,0)</f>
        <v>#N/A</v>
      </c>
    </row>
    <row r="358" spans="36:52" ht="15.75" customHeight="1">
      <c r="AJ358" s="1030">
        <f t="shared" si="20"/>
        <v>0</v>
      </c>
      <c r="AK358" s="1030">
        <f t="shared" si="20"/>
        <v>0</v>
      </c>
      <c r="AL358" s="1030">
        <f>IFERROR(INDEX(G358:R358,1,MATCH(Parametres!$B$3,G$1:R$1,0)-1)*IF(OR(F358="L",F358="S",F358="I"),-1,1),"")</f>
        <v>0</v>
      </c>
      <c r="AM358" s="1030">
        <f t="shared" si="21"/>
        <v>0</v>
      </c>
      <c r="AN358" s="1030">
        <f>INDEX(G358:R358,1,MATCH(Parametres!$B$3,G$1:R$1,0))*IF(OR(F358="L",F358="S",F358="I"),-1,1)</f>
        <v>0</v>
      </c>
      <c r="AO358" s="598" t="e">
        <f>+VLOOKUP($AJ358,Data_Validation!$A:$D,1,0)</f>
        <v>#N/A</v>
      </c>
      <c r="AP358" s="598" t="e">
        <f>+VLOOKUP($AJ358,Data_Validation!$A:$D,3,0)</f>
        <v>#N/A</v>
      </c>
      <c r="AQ358" s="598" t="e">
        <f>+VLOOKUP($AJ358,Data_Validation!$A:$D,4,0)</f>
        <v>#N/A</v>
      </c>
      <c r="AR358" s="598" t="s">
        <v>299</v>
      </c>
      <c r="AS358" s="598" t="e">
        <f>+VLOOKUP($AJ358,Data_Validation!$A:$E,5,0)</f>
        <v>#N/A</v>
      </c>
      <c r="AT358" s="1036">
        <f t="shared" si="22"/>
        <v>0</v>
      </c>
      <c r="AU358" s="599">
        <f t="shared" si="22"/>
        <v>0</v>
      </c>
      <c r="AV358" s="1030">
        <f>IFERROR(INDEX(V358:AG358,1,MATCH(Parametres!$B$3,V$1:AG$1,0)-1)*IF(OR(C358="L",C358="S",C358="I"),-1,1),"")</f>
        <v>0</v>
      </c>
      <c r="AW358" s="1030">
        <f t="shared" si="23"/>
        <v>0</v>
      </c>
      <c r="AX358" s="1030">
        <f>INDEX(V358:AG358,1,MATCH(Parametres!$B$3,V$1:AG$1,0))*IF(OR(C358="L",C358="S",C358="I"),-1,1)</f>
        <v>0</v>
      </c>
      <c r="AY358" s="598" t="s">
        <v>337</v>
      </c>
      <c r="AZ358" s="598" t="e">
        <f>+VLOOKUP($AJ358,Data_Validation!$A:$E,5,0)</f>
        <v>#N/A</v>
      </c>
    </row>
    <row r="359" spans="36:52" ht="15" customHeight="1">
      <c r="AJ359" s="1030">
        <f t="shared" si="20"/>
        <v>0</v>
      </c>
      <c r="AK359" s="1030">
        <f t="shared" si="20"/>
        <v>0</v>
      </c>
      <c r="AL359" s="1030">
        <f>IFERROR(INDEX(G359:R359,1,MATCH(Parametres!$B$3,G$1:R$1,0)-1)*IF(OR(F359="L",F359="S",F359="I"),-1,1),"")</f>
        <v>0</v>
      </c>
      <c r="AM359" s="1030">
        <f t="shared" si="21"/>
        <v>0</v>
      </c>
      <c r="AN359" s="1030">
        <f>INDEX(G359:R359,1,MATCH(Parametres!$B$3,G$1:R$1,0))*IF(OR(F359="L",F359="S",F359="I"),-1,1)</f>
        <v>0</v>
      </c>
      <c r="AO359" s="598" t="e">
        <f>+VLOOKUP($AJ359,Data_Validation!$A:$D,1,0)</f>
        <v>#N/A</v>
      </c>
      <c r="AP359" s="598" t="e">
        <f>+VLOOKUP($AJ359,Data_Validation!$A:$D,3,0)</f>
        <v>#N/A</v>
      </c>
      <c r="AQ359" s="598" t="e">
        <f>+VLOOKUP($AJ359,Data_Validation!$A:$D,4,0)</f>
        <v>#N/A</v>
      </c>
      <c r="AR359" s="598" t="s">
        <v>299</v>
      </c>
      <c r="AS359" s="598" t="e">
        <f>+VLOOKUP($AJ359,Data_Validation!$A:$E,5,0)</f>
        <v>#N/A</v>
      </c>
      <c r="AT359" s="1036">
        <f t="shared" si="22"/>
        <v>0</v>
      </c>
      <c r="AU359" s="599">
        <f t="shared" si="22"/>
        <v>0</v>
      </c>
      <c r="AV359" s="1030">
        <f>IFERROR(INDEX(V359:AG359,1,MATCH(Parametres!$B$3,V$1:AG$1,0)-1)*IF(OR(C359="L",C359="S",C359="I"),-1,1),"")</f>
        <v>0</v>
      </c>
      <c r="AW359" s="1030">
        <f t="shared" si="23"/>
        <v>0</v>
      </c>
      <c r="AX359" s="1030">
        <f>INDEX(V359:AG359,1,MATCH(Parametres!$B$3,V$1:AG$1,0))*IF(OR(C359="L",C359="S",C359="I"),-1,1)</f>
        <v>0</v>
      </c>
      <c r="AY359" s="598" t="s">
        <v>337</v>
      </c>
      <c r="AZ359" s="598" t="e">
        <f>+VLOOKUP($AJ359,Data_Validation!$A:$E,5,0)</f>
        <v>#N/A</v>
      </c>
    </row>
    <row r="360" spans="36:52" ht="15" customHeight="1">
      <c r="AJ360" s="1030">
        <f t="shared" si="20"/>
        <v>0</v>
      </c>
      <c r="AK360" s="1030">
        <f t="shared" si="20"/>
        <v>0</v>
      </c>
      <c r="AL360" s="1030">
        <f>IFERROR(INDEX(G360:R360,1,MATCH(Parametres!$B$3,G$1:R$1,0)-1)*IF(OR(F360="L",F360="S",F360="I"),-1,1),"")</f>
        <v>0</v>
      </c>
      <c r="AM360" s="1030">
        <f t="shared" si="21"/>
        <v>0</v>
      </c>
      <c r="AN360" s="1030">
        <f>INDEX(G360:R360,1,MATCH(Parametres!$B$3,G$1:R$1,0))*IF(OR(F360="L",F360="S",F360="I"),-1,1)</f>
        <v>0</v>
      </c>
      <c r="AO360" s="598" t="e">
        <f>+VLOOKUP($AJ360,Data_Validation!$A:$D,1,0)</f>
        <v>#N/A</v>
      </c>
      <c r="AP360" s="598" t="e">
        <f>+VLOOKUP($AJ360,Data_Validation!$A:$D,3,0)</f>
        <v>#N/A</v>
      </c>
      <c r="AQ360" s="598" t="e">
        <f>+VLOOKUP($AJ360,Data_Validation!$A:$D,4,0)</f>
        <v>#N/A</v>
      </c>
      <c r="AR360" s="598" t="s">
        <v>299</v>
      </c>
      <c r="AS360" s="598" t="e">
        <f>+VLOOKUP($AJ360,Data_Validation!$A:$E,5,0)</f>
        <v>#N/A</v>
      </c>
      <c r="AT360" s="1036">
        <f t="shared" si="22"/>
        <v>0</v>
      </c>
      <c r="AU360" s="599">
        <f t="shared" si="22"/>
        <v>0</v>
      </c>
      <c r="AV360" s="1030">
        <f>IFERROR(INDEX(V360:AG360,1,MATCH(Parametres!$B$3,V$1:AG$1,0)-1)*IF(OR(C360="L",C360="S",C360="I"),-1,1),"")</f>
        <v>0</v>
      </c>
      <c r="AW360" s="1030">
        <f t="shared" si="23"/>
        <v>0</v>
      </c>
      <c r="AX360" s="1030">
        <f>INDEX(V360:AG360,1,MATCH(Parametres!$B$3,V$1:AG$1,0))*IF(OR(C360="L",C360="S",C360="I"),-1,1)</f>
        <v>0</v>
      </c>
      <c r="AY360" s="598" t="s">
        <v>337</v>
      </c>
      <c r="AZ360" s="598" t="e">
        <f>+VLOOKUP($AJ360,Data_Validation!$A:$E,5,0)</f>
        <v>#N/A</v>
      </c>
    </row>
    <row r="361" spans="36:52" ht="15" customHeight="1">
      <c r="AJ361" s="1030">
        <f t="shared" si="20"/>
        <v>0</v>
      </c>
      <c r="AK361" s="1030">
        <f t="shared" si="20"/>
        <v>0</v>
      </c>
      <c r="AL361" s="1030">
        <f>IFERROR(INDEX(G361:R361,1,MATCH(Parametres!$B$3,G$1:R$1,0)-1)*IF(OR(F361="L",F361="S",F361="I"),-1,1),"")</f>
        <v>0</v>
      </c>
      <c r="AM361" s="1030">
        <f t="shared" si="21"/>
        <v>0</v>
      </c>
      <c r="AN361" s="1030">
        <f>INDEX(G361:R361,1,MATCH(Parametres!$B$3,G$1:R$1,0))*IF(OR(F361="L",F361="S",F361="I"),-1,1)</f>
        <v>0</v>
      </c>
      <c r="AO361" s="598" t="e">
        <f>+VLOOKUP($AJ361,Data_Validation!$A:$D,1,0)</f>
        <v>#N/A</v>
      </c>
      <c r="AP361" s="598" t="e">
        <f>+VLOOKUP($AJ361,Data_Validation!$A:$D,3,0)</f>
        <v>#N/A</v>
      </c>
      <c r="AQ361" s="598" t="e">
        <f>+VLOOKUP($AJ361,Data_Validation!$A:$D,4,0)</f>
        <v>#N/A</v>
      </c>
      <c r="AR361" s="598" t="s">
        <v>299</v>
      </c>
      <c r="AS361" s="598" t="e">
        <f>+VLOOKUP($AJ361,Data_Validation!$A:$E,5,0)</f>
        <v>#N/A</v>
      </c>
      <c r="AT361" s="1036">
        <f t="shared" si="22"/>
        <v>0</v>
      </c>
      <c r="AU361" s="599">
        <f t="shared" si="22"/>
        <v>0</v>
      </c>
      <c r="AV361" s="1030">
        <f>IFERROR(INDEX(V361:AG361,1,MATCH(Parametres!$B$3,V$1:AG$1,0)-1)*IF(OR(C361="L",C361="S",C361="I"),-1,1),"")</f>
        <v>0</v>
      </c>
      <c r="AW361" s="1030">
        <f t="shared" si="23"/>
        <v>0</v>
      </c>
      <c r="AX361" s="1030">
        <f>INDEX(V361:AG361,1,MATCH(Parametres!$B$3,V$1:AG$1,0))*IF(OR(C361="L",C361="S",C361="I"),-1,1)</f>
        <v>0</v>
      </c>
      <c r="AY361" s="598" t="s">
        <v>337</v>
      </c>
      <c r="AZ361" s="598" t="e">
        <f>+VLOOKUP($AJ361,Data_Validation!$A:$E,5,0)</f>
        <v>#N/A</v>
      </c>
    </row>
    <row r="362" spans="36:52" ht="15.75" customHeight="1">
      <c r="AJ362" s="1030">
        <f t="shared" si="20"/>
        <v>0</v>
      </c>
      <c r="AK362" s="1030">
        <f t="shared" si="20"/>
        <v>0</v>
      </c>
      <c r="AL362" s="1030">
        <f>IFERROR(INDEX(G362:R362,1,MATCH(Parametres!$B$3,G$1:R$1,0)-1)*IF(OR(F362="L",F362="S",F362="I"),-1,1),"")</f>
        <v>0</v>
      </c>
      <c r="AM362" s="1030">
        <f t="shared" si="21"/>
        <v>0</v>
      </c>
      <c r="AN362" s="1030">
        <f>INDEX(G362:R362,1,MATCH(Parametres!$B$3,G$1:R$1,0))*IF(OR(F362="L",F362="S",F362="I"),-1,1)</f>
        <v>0</v>
      </c>
      <c r="AO362" s="598" t="e">
        <f>+VLOOKUP($AJ362,Data_Validation!$A:$D,1,0)</f>
        <v>#N/A</v>
      </c>
      <c r="AP362" s="598" t="e">
        <f>+VLOOKUP($AJ362,Data_Validation!$A:$D,3,0)</f>
        <v>#N/A</v>
      </c>
      <c r="AQ362" s="598" t="e">
        <f>+VLOOKUP($AJ362,Data_Validation!$A:$D,4,0)</f>
        <v>#N/A</v>
      </c>
      <c r="AR362" s="598" t="s">
        <v>299</v>
      </c>
      <c r="AS362" s="598" t="e">
        <f>+VLOOKUP($AJ362,Data_Validation!$A:$E,5,0)</f>
        <v>#N/A</v>
      </c>
      <c r="AT362" s="1036">
        <f t="shared" si="22"/>
        <v>0</v>
      </c>
      <c r="AU362" s="599">
        <f t="shared" si="22"/>
        <v>0</v>
      </c>
      <c r="AV362" s="1030">
        <f>IFERROR(INDEX(V362:AG362,1,MATCH(Parametres!$B$3,V$1:AG$1,0)-1)*IF(OR(C362="L",C362="S",C362="I"),-1,1),"")</f>
        <v>0</v>
      </c>
      <c r="AW362" s="1030">
        <f t="shared" si="23"/>
        <v>0</v>
      </c>
      <c r="AX362" s="1030">
        <f>INDEX(V362:AG362,1,MATCH(Parametres!$B$3,V$1:AG$1,0))*IF(OR(C362="L",C362="S",C362="I"),-1,1)</f>
        <v>0</v>
      </c>
      <c r="AY362" s="598" t="s">
        <v>337</v>
      </c>
      <c r="AZ362" s="598" t="e">
        <f>+VLOOKUP($AJ362,Data_Validation!$A:$E,5,0)</f>
        <v>#N/A</v>
      </c>
    </row>
    <row r="363" spans="36:52" ht="15.75" customHeight="1">
      <c r="AJ363" s="1030">
        <f t="shared" si="20"/>
        <v>0</v>
      </c>
      <c r="AK363" s="1030">
        <f t="shared" si="20"/>
        <v>0</v>
      </c>
      <c r="AL363" s="1030">
        <f>IFERROR(INDEX(G363:R363,1,MATCH(Parametres!$B$3,G$1:R$1,0)-1)*IF(OR(F363="L",F363="S",F363="I"),-1,1),"")</f>
        <v>0</v>
      </c>
      <c r="AM363" s="1030">
        <f t="shared" si="21"/>
        <v>0</v>
      </c>
      <c r="AN363" s="1030">
        <f>INDEX(G363:R363,1,MATCH(Parametres!$B$3,G$1:R$1,0))*IF(OR(F363="L",F363="S",F363="I"),-1,1)</f>
        <v>0</v>
      </c>
      <c r="AO363" s="598" t="e">
        <f>+VLOOKUP($AJ363,Data_Validation!$A:$D,1,0)</f>
        <v>#N/A</v>
      </c>
      <c r="AP363" s="598" t="e">
        <f>+VLOOKUP($AJ363,Data_Validation!$A:$D,3,0)</f>
        <v>#N/A</v>
      </c>
      <c r="AQ363" s="598" t="e">
        <f>+VLOOKUP($AJ363,Data_Validation!$A:$D,4,0)</f>
        <v>#N/A</v>
      </c>
      <c r="AR363" s="598" t="s">
        <v>299</v>
      </c>
      <c r="AS363" s="598" t="e">
        <f>+VLOOKUP($AJ363,Data_Validation!$A:$E,5,0)</f>
        <v>#N/A</v>
      </c>
      <c r="AT363" s="1036">
        <f t="shared" si="22"/>
        <v>0</v>
      </c>
      <c r="AU363" s="599">
        <f t="shared" si="22"/>
        <v>0</v>
      </c>
      <c r="AV363" s="1030">
        <f>IFERROR(INDEX(V363:AG363,1,MATCH(Parametres!$B$3,V$1:AG$1,0)-1)*IF(OR(C363="L",C363="S",C363="I"),-1,1),"")</f>
        <v>0</v>
      </c>
      <c r="AW363" s="1030">
        <f t="shared" si="23"/>
        <v>0</v>
      </c>
      <c r="AX363" s="1030">
        <f>INDEX(V363:AG363,1,MATCH(Parametres!$B$3,V$1:AG$1,0))*IF(OR(C363="L",C363="S",C363="I"),-1,1)</f>
        <v>0</v>
      </c>
      <c r="AY363" s="598" t="s">
        <v>337</v>
      </c>
      <c r="AZ363" s="598" t="e">
        <f>+VLOOKUP($AJ363,Data_Validation!$A:$E,5,0)</f>
        <v>#N/A</v>
      </c>
    </row>
    <row r="364" spans="36:52" ht="15" customHeight="1">
      <c r="AJ364" s="1030">
        <f t="shared" si="20"/>
        <v>0</v>
      </c>
      <c r="AK364" s="1030">
        <f t="shared" si="20"/>
        <v>0</v>
      </c>
      <c r="AL364" s="1030">
        <f>IFERROR(INDEX(G364:R364,1,MATCH(Parametres!$B$3,G$1:R$1,0)-1)*IF(OR(F364="L",F364="S",F364="I"),-1,1),"")</f>
        <v>0</v>
      </c>
      <c r="AM364" s="1030">
        <f t="shared" si="21"/>
        <v>0</v>
      </c>
      <c r="AN364" s="1030">
        <f>INDEX(G364:R364,1,MATCH(Parametres!$B$3,G$1:R$1,0))*IF(OR(F364="L",F364="S",F364="I"),-1,1)</f>
        <v>0</v>
      </c>
      <c r="AO364" s="598" t="e">
        <f>+VLOOKUP($AJ364,Data_Validation!$A:$D,1,0)</f>
        <v>#N/A</v>
      </c>
      <c r="AP364" s="598" t="e">
        <f>+VLOOKUP($AJ364,Data_Validation!$A:$D,3,0)</f>
        <v>#N/A</v>
      </c>
      <c r="AQ364" s="598" t="e">
        <f>+VLOOKUP($AJ364,Data_Validation!$A:$D,4,0)</f>
        <v>#N/A</v>
      </c>
      <c r="AR364" s="598" t="s">
        <v>299</v>
      </c>
      <c r="AS364" s="598" t="e">
        <f>+VLOOKUP($AJ364,Data_Validation!$A:$E,5,0)</f>
        <v>#N/A</v>
      </c>
      <c r="AT364" s="1036">
        <f t="shared" si="22"/>
        <v>0</v>
      </c>
      <c r="AU364" s="599">
        <f t="shared" si="22"/>
        <v>0</v>
      </c>
      <c r="AV364" s="1030">
        <f>IFERROR(INDEX(V364:AG364,1,MATCH(Parametres!$B$3,V$1:AG$1,0)-1)*IF(OR(C364="L",C364="S",C364="I"),-1,1),"")</f>
        <v>0</v>
      </c>
      <c r="AW364" s="1030">
        <f t="shared" si="23"/>
        <v>0</v>
      </c>
      <c r="AX364" s="1030">
        <f>INDEX(V364:AG364,1,MATCH(Parametres!$B$3,V$1:AG$1,0))*IF(OR(C364="L",C364="S",C364="I"),-1,1)</f>
        <v>0</v>
      </c>
      <c r="AY364" s="598" t="s">
        <v>337</v>
      </c>
      <c r="AZ364" s="598" t="e">
        <f>+VLOOKUP($AJ364,Data_Validation!$A:$E,5,0)</f>
        <v>#N/A</v>
      </c>
    </row>
    <row r="365" spans="36:52" ht="15.75" customHeight="1">
      <c r="AJ365" s="1030">
        <f t="shared" si="20"/>
        <v>0</v>
      </c>
      <c r="AK365" s="1030">
        <f t="shared" si="20"/>
        <v>0</v>
      </c>
      <c r="AL365" s="1030">
        <f>IFERROR(INDEX(G365:R365,1,MATCH(Parametres!$B$3,G$1:R$1,0)-1)*IF(OR(F365="L",F365="S",F365="I"),-1,1),"")</f>
        <v>0</v>
      </c>
      <c r="AM365" s="1030">
        <f t="shared" si="21"/>
        <v>0</v>
      </c>
      <c r="AN365" s="1030">
        <f>INDEX(G365:R365,1,MATCH(Parametres!$B$3,G$1:R$1,0))*IF(OR(F365="L",F365="S",F365="I"),-1,1)</f>
        <v>0</v>
      </c>
      <c r="AO365" s="598" t="e">
        <f>+VLOOKUP($AJ365,Data_Validation!$A:$D,1,0)</f>
        <v>#N/A</v>
      </c>
      <c r="AP365" s="598" t="e">
        <f>+VLOOKUP($AJ365,Data_Validation!$A:$D,3,0)</f>
        <v>#N/A</v>
      </c>
      <c r="AQ365" s="598" t="e">
        <f>+VLOOKUP($AJ365,Data_Validation!$A:$D,4,0)</f>
        <v>#N/A</v>
      </c>
      <c r="AR365" s="598" t="s">
        <v>299</v>
      </c>
      <c r="AS365" s="598" t="e">
        <f>+VLOOKUP($AJ365,Data_Validation!$A:$E,5,0)</f>
        <v>#N/A</v>
      </c>
      <c r="AT365" s="1036">
        <f t="shared" si="22"/>
        <v>0</v>
      </c>
      <c r="AU365" s="599">
        <f t="shared" si="22"/>
        <v>0</v>
      </c>
      <c r="AV365" s="1030">
        <f>IFERROR(INDEX(V365:AG365,1,MATCH(Parametres!$B$3,V$1:AG$1,0)-1)*IF(OR(C365="L",C365="S",C365="I"),-1,1),"")</f>
        <v>0</v>
      </c>
      <c r="AW365" s="1030">
        <f t="shared" si="23"/>
        <v>0</v>
      </c>
      <c r="AX365" s="1030">
        <f>INDEX(V365:AG365,1,MATCH(Parametres!$B$3,V$1:AG$1,0))*IF(OR(C365="L",C365="S",C365="I"),-1,1)</f>
        <v>0</v>
      </c>
      <c r="AY365" s="598" t="s">
        <v>337</v>
      </c>
      <c r="AZ365" s="598" t="e">
        <f>+VLOOKUP($AJ365,Data_Validation!$A:$E,5,0)</f>
        <v>#N/A</v>
      </c>
    </row>
    <row r="366" spans="36:52" ht="15.75" customHeight="1">
      <c r="AJ366" s="1030">
        <f t="shared" si="20"/>
        <v>0</v>
      </c>
      <c r="AK366" s="1030">
        <f t="shared" si="20"/>
        <v>0</v>
      </c>
      <c r="AL366" s="1030">
        <f>IFERROR(INDEX(G366:R366,1,MATCH(Parametres!$B$3,G$1:R$1,0)-1)*IF(OR(F366="L",F366="S",F366="I"),-1,1),"")</f>
        <v>0</v>
      </c>
      <c r="AM366" s="1030">
        <f t="shared" si="21"/>
        <v>0</v>
      </c>
      <c r="AN366" s="1030">
        <f>INDEX(G366:R366,1,MATCH(Parametres!$B$3,G$1:R$1,0))*IF(OR(F366="L",F366="S",F366="I"),-1,1)</f>
        <v>0</v>
      </c>
      <c r="AO366" s="598" t="e">
        <f>+VLOOKUP($AJ366,Data_Validation!$A:$D,1,0)</f>
        <v>#N/A</v>
      </c>
      <c r="AP366" s="598" t="e">
        <f>+VLOOKUP($AJ366,Data_Validation!$A:$D,3,0)</f>
        <v>#N/A</v>
      </c>
      <c r="AQ366" s="598" t="e">
        <f>+VLOOKUP($AJ366,Data_Validation!$A:$D,4,0)</f>
        <v>#N/A</v>
      </c>
      <c r="AR366" s="598" t="s">
        <v>299</v>
      </c>
      <c r="AS366" s="598" t="e">
        <f>+VLOOKUP($AJ366,Data_Validation!$A:$E,5,0)</f>
        <v>#N/A</v>
      </c>
      <c r="AT366" s="1036">
        <f t="shared" si="22"/>
        <v>0</v>
      </c>
      <c r="AU366" s="599">
        <f t="shared" si="22"/>
        <v>0</v>
      </c>
      <c r="AV366" s="1030">
        <f>IFERROR(INDEX(V366:AG366,1,MATCH(Parametres!$B$3,V$1:AG$1,0)-1)*IF(OR(C366="L",C366="S",C366="I"),-1,1),"")</f>
        <v>0</v>
      </c>
      <c r="AW366" s="1030">
        <f t="shared" si="23"/>
        <v>0</v>
      </c>
      <c r="AX366" s="1030">
        <f>INDEX(V366:AG366,1,MATCH(Parametres!$B$3,V$1:AG$1,0))*IF(OR(C366="L",C366="S",C366="I"),-1,1)</f>
        <v>0</v>
      </c>
      <c r="AY366" s="598" t="s">
        <v>337</v>
      </c>
      <c r="AZ366" s="598" t="e">
        <f>+VLOOKUP($AJ366,Data_Validation!$A:$E,5,0)</f>
        <v>#N/A</v>
      </c>
    </row>
    <row r="367" spans="36:52" ht="15.75" customHeight="1">
      <c r="AJ367" s="1030">
        <f t="shared" si="20"/>
        <v>0</v>
      </c>
      <c r="AK367" s="1030">
        <f t="shared" si="20"/>
        <v>0</v>
      </c>
      <c r="AL367" s="1030">
        <f>IFERROR(INDEX(G367:R367,1,MATCH(Parametres!$B$3,G$1:R$1,0)-1)*IF(OR(F367="L",F367="S",F367="I"),-1,1),"")</f>
        <v>0</v>
      </c>
      <c r="AM367" s="1030">
        <f t="shared" si="21"/>
        <v>0</v>
      </c>
      <c r="AN367" s="1030">
        <f>INDEX(G367:R367,1,MATCH(Parametres!$B$3,G$1:R$1,0))*IF(OR(F367="L",F367="S",F367="I"),-1,1)</f>
        <v>0</v>
      </c>
      <c r="AO367" s="598" t="e">
        <f>+VLOOKUP($AJ367,Data_Validation!$A:$D,1,0)</f>
        <v>#N/A</v>
      </c>
      <c r="AP367" s="598" t="e">
        <f>+VLOOKUP($AJ367,Data_Validation!$A:$D,3,0)</f>
        <v>#N/A</v>
      </c>
      <c r="AQ367" s="598" t="e">
        <f>+VLOOKUP($AJ367,Data_Validation!$A:$D,4,0)</f>
        <v>#N/A</v>
      </c>
      <c r="AR367" s="598" t="s">
        <v>299</v>
      </c>
      <c r="AS367" s="598" t="e">
        <f>+VLOOKUP($AJ367,Data_Validation!$A:$E,5,0)</f>
        <v>#N/A</v>
      </c>
      <c r="AT367" s="1036">
        <f t="shared" si="22"/>
        <v>0</v>
      </c>
      <c r="AU367" s="599">
        <f t="shared" si="22"/>
        <v>0</v>
      </c>
      <c r="AV367" s="1030">
        <f>IFERROR(INDEX(V367:AG367,1,MATCH(Parametres!$B$3,V$1:AG$1,0)-1)*IF(OR(C367="L",C367="S",C367="I"),-1,1),"")</f>
        <v>0</v>
      </c>
      <c r="AW367" s="1030">
        <f t="shared" si="23"/>
        <v>0</v>
      </c>
      <c r="AX367" s="1030">
        <f>INDEX(V367:AG367,1,MATCH(Parametres!$B$3,V$1:AG$1,0))*IF(OR(C367="L",C367="S",C367="I"),-1,1)</f>
        <v>0</v>
      </c>
      <c r="AY367" s="598" t="s">
        <v>337</v>
      </c>
      <c r="AZ367" s="598" t="e">
        <f>+VLOOKUP($AJ367,Data_Validation!$A:$E,5,0)</f>
        <v>#N/A</v>
      </c>
    </row>
    <row r="368" spans="36:52" ht="15.75" customHeight="1">
      <c r="AJ368" s="1030">
        <f t="shared" si="20"/>
        <v>0</v>
      </c>
      <c r="AK368" s="1030">
        <f t="shared" si="20"/>
        <v>0</v>
      </c>
      <c r="AL368" s="1030">
        <f>IFERROR(INDEX(G368:R368,1,MATCH(Parametres!$B$3,G$1:R$1,0)-1)*IF(OR(F368="L",F368="S",F368="I"),-1,1),"")</f>
        <v>0</v>
      </c>
      <c r="AM368" s="1030">
        <f t="shared" si="21"/>
        <v>0</v>
      </c>
      <c r="AN368" s="1030">
        <f>INDEX(G368:R368,1,MATCH(Parametres!$B$3,G$1:R$1,0))*IF(OR(F368="L",F368="S",F368="I"),-1,1)</f>
        <v>0</v>
      </c>
      <c r="AO368" s="598" t="e">
        <f>+VLOOKUP($AJ368,Data_Validation!$A:$D,1,0)</f>
        <v>#N/A</v>
      </c>
      <c r="AP368" s="598" t="e">
        <f>+VLOOKUP($AJ368,Data_Validation!$A:$D,3,0)</f>
        <v>#N/A</v>
      </c>
      <c r="AQ368" s="598" t="e">
        <f>+VLOOKUP($AJ368,Data_Validation!$A:$D,4,0)</f>
        <v>#N/A</v>
      </c>
      <c r="AR368" s="598" t="s">
        <v>299</v>
      </c>
      <c r="AS368" s="598" t="e">
        <f>+VLOOKUP($AJ368,Data_Validation!$A:$E,5,0)</f>
        <v>#N/A</v>
      </c>
      <c r="AT368" s="1036">
        <f t="shared" si="22"/>
        <v>0</v>
      </c>
      <c r="AU368" s="599">
        <f t="shared" si="22"/>
        <v>0</v>
      </c>
      <c r="AV368" s="1030">
        <f>IFERROR(INDEX(V368:AG368,1,MATCH(Parametres!$B$3,V$1:AG$1,0)-1)*IF(OR(C368="L",C368="S",C368="I"),-1,1),"")</f>
        <v>0</v>
      </c>
      <c r="AW368" s="1030">
        <f t="shared" si="23"/>
        <v>0</v>
      </c>
      <c r="AX368" s="1030">
        <f>INDEX(V368:AG368,1,MATCH(Parametres!$B$3,V$1:AG$1,0))*IF(OR(C368="L",C368="S",C368="I"),-1,1)</f>
        <v>0</v>
      </c>
      <c r="AY368" s="598" t="s">
        <v>337</v>
      </c>
      <c r="AZ368" s="598" t="e">
        <f>+VLOOKUP($AJ368,Data_Validation!$A:$E,5,0)</f>
        <v>#N/A</v>
      </c>
    </row>
    <row r="369" spans="36:52" ht="15.75" customHeight="1">
      <c r="AJ369" s="1030">
        <f t="shared" si="20"/>
        <v>0</v>
      </c>
      <c r="AK369" s="1030">
        <f t="shared" si="20"/>
        <v>0</v>
      </c>
      <c r="AL369" s="1030">
        <f>IFERROR(INDEX(G369:R369,1,MATCH(Parametres!$B$3,G$1:R$1,0)-1)*IF(OR(F369="L",F369="S",F369="I"),-1,1),"")</f>
        <v>0</v>
      </c>
      <c r="AM369" s="1030">
        <f t="shared" si="21"/>
        <v>0</v>
      </c>
      <c r="AN369" s="1030">
        <f>INDEX(G369:R369,1,MATCH(Parametres!$B$3,G$1:R$1,0))*IF(OR(F369="L",F369="S",F369="I"),-1,1)</f>
        <v>0</v>
      </c>
      <c r="AO369" s="598" t="e">
        <f>+VLOOKUP($AJ369,Data_Validation!$A:$D,1,0)</f>
        <v>#N/A</v>
      </c>
      <c r="AP369" s="598" t="e">
        <f>+VLOOKUP($AJ369,Data_Validation!$A:$D,3,0)</f>
        <v>#N/A</v>
      </c>
      <c r="AQ369" s="598" t="e">
        <f>+VLOOKUP($AJ369,Data_Validation!$A:$D,4,0)</f>
        <v>#N/A</v>
      </c>
      <c r="AR369" s="598" t="s">
        <v>299</v>
      </c>
      <c r="AS369" s="598" t="e">
        <f>+VLOOKUP($AJ369,Data_Validation!$A:$E,5,0)</f>
        <v>#N/A</v>
      </c>
      <c r="AT369" s="1036">
        <f t="shared" si="22"/>
        <v>0</v>
      </c>
      <c r="AU369" s="599">
        <f t="shared" si="22"/>
        <v>0</v>
      </c>
      <c r="AV369" s="1030">
        <f>IFERROR(INDEX(V369:AG369,1,MATCH(Parametres!$B$3,V$1:AG$1,0)-1)*IF(OR(C369="L",C369="S",C369="I"),-1,1),"")</f>
        <v>0</v>
      </c>
      <c r="AW369" s="1030">
        <f t="shared" si="23"/>
        <v>0</v>
      </c>
      <c r="AX369" s="1030">
        <f>INDEX(V369:AG369,1,MATCH(Parametres!$B$3,V$1:AG$1,0))*IF(OR(C369="L",C369="S",C369="I"),-1,1)</f>
        <v>0</v>
      </c>
      <c r="AY369" s="598" t="s">
        <v>337</v>
      </c>
      <c r="AZ369" s="598" t="e">
        <f>+VLOOKUP($AJ369,Data_Validation!$A:$E,5,0)</f>
        <v>#N/A</v>
      </c>
    </row>
    <row r="370" spans="36:52" ht="15.75" customHeight="1">
      <c r="AJ370" s="1030">
        <f t="shared" si="20"/>
        <v>0</v>
      </c>
      <c r="AK370" s="1030">
        <f t="shared" si="20"/>
        <v>0</v>
      </c>
      <c r="AL370" s="1030">
        <f>IFERROR(INDEX(G370:R370,1,MATCH(Parametres!$B$3,G$1:R$1,0)-1)*IF(OR(F370="L",F370="S",F370="I"),-1,1),"")</f>
        <v>0</v>
      </c>
      <c r="AM370" s="1030">
        <f t="shared" si="21"/>
        <v>0</v>
      </c>
      <c r="AN370" s="1030">
        <f>INDEX(G370:R370,1,MATCH(Parametres!$B$3,G$1:R$1,0))*IF(OR(F370="L",F370="S",F370="I"),-1,1)</f>
        <v>0</v>
      </c>
      <c r="AO370" s="598" t="e">
        <f>+VLOOKUP($AJ370,Data_Validation!$A:$D,1,0)</f>
        <v>#N/A</v>
      </c>
      <c r="AP370" s="598" t="e">
        <f>+VLOOKUP($AJ370,Data_Validation!$A:$D,3,0)</f>
        <v>#N/A</v>
      </c>
      <c r="AQ370" s="598" t="e">
        <f>+VLOOKUP($AJ370,Data_Validation!$A:$D,4,0)</f>
        <v>#N/A</v>
      </c>
      <c r="AR370" s="598" t="s">
        <v>299</v>
      </c>
      <c r="AS370" s="598" t="e">
        <f>+VLOOKUP($AJ370,Data_Validation!$A:$E,5,0)</f>
        <v>#N/A</v>
      </c>
      <c r="AT370" s="1036">
        <f t="shared" si="22"/>
        <v>0</v>
      </c>
      <c r="AU370" s="599">
        <f t="shared" si="22"/>
        <v>0</v>
      </c>
      <c r="AV370" s="1030">
        <f>IFERROR(INDEX(V370:AG370,1,MATCH(Parametres!$B$3,V$1:AG$1,0)-1)*IF(OR(C370="L",C370="S",C370="I"),-1,1),"")</f>
        <v>0</v>
      </c>
      <c r="AW370" s="1030">
        <f t="shared" si="23"/>
        <v>0</v>
      </c>
      <c r="AX370" s="1030">
        <f>INDEX(V370:AG370,1,MATCH(Parametres!$B$3,V$1:AG$1,0))*IF(OR(C370="L",C370="S",C370="I"),-1,1)</f>
        <v>0</v>
      </c>
      <c r="AY370" s="598" t="s">
        <v>337</v>
      </c>
      <c r="AZ370" s="598" t="e">
        <f>+VLOOKUP($AJ370,Data_Validation!$A:$E,5,0)</f>
        <v>#N/A</v>
      </c>
    </row>
    <row r="371" spans="36:52" ht="15.75" customHeight="1">
      <c r="AJ371" s="1030">
        <f t="shared" si="20"/>
        <v>0</v>
      </c>
      <c r="AK371" s="1030">
        <f t="shared" si="20"/>
        <v>0</v>
      </c>
      <c r="AL371" s="1030">
        <f>IFERROR(INDEX(G371:R371,1,MATCH(Parametres!$B$3,G$1:R$1,0)-1)*IF(OR(F371="L",F371="S",F371="I"),-1,1),"")</f>
        <v>0</v>
      </c>
      <c r="AM371" s="1030">
        <f t="shared" si="21"/>
        <v>0</v>
      </c>
      <c r="AN371" s="1030">
        <f>INDEX(G371:R371,1,MATCH(Parametres!$B$3,G$1:R$1,0))*IF(OR(F371="L",F371="S",F371="I"),-1,1)</f>
        <v>0</v>
      </c>
      <c r="AO371" s="598" t="e">
        <f>+VLOOKUP($AJ371,Data_Validation!$A:$D,1,0)</f>
        <v>#N/A</v>
      </c>
      <c r="AP371" s="598" t="e">
        <f>+VLOOKUP($AJ371,Data_Validation!$A:$D,3,0)</f>
        <v>#N/A</v>
      </c>
      <c r="AQ371" s="598" t="e">
        <f>+VLOOKUP($AJ371,Data_Validation!$A:$D,4,0)</f>
        <v>#N/A</v>
      </c>
      <c r="AR371" s="598" t="s">
        <v>299</v>
      </c>
      <c r="AS371" s="598" t="e">
        <f>+VLOOKUP($AJ371,Data_Validation!$A:$E,5,0)</f>
        <v>#N/A</v>
      </c>
      <c r="AT371" s="1036">
        <f t="shared" si="22"/>
        <v>0</v>
      </c>
      <c r="AU371" s="599">
        <f t="shared" si="22"/>
        <v>0</v>
      </c>
      <c r="AV371" s="1030">
        <f>IFERROR(INDEX(V371:AG371,1,MATCH(Parametres!$B$3,V$1:AG$1,0)-1)*IF(OR(C371="L",C371="S",C371="I"),-1,1),"")</f>
        <v>0</v>
      </c>
      <c r="AW371" s="1030">
        <f t="shared" si="23"/>
        <v>0</v>
      </c>
      <c r="AX371" s="1030">
        <f>INDEX(V371:AG371,1,MATCH(Parametres!$B$3,V$1:AG$1,0))*IF(OR(C371="L",C371="S",C371="I"),-1,1)</f>
        <v>0</v>
      </c>
      <c r="AY371" s="598" t="s">
        <v>337</v>
      </c>
      <c r="AZ371" s="598" t="e">
        <f>+VLOOKUP($AJ371,Data_Validation!$A:$E,5,0)</f>
        <v>#N/A</v>
      </c>
    </row>
    <row r="372" spans="36:52" ht="15.75" customHeight="1">
      <c r="AJ372" s="1030">
        <f t="shared" si="20"/>
        <v>0</v>
      </c>
      <c r="AK372" s="1030">
        <f t="shared" si="20"/>
        <v>0</v>
      </c>
      <c r="AL372" s="1030">
        <f>IFERROR(INDEX(G372:R372,1,MATCH(Parametres!$B$3,G$1:R$1,0)-1)*IF(OR(F372="L",F372="S",F372="I"),-1,1),"")</f>
        <v>0</v>
      </c>
      <c r="AM372" s="1030">
        <f t="shared" si="21"/>
        <v>0</v>
      </c>
      <c r="AN372" s="1030">
        <f>INDEX(G372:R372,1,MATCH(Parametres!$B$3,G$1:R$1,0))*IF(OR(F372="L",F372="S",F372="I"),-1,1)</f>
        <v>0</v>
      </c>
      <c r="AO372" s="598" t="e">
        <f>+VLOOKUP($AJ372,Data_Validation!$A:$D,1,0)</f>
        <v>#N/A</v>
      </c>
      <c r="AP372" s="598" t="e">
        <f>+VLOOKUP($AJ372,Data_Validation!$A:$D,3,0)</f>
        <v>#N/A</v>
      </c>
      <c r="AQ372" s="598" t="e">
        <f>+VLOOKUP($AJ372,Data_Validation!$A:$D,4,0)</f>
        <v>#N/A</v>
      </c>
      <c r="AR372" s="598" t="s">
        <v>299</v>
      </c>
      <c r="AS372" s="598" t="e">
        <f>+VLOOKUP($AJ372,Data_Validation!$A:$E,5,0)</f>
        <v>#N/A</v>
      </c>
      <c r="AT372" s="1036">
        <f t="shared" si="22"/>
        <v>0</v>
      </c>
      <c r="AU372" s="599">
        <f t="shared" si="22"/>
        <v>0</v>
      </c>
      <c r="AV372" s="1030">
        <f>IFERROR(INDEX(V372:AG372,1,MATCH(Parametres!$B$3,V$1:AG$1,0)-1)*IF(OR(C372="L",C372="S",C372="I"),-1,1),"")</f>
        <v>0</v>
      </c>
      <c r="AW372" s="1030">
        <f t="shared" si="23"/>
        <v>0</v>
      </c>
      <c r="AX372" s="1030">
        <f>INDEX(V372:AG372,1,MATCH(Parametres!$B$3,V$1:AG$1,0))*IF(OR(C372="L",C372="S",C372="I"),-1,1)</f>
        <v>0</v>
      </c>
      <c r="AY372" s="598" t="s">
        <v>337</v>
      </c>
      <c r="AZ372" s="598" t="e">
        <f>+VLOOKUP($AJ372,Data_Validation!$A:$E,5,0)</f>
        <v>#N/A</v>
      </c>
    </row>
    <row r="373" spans="36:52" ht="15.75" customHeight="1">
      <c r="AJ373" s="1030">
        <f t="shared" si="20"/>
        <v>0</v>
      </c>
      <c r="AK373" s="1030">
        <f t="shared" si="20"/>
        <v>0</v>
      </c>
      <c r="AL373" s="1030">
        <f>IFERROR(INDEX(G373:R373,1,MATCH(Parametres!$B$3,G$1:R$1,0)-1)*IF(OR(F373="L",F373="S",F373="I"),-1,1),"")</f>
        <v>0</v>
      </c>
      <c r="AM373" s="1030">
        <f t="shared" si="21"/>
        <v>0</v>
      </c>
      <c r="AN373" s="1030">
        <f>INDEX(G373:R373,1,MATCH(Parametres!$B$3,G$1:R$1,0))*IF(OR(F373="L",F373="S",F373="I"),-1,1)</f>
        <v>0</v>
      </c>
      <c r="AO373" s="598" t="e">
        <f>+VLOOKUP($AJ373,Data_Validation!$A:$D,1,0)</f>
        <v>#N/A</v>
      </c>
      <c r="AP373" s="598" t="e">
        <f>+VLOOKUP($AJ373,Data_Validation!$A:$D,3,0)</f>
        <v>#N/A</v>
      </c>
      <c r="AQ373" s="598" t="e">
        <f>+VLOOKUP($AJ373,Data_Validation!$A:$D,4,0)</f>
        <v>#N/A</v>
      </c>
      <c r="AR373" s="598" t="s">
        <v>299</v>
      </c>
      <c r="AS373" s="598" t="e">
        <f>+VLOOKUP($AJ373,Data_Validation!$A:$E,5,0)</f>
        <v>#N/A</v>
      </c>
      <c r="AT373" s="1036">
        <f t="shared" si="22"/>
        <v>0</v>
      </c>
      <c r="AU373" s="599">
        <f t="shared" si="22"/>
        <v>0</v>
      </c>
      <c r="AV373" s="1030">
        <f>IFERROR(INDEX(V373:AG373,1,MATCH(Parametres!$B$3,V$1:AG$1,0)-1)*IF(OR(C373="L",C373="S",C373="I"),-1,1),"")</f>
        <v>0</v>
      </c>
      <c r="AW373" s="1030">
        <f t="shared" si="23"/>
        <v>0</v>
      </c>
      <c r="AX373" s="1030">
        <f>INDEX(V373:AG373,1,MATCH(Parametres!$B$3,V$1:AG$1,0))*IF(OR(C373="L",C373="S",C373="I"),-1,1)</f>
        <v>0</v>
      </c>
      <c r="AY373" s="598" t="s">
        <v>337</v>
      </c>
      <c r="AZ373" s="598" t="e">
        <f>+VLOOKUP($AJ373,Data_Validation!$A:$E,5,0)</f>
        <v>#N/A</v>
      </c>
    </row>
    <row r="374" spans="36:52" ht="15.75" customHeight="1">
      <c r="AJ374" s="1030">
        <f t="shared" si="20"/>
        <v>0</v>
      </c>
      <c r="AK374" s="1030">
        <f t="shared" si="20"/>
        <v>0</v>
      </c>
      <c r="AL374" s="1030">
        <f>IFERROR(INDEX(G374:R374,1,MATCH(Parametres!$B$3,G$1:R$1,0)-1)*IF(OR(F374="L",F374="S",F374="I"),-1,1),"")</f>
        <v>0</v>
      </c>
      <c r="AM374" s="1030">
        <f t="shared" si="21"/>
        <v>0</v>
      </c>
      <c r="AN374" s="1030">
        <f>INDEX(G374:R374,1,MATCH(Parametres!$B$3,G$1:R$1,0))*IF(OR(F374="L",F374="S",F374="I"),-1,1)</f>
        <v>0</v>
      </c>
      <c r="AO374" s="598" t="e">
        <f>+VLOOKUP($AJ374,Data_Validation!$A:$D,1,0)</f>
        <v>#N/A</v>
      </c>
      <c r="AP374" s="598" t="e">
        <f>+VLOOKUP($AJ374,Data_Validation!$A:$D,3,0)</f>
        <v>#N/A</v>
      </c>
      <c r="AQ374" s="598" t="e">
        <f>+VLOOKUP($AJ374,Data_Validation!$A:$D,4,0)</f>
        <v>#N/A</v>
      </c>
      <c r="AR374" s="598" t="s">
        <v>299</v>
      </c>
      <c r="AS374" s="598" t="e">
        <f>+VLOOKUP($AJ374,Data_Validation!$A:$E,5,0)</f>
        <v>#N/A</v>
      </c>
      <c r="AT374" s="1036">
        <f t="shared" si="22"/>
        <v>0</v>
      </c>
      <c r="AU374" s="599">
        <f t="shared" si="22"/>
        <v>0</v>
      </c>
      <c r="AV374" s="1030">
        <f>IFERROR(INDEX(V374:AG374,1,MATCH(Parametres!$B$3,V$1:AG$1,0)-1)*IF(OR(C374="L",C374="S",C374="I"),-1,1),"")</f>
        <v>0</v>
      </c>
      <c r="AW374" s="1030">
        <f t="shared" si="23"/>
        <v>0</v>
      </c>
      <c r="AX374" s="1030">
        <f>INDEX(V374:AG374,1,MATCH(Parametres!$B$3,V$1:AG$1,0))*IF(OR(C374="L",C374="S",C374="I"),-1,1)</f>
        <v>0</v>
      </c>
      <c r="AY374" s="598" t="s">
        <v>337</v>
      </c>
      <c r="AZ374" s="598" t="e">
        <f>+VLOOKUP($AJ374,Data_Validation!$A:$E,5,0)</f>
        <v>#N/A</v>
      </c>
    </row>
    <row r="375" spans="36:52" ht="15.75" customHeight="1">
      <c r="AJ375" s="1030">
        <f t="shared" si="20"/>
        <v>0</v>
      </c>
      <c r="AK375" s="1030">
        <f t="shared" si="20"/>
        <v>0</v>
      </c>
      <c r="AL375" s="1030">
        <f>IFERROR(INDEX(G375:R375,1,MATCH(Parametres!$B$3,G$1:R$1,0)-1)*IF(OR(F375="L",F375="S",F375="I"),-1,1),"")</f>
        <v>0</v>
      </c>
      <c r="AM375" s="1030">
        <f t="shared" si="21"/>
        <v>0</v>
      </c>
      <c r="AN375" s="1030">
        <f>INDEX(G375:R375,1,MATCH(Parametres!$B$3,G$1:R$1,0))*IF(OR(F375="L",F375="S",F375="I"),-1,1)</f>
        <v>0</v>
      </c>
      <c r="AO375" s="598" t="e">
        <f>+VLOOKUP($AJ375,Data_Validation!$A:$D,1,0)</f>
        <v>#N/A</v>
      </c>
      <c r="AP375" s="598" t="e">
        <f>+VLOOKUP($AJ375,Data_Validation!$A:$D,3,0)</f>
        <v>#N/A</v>
      </c>
      <c r="AQ375" s="598" t="e">
        <f>+VLOOKUP($AJ375,Data_Validation!$A:$D,4,0)</f>
        <v>#N/A</v>
      </c>
      <c r="AR375" s="598" t="s">
        <v>299</v>
      </c>
      <c r="AS375" s="598" t="e">
        <f>+VLOOKUP($AJ375,Data_Validation!$A:$E,5,0)</f>
        <v>#N/A</v>
      </c>
      <c r="AT375" s="1036">
        <f t="shared" si="22"/>
        <v>0</v>
      </c>
      <c r="AU375" s="599">
        <f t="shared" si="22"/>
        <v>0</v>
      </c>
      <c r="AV375" s="1030">
        <f>IFERROR(INDEX(V375:AG375,1,MATCH(Parametres!$B$3,V$1:AG$1,0)-1)*IF(OR(C375="L",C375="S",C375="I"),-1,1),"")</f>
        <v>0</v>
      </c>
      <c r="AW375" s="1030">
        <f t="shared" si="23"/>
        <v>0</v>
      </c>
      <c r="AX375" s="1030">
        <f>INDEX(V375:AG375,1,MATCH(Parametres!$B$3,V$1:AG$1,0))*IF(OR(C375="L",C375="S",C375="I"),-1,1)</f>
        <v>0</v>
      </c>
      <c r="AY375" s="598" t="s">
        <v>337</v>
      </c>
      <c r="AZ375" s="598" t="e">
        <f>+VLOOKUP($AJ375,Data_Validation!$A:$E,5,0)</f>
        <v>#N/A</v>
      </c>
    </row>
    <row r="376" spans="36:52" ht="15.75" customHeight="1">
      <c r="AJ376" s="1030">
        <f t="shared" si="20"/>
        <v>0</v>
      </c>
      <c r="AK376" s="1030">
        <f t="shared" si="20"/>
        <v>0</v>
      </c>
      <c r="AL376" s="1030">
        <f>IFERROR(INDEX(G376:R376,1,MATCH(Parametres!$B$3,G$1:R$1,0)-1)*IF(OR(F376="L",F376="S",F376="I"),-1,1),"")</f>
        <v>0</v>
      </c>
      <c r="AM376" s="1030">
        <f t="shared" si="21"/>
        <v>0</v>
      </c>
      <c r="AN376" s="1030">
        <f>INDEX(G376:R376,1,MATCH(Parametres!$B$3,G$1:R$1,0))*IF(OR(F376="L",F376="S",F376="I"),-1,1)</f>
        <v>0</v>
      </c>
      <c r="AO376" s="598" t="e">
        <f>+VLOOKUP($AJ376,Data_Validation!$A:$D,1,0)</f>
        <v>#N/A</v>
      </c>
      <c r="AP376" s="598" t="e">
        <f>+VLOOKUP($AJ376,Data_Validation!$A:$D,3,0)</f>
        <v>#N/A</v>
      </c>
      <c r="AQ376" s="598" t="e">
        <f>+VLOOKUP($AJ376,Data_Validation!$A:$D,4,0)</f>
        <v>#N/A</v>
      </c>
      <c r="AR376" s="598" t="s">
        <v>299</v>
      </c>
      <c r="AS376" s="598" t="e">
        <f>+VLOOKUP($AJ376,Data_Validation!$A:$E,5,0)</f>
        <v>#N/A</v>
      </c>
      <c r="AT376" s="1036">
        <f t="shared" si="22"/>
        <v>0</v>
      </c>
      <c r="AU376" s="599">
        <f t="shared" si="22"/>
        <v>0</v>
      </c>
      <c r="AV376" s="1030">
        <f>IFERROR(INDEX(V376:AG376,1,MATCH(Parametres!$B$3,V$1:AG$1,0)-1)*IF(OR(C376="L",C376="S",C376="I"),-1,1),"")</f>
        <v>0</v>
      </c>
      <c r="AW376" s="1030">
        <f t="shared" si="23"/>
        <v>0</v>
      </c>
      <c r="AX376" s="1030">
        <f>INDEX(V376:AG376,1,MATCH(Parametres!$B$3,V$1:AG$1,0))*IF(OR(C376="L",C376="S",C376="I"),-1,1)</f>
        <v>0</v>
      </c>
      <c r="AY376" s="598" t="s">
        <v>337</v>
      </c>
      <c r="AZ376" s="598" t="e">
        <f>+VLOOKUP($AJ376,Data_Validation!$A:$E,5,0)</f>
        <v>#N/A</v>
      </c>
    </row>
    <row r="377" spans="36:52" ht="15.75" customHeight="1">
      <c r="AJ377" s="1030">
        <f t="shared" si="20"/>
        <v>0</v>
      </c>
      <c r="AK377" s="1030">
        <f t="shared" si="20"/>
        <v>0</v>
      </c>
      <c r="AL377" s="1030">
        <f>IFERROR(INDEX(G377:R377,1,MATCH(Parametres!$B$3,G$1:R$1,0)-1)*IF(OR(F377="L",F377="S",F377="I"),-1,1),"")</f>
        <v>0</v>
      </c>
      <c r="AM377" s="1030">
        <f t="shared" si="21"/>
        <v>0</v>
      </c>
      <c r="AN377" s="1030">
        <f>INDEX(G377:R377,1,MATCH(Parametres!$B$3,G$1:R$1,0))*IF(OR(F377="L",F377="S",F377="I"),-1,1)</f>
        <v>0</v>
      </c>
      <c r="AO377" s="598" t="e">
        <f>+VLOOKUP($AJ377,Data_Validation!$A:$D,1,0)</f>
        <v>#N/A</v>
      </c>
      <c r="AP377" s="598" t="e">
        <f>+VLOOKUP($AJ377,Data_Validation!$A:$D,3,0)</f>
        <v>#N/A</v>
      </c>
      <c r="AQ377" s="598" t="e">
        <f>+VLOOKUP($AJ377,Data_Validation!$A:$D,4,0)</f>
        <v>#N/A</v>
      </c>
      <c r="AR377" s="598" t="s">
        <v>299</v>
      </c>
      <c r="AS377" s="598" t="e">
        <f>+VLOOKUP($AJ377,Data_Validation!$A:$E,5,0)</f>
        <v>#N/A</v>
      </c>
      <c r="AT377" s="1036">
        <f t="shared" si="22"/>
        <v>0</v>
      </c>
      <c r="AU377" s="599">
        <f t="shared" si="22"/>
        <v>0</v>
      </c>
      <c r="AV377" s="1030">
        <f>IFERROR(INDEX(V377:AG377,1,MATCH(Parametres!$B$3,V$1:AG$1,0)-1)*IF(OR(C377="L",C377="S",C377="I"),-1,1),"")</f>
        <v>0</v>
      </c>
      <c r="AW377" s="1030">
        <f t="shared" si="23"/>
        <v>0</v>
      </c>
      <c r="AX377" s="1030">
        <f>INDEX(V377:AG377,1,MATCH(Parametres!$B$3,V$1:AG$1,0))*IF(OR(C377="L",C377="S",C377="I"),-1,1)</f>
        <v>0</v>
      </c>
      <c r="AY377" s="598" t="s">
        <v>337</v>
      </c>
      <c r="AZ377" s="598" t="e">
        <f>+VLOOKUP($AJ377,Data_Validation!$A:$E,5,0)</f>
        <v>#N/A</v>
      </c>
    </row>
    <row r="378" spans="36:52" ht="15.75" customHeight="1">
      <c r="AJ378" s="1030">
        <f t="shared" si="20"/>
        <v>0</v>
      </c>
      <c r="AK378" s="1030">
        <f t="shared" si="20"/>
        <v>0</v>
      </c>
      <c r="AL378" s="1030">
        <f>IFERROR(INDEX(G378:R378,1,MATCH(Parametres!$B$3,G$1:R$1,0)-1)*IF(OR(F378="L",F378="S",F378="I"),-1,1),"")</f>
        <v>0</v>
      </c>
      <c r="AM378" s="1030">
        <f t="shared" si="21"/>
        <v>0</v>
      </c>
      <c r="AN378" s="1030">
        <f>INDEX(G378:R378,1,MATCH(Parametres!$B$3,G$1:R$1,0))*IF(OR(F378="L",F378="S",F378="I"),-1,1)</f>
        <v>0</v>
      </c>
      <c r="AO378" s="598" t="e">
        <f>+VLOOKUP($AJ378,Data_Validation!$A:$D,1,0)</f>
        <v>#N/A</v>
      </c>
      <c r="AP378" s="598" t="e">
        <f>+VLOOKUP($AJ378,Data_Validation!$A:$D,3,0)</f>
        <v>#N/A</v>
      </c>
      <c r="AQ378" s="598" t="e">
        <f>+VLOOKUP($AJ378,Data_Validation!$A:$D,4,0)</f>
        <v>#N/A</v>
      </c>
      <c r="AR378" s="598" t="s">
        <v>299</v>
      </c>
      <c r="AS378" s="598" t="e">
        <f>+VLOOKUP($AJ378,Data_Validation!$A:$E,5,0)</f>
        <v>#N/A</v>
      </c>
      <c r="AT378" s="1036">
        <f t="shared" si="22"/>
        <v>0</v>
      </c>
      <c r="AU378" s="599">
        <f t="shared" si="22"/>
        <v>0</v>
      </c>
      <c r="AV378" s="1030">
        <f>IFERROR(INDEX(V378:AG378,1,MATCH(Parametres!$B$3,V$1:AG$1,0)-1)*IF(OR(C378="L",C378="S",C378="I"),-1,1),"")</f>
        <v>0</v>
      </c>
      <c r="AW378" s="1030">
        <f t="shared" si="23"/>
        <v>0</v>
      </c>
      <c r="AX378" s="1030">
        <f>INDEX(V378:AG378,1,MATCH(Parametres!$B$3,V$1:AG$1,0))*IF(OR(C378="L",C378="S",C378="I"),-1,1)</f>
        <v>0</v>
      </c>
      <c r="AY378" s="598" t="s">
        <v>337</v>
      </c>
      <c r="AZ378" s="598" t="e">
        <f>+VLOOKUP($AJ378,Data_Validation!$A:$E,5,0)</f>
        <v>#N/A</v>
      </c>
    </row>
    <row r="379" spans="36:52" ht="15.75" customHeight="1">
      <c r="AJ379" s="1030">
        <f t="shared" si="20"/>
        <v>0</v>
      </c>
      <c r="AK379" s="1030">
        <f t="shared" si="20"/>
        <v>0</v>
      </c>
      <c r="AL379" s="1030">
        <f>IFERROR(INDEX(G379:R379,1,MATCH(Parametres!$B$3,G$1:R$1,0)-1)*IF(OR(F379="L",F379="S",F379="I"),-1,1),"")</f>
        <v>0</v>
      </c>
      <c r="AM379" s="1030">
        <f t="shared" si="21"/>
        <v>0</v>
      </c>
      <c r="AN379" s="1030">
        <f>INDEX(G379:R379,1,MATCH(Parametres!$B$3,G$1:R$1,0))*IF(OR(F379="L",F379="S",F379="I"),-1,1)</f>
        <v>0</v>
      </c>
      <c r="AO379" s="598" t="e">
        <f>+VLOOKUP($AJ379,Data_Validation!$A:$D,1,0)</f>
        <v>#N/A</v>
      </c>
      <c r="AP379" s="598" t="e">
        <f>+VLOOKUP($AJ379,Data_Validation!$A:$D,3,0)</f>
        <v>#N/A</v>
      </c>
      <c r="AQ379" s="598" t="e">
        <f>+VLOOKUP($AJ379,Data_Validation!$A:$D,4,0)</f>
        <v>#N/A</v>
      </c>
      <c r="AR379" s="598" t="s">
        <v>299</v>
      </c>
      <c r="AS379" s="598" t="e">
        <f>+VLOOKUP($AJ379,Data_Validation!$A:$E,5,0)</f>
        <v>#N/A</v>
      </c>
      <c r="AT379" s="1036">
        <f t="shared" si="22"/>
        <v>0</v>
      </c>
      <c r="AU379" s="599">
        <f t="shared" si="22"/>
        <v>0</v>
      </c>
      <c r="AV379" s="1030">
        <f>IFERROR(INDEX(V379:AG379,1,MATCH(Parametres!$B$3,V$1:AG$1,0)-1)*IF(OR(C379="L",C379="S",C379="I"),-1,1),"")</f>
        <v>0</v>
      </c>
      <c r="AW379" s="1030">
        <f t="shared" si="23"/>
        <v>0</v>
      </c>
      <c r="AX379" s="1030">
        <f>INDEX(V379:AG379,1,MATCH(Parametres!$B$3,V$1:AG$1,0))*IF(OR(C379="L",C379="S",C379="I"),-1,1)</f>
        <v>0</v>
      </c>
      <c r="AY379" s="598" t="s">
        <v>337</v>
      </c>
      <c r="AZ379" s="598" t="e">
        <f>+VLOOKUP($AJ379,Data_Validation!$A:$E,5,0)</f>
        <v>#N/A</v>
      </c>
    </row>
    <row r="380" spans="36:52" ht="15.75" customHeight="1">
      <c r="AJ380" s="1030">
        <f t="shared" si="20"/>
        <v>0</v>
      </c>
      <c r="AK380" s="1030">
        <f t="shared" si="20"/>
        <v>0</v>
      </c>
      <c r="AL380" s="1030">
        <f>IFERROR(INDEX(G380:R380,1,MATCH(Parametres!$B$3,G$1:R$1,0)-1)*IF(OR(F380="L",F380="S",F380="I"),-1,1),"")</f>
        <v>0</v>
      </c>
      <c r="AM380" s="1030">
        <f t="shared" si="21"/>
        <v>0</v>
      </c>
      <c r="AN380" s="1030">
        <f>INDEX(G380:R380,1,MATCH(Parametres!$B$3,G$1:R$1,0))*IF(OR(F380="L",F380="S",F380="I"),-1,1)</f>
        <v>0</v>
      </c>
      <c r="AO380" s="598" t="e">
        <f>+VLOOKUP($AJ380,Data_Validation!$A:$D,1,0)</f>
        <v>#N/A</v>
      </c>
      <c r="AP380" s="598" t="e">
        <f>+VLOOKUP($AJ380,Data_Validation!$A:$D,3,0)</f>
        <v>#N/A</v>
      </c>
      <c r="AQ380" s="598" t="e">
        <f>+VLOOKUP($AJ380,Data_Validation!$A:$D,4,0)</f>
        <v>#N/A</v>
      </c>
      <c r="AR380" s="598" t="s">
        <v>299</v>
      </c>
      <c r="AS380" s="598" t="e">
        <f>+VLOOKUP($AJ380,Data_Validation!$A:$E,5,0)</f>
        <v>#N/A</v>
      </c>
      <c r="AT380" s="1036">
        <f t="shared" si="22"/>
        <v>0</v>
      </c>
      <c r="AU380" s="599">
        <f t="shared" si="22"/>
        <v>0</v>
      </c>
      <c r="AV380" s="1030">
        <f>IFERROR(INDEX(V380:AG380,1,MATCH(Parametres!$B$3,V$1:AG$1,0)-1)*IF(OR(C380="L",C380="S",C380="I"),-1,1),"")</f>
        <v>0</v>
      </c>
      <c r="AW380" s="1030">
        <f t="shared" si="23"/>
        <v>0</v>
      </c>
      <c r="AX380" s="1030">
        <f>INDEX(V380:AG380,1,MATCH(Parametres!$B$3,V$1:AG$1,0))*IF(OR(C380="L",C380="S",C380="I"),-1,1)</f>
        <v>0</v>
      </c>
      <c r="AY380" s="598" t="s">
        <v>337</v>
      </c>
      <c r="AZ380" s="598" t="e">
        <f>+VLOOKUP($AJ380,Data_Validation!$A:$E,5,0)</f>
        <v>#N/A</v>
      </c>
    </row>
    <row r="381" spans="36:52" ht="15.75" customHeight="1">
      <c r="AJ381" s="1030">
        <f t="shared" si="20"/>
        <v>0</v>
      </c>
      <c r="AK381" s="1030">
        <f t="shared" si="20"/>
        <v>0</v>
      </c>
      <c r="AL381" s="1030">
        <f>IFERROR(INDEX(G381:R381,1,MATCH(Parametres!$B$3,G$1:R$1,0)-1)*IF(OR(F381="L",F381="S",F381="I"),-1,1),"")</f>
        <v>0</v>
      </c>
      <c r="AM381" s="1030">
        <f t="shared" si="21"/>
        <v>0</v>
      </c>
      <c r="AN381" s="1030">
        <f>INDEX(G381:R381,1,MATCH(Parametres!$B$3,G$1:R$1,0))*IF(OR(F381="L",F381="S",F381="I"),-1,1)</f>
        <v>0</v>
      </c>
      <c r="AO381" s="598" t="e">
        <f>+VLOOKUP($AJ381,Data_Validation!$A:$D,1,0)</f>
        <v>#N/A</v>
      </c>
      <c r="AP381" s="598" t="e">
        <f>+VLOOKUP($AJ381,Data_Validation!$A:$D,3,0)</f>
        <v>#N/A</v>
      </c>
      <c r="AQ381" s="598" t="e">
        <f>+VLOOKUP($AJ381,Data_Validation!$A:$D,4,0)</f>
        <v>#N/A</v>
      </c>
      <c r="AR381" s="598" t="s">
        <v>299</v>
      </c>
      <c r="AS381" s="598" t="e">
        <f>+VLOOKUP($AJ381,Data_Validation!$A:$E,5,0)</f>
        <v>#N/A</v>
      </c>
      <c r="AT381" s="1036">
        <f t="shared" si="22"/>
        <v>0</v>
      </c>
      <c r="AU381" s="599">
        <f t="shared" si="22"/>
        <v>0</v>
      </c>
      <c r="AV381" s="1030">
        <f>IFERROR(INDEX(V381:AG381,1,MATCH(Parametres!$B$3,V$1:AG$1,0)-1)*IF(OR(C381="L",C381="S",C381="I"),-1,1),"")</f>
        <v>0</v>
      </c>
      <c r="AW381" s="1030">
        <f t="shared" si="23"/>
        <v>0</v>
      </c>
      <c r="AX381" s="1030">
        <f>INDEX(V381:AG381,1,MATCH(Parametres!$B$3,V$1:AG$1,0))*IF(OR(C381="L",C381="S",C381="I"),-1,1)</f>
        <v>0</v>
      </c>
      <c r="AY381" s="598" t="s">
        <v>337</v>
      </c>
      <c r="AZ381" s="598" t="e">
        <f>+VLOOKUP($AJ381,Data_Validation!$A:$E,5,0)</f>
        <v>#N/A</v>
      </c>
    </row>
    <row r="382" spans="36:52" ht="15.75" customHeight="1">
      <c r="AJ382" s="1030">
        <f t="shared" si="20"/>
        <v>0</v>
      </c>
      <c r="AK382" s="1030">
        <f t="shared" si="20"/>
        <v>0</v>
      </c>
      <c r="AL382" s="1030">
        <f>IFERROR(INDEX(G382:R382,1,MATCH(Parametres!$B$3,G$1:R$1,0)-1)*IF(OR(F382="L",F382="S",F382="I"),-1,1),"")</f>
        <v>0</v>
      </c>
      <c r="AM382" s="1030">
        <f t="shared" si="21"/>
        <v>0</v>
      </c>
      <c r="AN382" s="1030">
        <f>INDEX(G382:R382,1,MATCH(Parametres!$B$3,G$1:R$1,0))*IF(OR(F382="L",F382="S",F382="I"),-1,1)</f>
        <v>0</v>
      </c>
      <c r="AO382" s="598" t="e">
        <f>+VLOOKUP($AJ382,Data_Validation!$A:$D,1,0)</f>
        <v>#N/A</v>
      </c>
      <c r="AP382" s="598" t="e">
        <f>+VLOOKUP($AJ382,Data_Validation!$A:$D,3,0)</f>
        <v>#N/A</v>
      </c>
      <c r="AQ382" s="598" t="e">
        <f>+VLOOKUP($AJ382,Data_Validation!$A:$D,4,0)</f>
        <v>#N/A</v>
      </c>
      <c r="AR382" s="598" t="s">
        <v>299</v>
      </c>
      <c r="AS382" s="598" t="e">
        <f>+VLOOKUP($AJ382,Data_Validation!$A:$E,5,0)</f>
        <v>#N/A</v>
      </c>
      <c r="AT382" s="1036">
        <f t="shared" si="22"/>
        <v>0</v>
      </c>
      <c r="AU382" s="599">
        <f t="shared" si="22"/>
        <v>0</v>
      </c>
      <c r="AV382" s="1030">
        <f>IFERROR(INDEX(V382:AG382,1,MATCH(Parametres!$B$3,V$1:AG$1,0)-1)*IF(OR(C382="L",C382="S",C382="I"),-1,1),"")</f>
        <v>0</v>
      </c>
      <c r="AW382" s="1030">
        <f t="shared" si="23"/>
        <v>0</v>
      </c>
      <c r="AX382" s="1030">
        <f>INDEX(V382:AG382,1,MATCH(Parametres!$B$3,V$1:AG$1,0))*IF(OR(C382="L",C382="S",C382="I"),-1,1)</f>
        <v>0</v>
      </c>
      <c r="AY382" s="598" t="s">
        <v>337</v>
      </c>
      <c r="AZ382" s="598" t="e">
        <f>+VLOOKUP($AJ382,Data_Validation!$A:$E,5,0)</f>
        <v>#N/A</v>
      </c>
    </row>
    <row r="383" spans="36:52" ht="15.75" customHeight="1">
      <c r="AJ383" s="1030">
        <f t="shared" si="20"/>
        <v>0</v>
      </c>
      <c r="AK383" s="1030">
        <f t="shared" si="20"/>
        <v>0</v>
      </c>
      <c r="AL383" s="1030">
        <f>IFERROR(INDEX(G383:R383,1,MATCH(Parametres!$B$3,G$1:R$1,0)-1)*IF(OR(F383="L",F383="S",F383="I"),-1,1),"")</f>
        <v>0</v>
      </c>
      <c r="AM383" s="1030">
        <f t="shared" si="21"/>
        <v>0</v>
      </c>
      <c r="AN383" s="1030">
        <f>INDEX(G383:R383,1,MATCH(Parametres!$B$3,G$1:R$1,0))*IF(OR(F383="L",F383="S",F383="I"),-1,1)</f>
        <v>0</v>
      </c>
      <c r="AO383" s="598" t="e">
        <f>+VLOOKUP($AJ383,Data_Validation!$A:$D,1,0)</f>
        <v>#N/A</v>
      </c>
      <c r="AP383" s="598" t="e">
        <f>+VLOOKUP($AJ383,Data_Validation!$A:$D,3,0)</f>
        <v>#N/A</v>
      </c>
      <c r="AQ383" s="598" t="e">
        <f>+VLOOKUP($AJ383,Data_Validation!$A:$D,4,0)</f>
        <v>#N/A</v>
      </c>
      <c r="AR383" s="598" t="s">
        <v>299</v>
      </c>
      <c r="AS383" s="598" t="e">
        <f>+VLOOKUP($AJ383,Data_Validation!$A:$E,5,0)</f>
        <v>#N/A</v>
      </c>
      <c r="AT383" s="1036">
        <f t="shared" si="22"/>
        <v>0</v>
      </c>
      <c r="AU383" s="599">
        <f t="shared" si="22"/>
        <v>0</v>
      </c>
      <c r="AV383" s="1030">
        <f>IFERROR(INDEX(V383:AG383,1,MATCH(Parametres!$B$3,V$1:AG$1,0)-1)*IF(OR(C383="L",C383="S",C383="I"),-1,1),"")</f>
        <v>0</v>
      </c>
      <c r="AW383" s="1030">
        <f t="shared" si="23"/>
        <v>0</v>
      </c>
      <c r="AX383" s="1030">
        <f>INDEX(V383:AG383,1,MATCH(Parametres!$B$3,V$1:AG$1,0))*IF(OR(C383="L",C383="S",C383="I"),-1,1)</f>
        <v>0</v>
      </c>
      <c r="AY383" s="598" t="s">
        <v>337</v>
      </c>
      <c r="AZ383" s="598" t="e">
        <f>+VLOOKUP($AJ383,Data_Validation!$A:$E,5,0)</f>
        <v>#N/A</v>
      </c>
    </row>
    <row r="384" spans="36:52" ht="15.75" customHeight="1">
      <c r="AJ384" s="1030">
        <f t="shared" si="20"/>
        <v>0</v>
      </c>
      <c r="AK384" s="1030">
        <f t="shared" si="20"/>
        <v>0</v>
      </c>
      <c r="AL384" s="1030">
        <f>IFERROR(INDEX(G384:R384,1,MATCH(Parametres!$B$3,G$1:R$1,0)-1)*IF(OR(F384="L",F384="S",F384="I"),-1,1),"")</f>
        <v>0</v>
      </c>
      <c r="AM384" s="1030">
        <f t="shared" si="21"/>
        <v>0</v>
      </c>
      <c r="AN384" s="1030">
        <f>INDEX(G384:R384,1,MATCH(Parametres!$B$3,G$1:R$1,0))*IF(OR(F384="L",F384="S",F384="I"),-1,1)</f>
        <v>0</v>
      </c>
      <c r="AO384" s="598" t="e">
        <f>+VLOOKUP($AJ384,Data_Validation!$A:$D,1,0)</f>
        <v>#N/A</v>
      </c>
      <c r="AP384" s="598" t="e">
        <f>+VLOOKUP($AJ384,Data_Validation!$A:$D,3,0)</f>
        <v>#N/A</v>
      </c>
      <c r="AQ384" s="598" t="e">
        <f>+VLOOKUP($AJ384,Data_Validation!$A:$D,4,0)</f>
        <v>#N/A</v>
      </c>
      <c r="AR384" s="598" t="s">
        <v>299</v>
      </c>
      <c r="AS384" s="598" t="e">
        <f>+VLOOKUP($AJ384,Data_Validation!$A:$E,5,0)</f>
        <v>#N/A</v>
      </c>
      <c r="AT384" s="1036">
        <f t="shared" si="22"/>
        <v>0</v>
      </c>
      <c r="AU384" s="599">
        <f t="shared" si="22"/>
        <v>0</v>
      </c>
      <c r="AV384" s="1030">
        <f>IFERROR(INDEX(V384:AG384,1,MATCH(Parametres!$B$3,V$1:AG$1,0)-1)*IF(OR(C384="L",C384="S",C384="I"),-1,1),"")</f>
        <v>0</v>
      </c>
      <c r="AW384" s="1030">
        <f t="shared" si="23"/>
        <v>0</v>
      </c>
      <c r="AX384" s="1030">
        <f>INDEX(V384:AG384,1,MATCH(Parametres!$B$3,V$1:AG$1,0))*IF(OR(C384="L",C384="S",C384="I"),-1,1)</f>
        <v>0</v>
      </c>
      <c r="AY384" s="598" t="s">
        <v>337</v>
      </c>
      <c r="AZ384" s="598" t="e">
        <f>+VLOOKUP($AJ384,Data_Validation!$A:$E,5,0)</f>
        <v>#N/A</v>
      </c>
    </row>
    <row r="385" spans="36:52" ht="15.75" customHeight="1">
      <c r="AJ385" s="1030">
        <f t="shared" si="20"/>
        <v>0</v>
      </c>
      <c r="AK385" s="1030">
        <f t="shared" si="20"/>
        <v>0</v>
      </c>
      <c r="AL385" s="1030">
        <f>IFERROR(INDEX(G385:R385,1,MATCH(Parametres!$B$3,G$1:R$1,0)-1)*IF(OR(F385="L",F385="S",F385="I"),-1,1),"")</f>
        <v>0</v>
      </c>
      <c r="AM385" s="1030">
        <f t="shared" si="21"/>
        <v>0</v>
      </c>
      <c r="AN385" s="1030">
        <f>INDEX(G385:R385,1,MATCH(Parametres!$B$3,G$1:R$1,0))*IF(OR(F385="L",F385="S",F385="I"),-1,1)</f>
        <v>0</v>
      </c>
      <c r="AO385" s="598" t="e">
        <f>+VLOOKUP($AJ385,Data_Validation!$A:$D,1,0)</f>
        <v>#N/A</v>
      </c>
      <c r="AP385" s="598" t="e">
        <f>+VLOOKUP($AJ385,Data_Validation!$A:$D,3,0)</f>
        <v>#N/A</v>
      </c>
      <c r="AQ385" s="598" t="e">
        <f>+VLOOKUP($AJ385,Data_Validation!$A:$D,4,0)</f>
        <v>#N/A</v>
      </c>
      <c r="AR385" s="598" t="s">
        <v>299</v>
      </c>
      <c r="AS385" s="598" t="e">
        <f>+VLOOKUP($AJ385,Data_Validation!$A:$E,5,0)</f>
        <v>#N/A</v>
      </c>
      <c r="AT385" s="1036">
        <f t="shared" si="22"/>
        <v>0</v>
      </c>
      <c r="AU385" s="599">
        <f t="shared" si="22"/>
        <v>0</v>
      </c>
      <c r="AV385" s="1030">
        <f>IFERROR(INDEX(V385:AG385,1,MATCH(Parametres!$B$3,V$1:AG$1,0)-1)*IF(OR(C385="L",C385="S",C385="I"),-1,1),"")</f>
        <v>0</v>
      </c>
      <c r="AW385" s="1030">
        <f t="shared" si="23"/>
        <v>0</v>
      </c>
      <c r="AX385" s="1030">
        <f>INDEX(V385:AG385,1,MATCH(Parametres!$B$3,V$1:AG$1,0))*IF(OR(C385="L",C385="S",C385="I"),-1,1)</f>
        <v>0</v>
      </c>
      <c r="AY385" s="598" t="s">
        <v>337</v>
      </c>
      <c r="AZ385" s="598" t="e">
        <f>+VLOOKUP($AJ385,Data_Validation!$A:$E,5,0)</f>
        <v>#N/A</v>
      </c>
    </row>
    <row r="386" spans="36:52" ht="15.75" customHeight="1">
      <c r="AJ386" s="1030">
        <f t="shared" si="20"/>
        <v>0</v>
      </c>
      <c r="AK386" s="1030">
        <f t="shared" si="20"/>
        <v>0</v>
      </c>
      <c r="AL386" s="1030">
        <f>IFERROR(INDEX(G386:R386,1,MATCH(Parametres!$B$3,G$1:R$1,0)-1)*IF(OR(F386="L",F386="S",F386="I"),-1,1),"")</f>
        <v>0</v>
      </c>
      <c r="AM386" s="1030">
        <f t="shared" si="21"/>
        <v>0</v>
      </c>
      <c r="AN386" s="1030">
        <f>INDEX(G386:R386,1,MATCH(Parametres!$B$3,G$1:R$1,0))*IF(OR(F386="L",F386="S",F386="I"),-1,1)</f>
        <v>0</v>
      </c>
      <c r="AO386" s="598" t="e">
        <f>+VLOOKUP($AJ386,Data_Validation!$A:$D,1,0)</f>
        <v>#N/A</v>
      </c>
      <c r="AP386" s="598" t="e">
        <f>+VLOOKUP($AJ386,Data_Validation!$A:$D,3,0)</f>
        <v>#N/A</v>
      </c>
      <c r="AQ386" s="598" t="e">
        <f>+VLOOKUP($AJ386,Data_Validation!$A:$D,4,0)</f>
        <v>#N/A</v>
      </c>
      <c r="AR386" s="598" t="s">
        <v>299</v>
      </c>
      <c r="AS386" s="598" t="e">
        <f>+VLOOKUP($AJ386,Data_Validation!$A:$E,5,0)</f>
        <v>#N/A</v>
      </c>
      <c r="AT386" s="1036">
        <f t="shared" si="22"/>
        <v>0</v>
      </c>
      <c r="AU386" s="599">
        <f t="shared" si="22"/>
        <v>0</v>
      </c>
      <c r="AV386" s="1030">
        <f>IFERROR(INDEX(V386:AG386,1,MATCH(Parametres!$B$3,V$1:AG$1,0)-1)*IF(OR(C386="L",C386="S",C386="I"),-1,1),"")</f>
        <v>0</v>
      </c>
      <c r="AW386" s="1030">
        <f t="shared" si="23"/>
        <v>0</v>
      </c>
      <c r="AX386" s="1030">
        <f>INDEX(V386:AG386,1,MATCH(Parametres!$B$3,V$1:AG$1,0))*IF(OR(C386="L",C386="S",C386="I"),-1,1)</f>
        <v>0</v>
      </c>
      <c r="AY386" s="598" t="s">
        <v>337</v>
      </c>
      <c r="AZ386" s="598" t="e">
        <f>+VLOOKUP($AJ386,Data_Validation!$A:$E,5,0)</f>
        <v>#N/A</v>
      </c>
    </row>
    <row r="387" spans="36:52" ht="15.75" customHeight="1">
      <c r="AJ387" s="1030">
        <f t="shared" si="20"/>
        <v>0</v>
      </c>
      <c r="AK387" s="1030">
        <f t="shared" si="20"/>
        <v>0</v>
      </c>
      <c r="AL387" s="1030">
        <f>IFERROR(INDEX(G387:R387,1,MATCH(Parametres!$B$3,G$1:R$1,0)-1)*IF(OR(F387="L",F387="S",F387="I"),-1,1),"")</f>
        <v>0</v>
      </c>
      <c r="AM387" s="1030">
        <f t="shared" si="21"/>
        <v>0</v>
      </c>
      <c r="AN387" s="1030">
        <f>INDEX(G387:R387,1,MATCH(Parametres!$B$3,G$1:R$1,0))*IF(OR(F387="L",F387="S",F387="I"),-1,1)</f>
        <v>0</v>
      </c>
      <c r="AO387" s="598" t="e">
        <f>+VLOOKUP($AJ387,Data_Validation!$A:$D,1,0)</f>
        <v>#N/A</v>
      </c>
      <c r="AP387" s="598" t="e">
        <f>+VLOOKUP($AJ387,Data_Validation!$A:$D,3,0)</f>
        <v>#N/A</v>
      </c>
      <c r="AQ387" s="598" t="e">
        <f>+VLOOKUP($AJ387,Data_Validation!$A:$D,4,0)</f>
        <v>#N/A</v>
      </c>
      <c r="AR387" s="598" t="s">
        <v>299</v>
      </c>
      <c r="AS387" s="598" t="e">
        <f>+VLOOKUP($AJ387,Data_Validation!$A:$E,5,0)</f>
        <v>#N/A</v>
      </c>
      <c r="AT387" s="1036">
        <f t="shared" si="22"/>
        <v>0</v>
      </c>
      <c r="AU387" s="599">
        <f t="shared" si="22"/>
        <v>0</v>
      </c>
      <c r="AV387" s="1030">
        <f>IFERROR(INDEX(V387:AG387,1,MATCH(Parametres!$B$3,V$1:AG$1,0)-1)*IF(OR(C387="L",C387="S",C387="I"),-1,1),"")</f>
        <v>0</v>
      </c>
      <c r="AW387" s="1030">
        <f t="shared" si="23"/>
        <v>0</v>
      </c>
      <c r="AX387" s="1030">
        <f>INDEX(V387:AG387,1,MATCH(Parametres!$B$3,V$1:AG$1,0))*IF(OR(C387="L",C387="S",C387="I"),-1,1)</f>
        <v>0</v>
      </c>
      <c r="AY387" s="598" t="s">
        <v>337</v>
      </c>
      <c r="AZ387" s="598" t="e">
        <f>+VLOOKUP($AJ387,Data_Validation!$A:$E,5,0)</f>
        <v>#N/A</v>
      </c>
    </row>
    <row r="388" spans="36:52" ht="15.75" customHeight="1">
      <c r="AJ388" s="1030">
        <f t="shared" ref="AJ388:AK451" si="24">C388</f>
        <v>0</v>
      </c>
      <c r="AK388" s="1030">
        <f t="shared" si="24"/>
        <v>0</v>
      </c>
      <c r="AL388" s="1030">
        <f>IFERROR(INDEX(G388:R388,1,MATCH(Parametres!$B$3,G$1:R$1,0)-1)*IF(OR(F388="L",F388="S",F388="I"),-1,1),"")</f>
        <v>0</v>
      </c>
      <c r="AM388" s="1030">
        <f t="shared" ref="AM388:AM451" si="25">AN388-N(AL388)</f>
        <v>0</v>
      </c>
      <c r="AN388" s="1030">
        <f>INDEX(G388:R388,1,MATCH(Parametres!$B$3,G$1:R$1,0))*IF(OR(F388="L",F388="S",F388="I"),-1,1)</f>
        <v>0</v>
      </c>
      <c r="AO388" s="598" t="e">
        <f>+VLOOKUP($AJ388,Data_Validation!$A:$D,1,0)</f>
        <v>#N/A</v>
      </c>
      <c r="AP388" s="598" t="e">
        <f>+VLOOKUP($AJ388,Data_Validation!$A:$D,3,0)</f>
        <v>#N/A</v>
      </c>
      <c r="AQ388" s="598" t="e">
        <f>+VLOOKUP($AJ388,Data_Validation!$A:$D,4,0)</f>
        <v>#N/A</v>
      </c>
      <c r="AR388" s="598" t="s">
        <v>299</v>
      </c>
      <c r="AS388" s="598" t="e">
        <f>+VLOOKUP($AJ388,Data_Validation!$A:$E,5,0)</f>
        <v>#N/A</v>
      </c>
      <c r="AT388" s="1036">
        <f t="shared" ref="AT388:AU451" si="26">C388</f>
        <v>0</v>
      </c>
      <c r="AU388" s="599">
        <f t="shared" si="26"/>
        <v>0</v>
      </c>
      <c r="AV388" s="1030">
        <f>IFERROR(INDEX(V388:AG388,1,MATCH(Parametres!$B$3,V$1:AG$1,0)-1)*IF(OR(C388="L",C388="S",C388="I"),-1,1),"")</f>
        <v>0</v>
      </c>
      <c r="AW388" s="1030">
        <f t="shared" ref="AW388:AW451" si="27">AX388-AV388</f>
        <v>0</v>
      </c>
      <c r="AX388" s="1030">
        <f>INDEX(V388:AG388,1,MATCH(Parametres!$B$3,V$1:AG$1,0))*IF(OR(C388="L",C388="S",C388="I"),-1,1)</f>
        <v>0</v>
      </c>
      <c r="AY388" s="598" t="s">
        <v>337</v>
      </c>
      <c r="AZ388" s="598" t="e">
        <f>+VLOOKUP($AJ388,Data_Validation!$A:$E,5,0)</f>
        <v>#N/A</v>
      </c>
    </row>
    <row r="389" spans="36:52" ht="15.75" customHeight="1">
      <c r="AJ389" s="1030">
        <f t="shared" si="24"/>
        <v>0</v>
      </c>
      <c r="AK389" s="1030">
        <f t="shared" si="24"/>
        <v>0</v>
      </c>
      <c r="AL389" s="1030">
        <f>IFERROR(INDEX(G389:R389,1,MATCH(Parametres!$B$3,G$1:R$1,0)-1)*IF(OR(F389="L",F389="S",F389="I"),-1,1),"")</f>
        <v>0</v>
      </c>
      <c r="AM389" s="1030">
        <f t="shared" si="25"/>
        <v>0</v>
      </c>
      <c r="AN389" s="1030">
        <f>INDEX(G389:R389,1,MATCH(Parametres!$B$3,G$1:R$1,0))*IF(OR(F389="L",F389="S",F389="I"),-1,1)</f>
        <v>0</v>
      </c>
      <c r="AO389" s="598" t="e">
        <f>+VLOOKUP($AJ389,Data_Validation!$A:$D,1,0)</f>
        <v>#N/A</v>
      </c>
      <c r="AP389" s="598" t="e">
        <f>+VLOOKUP($AJ389,Data_Validation!$A:$D,3,0)</f>
        <v>#N/A</v>
      </c>
      <c r="AQ389" s="598" t="e">
        <f>+VLOOKUP($AJ389,Data_Validation!$A:$D,4,0)</f>
        <v>#N/A</v>
      </c>
      <c r="AR389" s="598" t="s">
        <v>299</v>
      </c>
      <c r="AS389" s="598" t="e">
        <f>+VLOOKUP($AJ389,Data_Validation!$A:$E,5,0)</f>
        <v>#N/A</v>
      </c>
      <c r="AT389" s="1036">
        <f t="shared" si="26"/>
        <v>0</v>
      </c>
      <c r="AU389" s="599">
        <f t="shared" si="26"/>
        <v>0</v>
      </c>
      <c r="AV389" s="1030">
        <f>IFERROR(INDEX(V389:AG389,1,MATCH(Parametres!$B$3,V$1:AG$1,0)-1)*IF(OR(C389="L",C389="S",C389="I"),-1,1),"")</f>
        <v>0</v>
      </c>
      <c r="AW389" s="1030">
        <f t="shared" si="27"/>
        <v>0</v>
      </c>
      <c r="AX389" s="1030">
        <f>INDEX(V389:AG389,1,MATCH(Parametres!$B$3,V$1:AG$1,0))*IF(OR(C389="L",C389="S",C389="I"),-1,1)</f>
        <v>0</v>
      </c>
      <c r="AY389" s="598" t="s">
        <v>337</v>
      </c>
      <c r="AZ389" s="598" t="e">
        <f>+VLOOKUP($AJ389,Data_Validation!$A:$E,5,0)</f>
        <v>#N/A</v>
      </c>
    </row>
    <row r="390" spans="36:52" ht="15.75" customHeight="1">
      <c r="AJ390" s="1030">
        <f t="shared" si="24"/>
        <v>0</v>
      </c>
      <c r="AK390" s="1030">
        <f t="shared" si="24"/>
        <v>0</v>
      </c>
      <c r="AL390" s="1030">
        <f>IFERROR(INDEX(G390:R390,1,MATCH(Parametres!$B$3,G$1:R$1,0)-1)*IF(OR(F390="L",F390="S",F390="I"),-1,1),"")</f>
        <v>0</v>
      </c>
      <c r="AM390" s="1030">
        <f t="shared" si="25"/>
        <v>0</v>
      </c>
      <c r="AN390" s="1030">
        <f>INDEX(G390:R390,1,MATCH(Parametres!$B$3,G$1:R$1,0))*IF(OR(F390="L",F390="S",F390="I"),-1,1)</f>
        <v>0</v>
      </c>
      <c r="AO390" s="598" t="e">
        <f>+VLOOKUP($AJ390,Data_Validation!$A:$D,1,0)</f>
        <v>#N/A</v>
      </c>
      <c r="AP390" s="598" t="e">
        <f>+VLOOKUP($AJ390,Data_Validation!$A:$D,3,0)</f>
        <v>#N/A</v>
      </c>
      <c r="AQ390" s="598" t="e">
        <f>+VLOOKUP($AJ390,Data_Validation!$A:$D,4,0)</f>
        <v>#N/A</v>
      </c>
      <c r="AR390" s="598" t="s">
        <v>299</v>
      </c>
      <c r="AS390" s="598" t="e">
        <f>+VLOOKUP($AJ390,Data_Validation!$A:$E,5,0)</f>
        <v>#N/A</v>
      </c>
      <c r="AT390" s="1036">
        <f t="shared" si="26"/>
        <v>0</v>
      </c>
      <c r="AU390" s="599">
        <f t="shared" si="26"/>
        <v>0</v>
      </c>
      <c r="AV390" s="1030">
        <f>IFERROR(INDEX(V390:AG390,1,MATCH(Parametres!$B$3,V$1:AG$1,0)-1)*IF(OR(C390="L",C390="S",C390="I"),-1,1),"")</f>
        <v>0</v>
      </c>
      <c r="AW390" s="1030">
        <f t="shared" si="27"/>
        <v>0</v>
      </c>
      <c r="AX390" s="1030">
        <f>INDEX(V390:AG390,1,MATCH(Parametres!$B$3,V$1:AG$1,0))*IF(OR(C390="L",C390="S",C390="I"),-1,1)</f>
        <v>0</v>
      </c>
      <c r="AY390" s="598" t="s">
        <v>337</v>
      </c>
      <c r="AZ390" s="598" t="e">
        <f>+VLOOKUP($AJ390,Data_Validation!$A:$E,5,0)</f>
        <v>#N/A</v>
      </c>
    </row>
    <row r="391" spans="36:52" ht="15.75" customHeight="1">
      <c r="AJ391" s="1030">
        <f t="shared" si="24"/>
        <v>0</v>
      </c>
      <c r="AK391" s="1030">
        <f t="shared" si="24"/>
        <v>0</v>
      </c>
      <c r="AL391" s="1030">
        <f>IFERROR(INDEX(G391:R391,1,MATCH(Parametres!$B$3,G$1:R$1,0)-1)*IF(OR(F391="L",F391="S",F391="I"),-1,1),"")</f>
        <v>0</v>
      </c>
      <c r="AM391" s="1030">
        <f t="shared" si="25"/>
        <v>0</v>
      </c>
      <c r="AN391" s="1030">
        <f>INDEX(G391:R391,1,MATCH(Parametres!$B$3,G$1:R$1,0))*IF(OR(F391="L",F391="S",F391="I"),-1,1)</f>
        <v>0</v>
      </c>
      <c r="AO391" s="598" t="e">
        <f>+VLOOKUP($AJ391,Data_Validation!$A:$D,1,0)</f>
        <v>#N/A</v>
      </c>
      <c r="AP391" s="598" t="e">
        <f>+VLOOKUP($AJ391,Data_Validation!$A:$D,3,0)</f>
        <v>#N/A</v>
      </c>
      <c r="AQ391" s="598" t="e">
        <f>+VLOOKUP($AJ391,Data_Validation!$A:$D,4,0)</f>
        <v>#N/A</v>
      </c>
      <c r="AR391" s="598" t="s">
        <v>299</v>
      </c>
      <c r="AS391" s="598" t="e">
        <f>+VLOOKUP($AJ391,Data_Validation!$A:$E,5,0)</f>
        <v>#N/A</v>
      </c>
      <c r="AT391" s="1036">
        <f t="shared" si="26"/>
        <v>0</v>
      </c>
      <c r="AU391" s="599">
        <f t="shared" si="26"/>
        <v>0</v>
      </c>
      <c r="AV391" s="1030">
        <f>IFERROR(INDEX(V391:AG391,1,MATCH(Parametres!$B$3,V$1:AG$1,0)-1)*IF(OR(C391="L",C391="S",C391="I"),-1,1),"")</f>
        <v>0</v>
      </c>
      <c r="AW391" s="1030">
        <f t="shared" si="27"/>
        <v>0</v>
      </c>
      <c r="AX391" s="1030">
        <f>INDEX(V391:AG391,1,MATCH(Parametres!$B$3,V$1:AG$1,0))*IF(OR(C391="L",C391="S",C391="I"),-1,1)</f>
        <v>0</v>
      </c>
      <c r="AY391" s="598" t="s">
        <v>337</v>
      </c>
      <c r="AZ391" s="598" t="e">
        <f>+VLOOKUP($AJ391,Data_Validation!$A:$E,5,0)</f>
        <v>#N/A</v>
      </c>
    </row>
    <row r="392" spans="36:52" ht="15.75" customHeight="1">
      <c r="AJ392" s="1030">
        <f t="shared" si="24"/>
        <v>0</v>
      </c>
      <c r="AK392" s="1030">
        <f t="shared" si="24"/>
        <v>0</v>
      </c>
      <c r="AL392" s="1030">
        <f>IFERROR(INDEX(G392:R392,1,MATCH(Parametres!$B$3,G$1:R$1,0)-1)*IF(OR(F392="L",F392="S",F392="I"),-1,1),"")</f>
        <v>0</v>
      </c>
      <c r="AM392" s="1030">
        <f t="shared" si="25"/>
        <v>0</v>
      </c>
      <c r="AN392" s="1030">
        <f>INDEX(G392:R392,1,MATCH(Parametres!$B$3,G$1:R$1,0))*IF(OR(F392="L",F392="S",F392="I"),-1,1)</f>
        <v>0</v>
      </c>
      <c r="AO392" s="598" t="e">
        <f>+VLOOKUP($AJ392,Data_Validation!$A:$D,1,0)</f>
        <v>#N/A</v>
      </c>
      <c r="AP392" s="598" t="e">
        <f>+VLOOKUP($AJ392,Data_Validation!$A:$D,3,0)</f>
        <v>#N/A</v>
      </c>
      <c r="AQ392" s="598" t="e">
        <f>+VLOOKUP($AJ392,Data_Validation!$A:$D,4,0)</f>
        <v>#N/A</v>
      </c>
      <c r="AR392" s="598" t="s">
        <v>299</v>
      </c>
      <c r="AS392" s="598" t="e">
        <f>+VLOOKUP($AJ392,Data_Validation!$A:$E,5,0)</f>
        <v>#N/A</v>
      </c>
      <c r="AT392" s="1036">
        <f t="shared" si="26"/>
        <v>0</v>
      </c>
      <c r="AU392" s="599">
        <f t="shared" si="26"/>
        <v>0</v>
      </c>
      <c r="AV392" s="1030">
        <f>IFERROR(INDEX(V392:AG392,1,MATCH(Parametres!$B$3,V$1:AG$1,0)-1)*IF(OR(C392="L",C392="S",C392="I"),-1,1),"")</f>
        <v>0</v>
      </c>
      <c r="AW392" s="1030">
        <f t="shared" si="27"/>
        <v>0</v>
      </c>
      <c r="AX392" s="1030">
        <f>INDEX(V392:AG392,1,MATCH(Parametres!$B$3,V$1:AG$1,0))*IF(OR(C392="L",C392="S",C392="I"),-1,1)</f>
        <v>0</v>
      </c>
      <c r="AY392" s="598" t="s">
        <v>337</v>
      </c>
      <c r="AZ392" s="598" t="e">
        <f>+VLOOKUP($AJ392,Data_Validation!$A:$E,5,0)</f>
        <v>#N/A</v>
      </c>
    </row>
    <row r="393" spans="36:52" ht="15.75" customHeight="1">
      <c r="AJ393" s="1030">
        <f t="shared" si="24"/>
        <v>0</v>
      </c>
      <c r="AK393" s="1030">
        <f t="shared" si="24"/>
        <v>0</v>
      </c>
      <c r="AL393" s="1030">
        <f>IFERROR(INDEX(G393:R393,1,MATCH(Parametres!$B$3,G$1:R$1,0)-1)*IF(OR(F393="L",F393="S",F393="I"),-1,1),"")</f>
        <v>0</v>
      </c>
      <c r="AM393" s="1030">
        <f t="shared" si="25"/>
        <v>0</v>
      </c>
      <c r="AN393" s="1030">
        <f>INDEX(G393:R393,1,MATCH(Parametres!$B$3,G$1:R$1,0))*IF(OR(F393="L",F393="S",F393="I"),-1,1)</f>
        <v>0</v>
      </c>
      <c r="AO393" s="598" t="e">
        <f>+VLOOKUP($AJ393,Data_Validation!$A:$D,1,0)</f>
        <v>#N/A</v>
      </c>
      <c r="AP393" s="598" t="e">
        <f>+VLOOKUP($AJ393,Data_Validation!$A:$D,3,0)</f>
        <v>#N/A</v>
      </c>
      <c r="AQ393" s="598" t="e">
        <f>+VLOOKUP($AJ393,Data_Validation!$A:$D,4,0)</f>
        <v>#N/A</v>
      </c>
      <c r="AR393" s="598" t="s">
        <v>299</v>
      </c>
      <c r="AS393" s="598" t="e">
        <f>+VLOOKUP($AJ393,Data_Validation!$A:$E,5,0)</f>
        <v>#N/A</v>
      </c>
      <c r="AT393" s="1036">
        <f t="shared" si="26"/>
        <v>0</v>
      </c>
      <c r="AU393" s="599">
        <f t="shared" si="26"/>
        <v>0</v>
      </c>
      <c r="AV393" s="1030">
        <f>IFERROR(INDEX(V393:AG393,1,MATCH(Parametres!$B$3,V$1:AG$1,0)-1)*IF(OR(C393="L",C393="S",C393="I"),-1,1),"")</f>
        <v>0</v>
      </c>
      <c r="AW393" s="1030">
        <f t="shared" si="27"/>
        <v>0</v>
      </c>
      <c r="AX393" s="1030">
        <f>INDEX(V393:AG393,1,MATCH(Parametres!$B$3,V$1:AG$1,0))*IF(OR(C393="L",C393="S",C393="I"),-1,1)</f>
        <v>0</v>
      </c>
      <c r="AY393" s="598" t="s">
        <v>337</v>
      </c>
      <c r="AZ393" s="598" t="e">
        <f>+VLOOKUP($AJ393,Data_Validation!$A:$E,5,0)</f>
        <v>#N/A</v>
      </c>
    </row>
    <row r="394" spans="36:52" ht="15.75" customHeight="1">
      <c r="AJ394" s="1030">
        <f t="shared" si="24"/>
        <v>0</v>
      </c>
      <c r="AK394" s="1030">
        <f t="shared" si="24"/>
        <v>0</v>
      </c>
      <c r="AL394" s="1030">
        <f>IFERROR(INDEX(G394:R394,1,MATCH(Parametres!$B$3,G$1:R$1,0)-1)*IF(OR(F394="L",F394="S",F394="I"),-1,1),"")</f>
        <v>0</v>
      </c>
      <c r="AM394" s="1030">
        <f t="shared" si="25"/>
        <v>0</v>
      </c>
      <c r="AN394" s="1030">
        <f>INDEX(G394:R394,1,MATCH(Parametres!$B$3,G$1:R$1,0))*IF(OR(F394="L",F394="S",F394="I"),-1,1)</f>
        <v>0</v>
      </c>
      <c r="AO394" s="598" t="e">
        <f>+VLOOKUP($AJ394,Data_Validation!$A:$D,1,0)</f>
        <v>#N/A</v>
      </c>
      <c r="AP394" s="598" t="e">
        <f>+VLOOKUP($AJ394,Data_Validation!$A:$D,3,0)</f>
        <v>#N/A</v>
      </c>
      <c r="AQ394" s="598" t="e">
        <f>+VLOOKUP($AJ394,Data_Validation!$A:$D,4,0)</f>
        <v>#N/A</v>
      </c>
      <c r="AR394" s="598" t="s">
        <v>299</v>
      </c>
      <c r="AS394" s="598" t="e">
        <f>+VLOOKUP($AJ394,Data_Validation!$A:$E,5,0)</f>
        <v>#N/A</v>
      </c>
      <c r="AT394" s="1036">
        <f t="shared" si="26"/>
        <v>0</v>
      </c>
      <c r="AU394" s="599">
        <f t="shared" si="26"/>
        <v>0</v>
      </c>
      <c r="AV394" s="1030">
        <f>IFERROR(INDEX(V394:AG394,1,MATCH(Parametres!$B$3,V$1:AG$1,0)-1)*IF(OR(C394="L",C394="S",C394="I"),-1,1),"")</f>
        <v>0</v>
      </c>
      <c r="AW394" s="1030">
        <f t="shared" si="27"/>
        <v>0</v>
      </c>
      <c r="AX394" s="1030">
        <f>INDEX(V394:AG394,1,MATCH(Parametres!$B$3,V$1:AG$1,0))*IF(OR(C394="L",C394="S",C394="I"),-1,1)</f>
        <v>0</v>
      </c>
      <c r="AY394" s="598" t="s">
        <v>337</v>
      </c>
      <c r="AZ394" s="598" t="e">
        <f>+VLOOKUP($AJ394,Data_Validation!$A:$E,5,0)</f>
        <v>#N/A</v>
      </c>
    </row>
    <row r="395" spans="36:52" ht="15.75" customHeight="1">
      <c r="AJ395" s="1030">
        <f t="shared" si="24"/>
        <v>0</v>
      </c>
      <c r="AK395" s="1030">
        <f t="shared" si="24"/>
        <v>0</v>
      </c>
      <c r="AL395" s="1030">
        <f>IFERROR(INDEX(G395:R395,1,MATCH(Parametres!$B$3,G$1:R$1,0)-1)*IF(OR(F395="L",F395="S",F395="I"),-1,1),"")</f>
        <v>0</v>
      </c>
      <c r="AM395" s="1030">
        <f t="shared" si="25"/>
        <v>0</v>
      </c>
      <c r="AN395" s="1030">
        <f>INDEX(G395:R395,1,MATCH(Parametres!$B$3,G$1:R$1,0))*IF(OR(F395="L",F395="S",F395="I"),-1,1)</f>
        <v>0</v>
      </c>
      <c r="AO395" s="598" t="e">
        <f>+VLOOKUP($AJ395,Data_Validation!$A:$D,1,0)</f>
        <v>#N/A</v>
      </c>
      <c r="AP395" s="598" t="e">
        <f>+VLOOKUP($AJ395,Data_Validation!$A:$D,3,0)</f>
        <v>#N/A</v>
      </c>
      <c r="AQ395" s="598" t="e">
        <f>+VLOOKUP($AJ395,Data_Validation!$A:$D,4,0)</f>
        <v>#N/A</v>
      </c>
      <c r="AR395" s="598" t="s">
        <v>299</v>
      </c>
      <c r="AS395" s="598" t="e">
        <f>+VLOOKUP($AJ395,Data_Validation!$A:$E,5,0)</f>
        <v>#N/A</v>
      </c>
      <c r="AT395" s="1036">
        <f t="shared" si="26"/>
        <v>0</v>
      </c>
      <c r="AU395" s="599">
        <f t="shared" si="26"/>
        <v>0</v>
      </c>
      <c r="AV395" s="1030">
        <f>IFERROR(INDEX(V395:AG395,1,MATCH(Parametres!$B$3,V$1:AG$1,0)-1)*IF(OR(C395="L",C395="S",C395="I"),-1,1),"")</f>
        <v>0</v>
      </c>
      <c r="AW395" s="1030">
        <f t="shared" si="27"/>
        <v>0</v>
      </c>
      <c r="AX395" s="1030">
        <f>INDEX(V395:AG395,1,MATCH(Parametres!$B$3,V$1:AG$1,0))*IF(OR(C395="L",C395="S",C395="I"),-1,1)</f>
        <v>0</v>
      </c>
      <c r="AY395" s="598" t="s">
        <v>337</v>
      </c>
      <c r="AZ395" s="598" t="e">
        <f>+VLOOKUP($AJ395,Data_Validation!$A:$E,5,0)</f>
        <v>#N/A</v>
      </c>
    </row>
    <row r="396" spans="36:52" ht="15.75" customHeight="1">
      <c r="AJ396" s="1030">
        <f t="shared" si="24"/>
        <v>0</v>
      </c>
      <c r="AK396" s="1030">
        <f t="shared" si="24"/>
        <v>0</v>
      </c>
      <c r="AL396" s="1030">
        <f>IFERROR(INDEX(G396:R396,1,MATCH(Parametres!$B$3,G$1:R$1,0)-1)*IF(OR(F396="L",F396="S",F396="I"),-1,1),"")</f>
        <v>0</v>
      </c>
      <c r="AM396" s="1030">
        <f t="shared" si="25"/>
        <v>0</v>
      </c>
      <c r="AN396" s="1030">
        <f>INDEX(G396:R396,1,MATCH(Parametres!$B$3,G$1:R$1,0))*IF(OR(F396="L",F396="S",F396="I"),-1,1)</f>
        <v>0</v>
      </c>
      <c r="AO396" s="598" t="e">
        <f>+VLOOKUP($AJ396,Data_Validation!$A:$D,1,0)</f>
        <v>#N/A</v>
      </c>
      <c r="AP396" s="598" t="e">
        <f>+VLOOKUP($AJ396,Data_Validation!$A:$D,3,0)</f>
        <v>#N/A</v>
      </c>
      <c r="AQ396" s="598" t="e">
        <f>+VLOOKUP($AJ396,Data_Validation!$A:$D,4,0)</f>
        <v>#N/A</v>
      </c>
      <c r="AR396" s="598" t="s">
        <v>299</v>
      </c>
      <c r="AS396" s="598" t="e">
        <f>+VLOOKUP($AJ396,Data_Validation!$A:$E,5,0)</f>
        <v>#N/A</v>
      </c>
      <c r="AT396" s="1036">
        <f t="shared" si="26"/>
        <v>0</v>
      </c>
      <c r="AU396" s="599">
        <f t="shared" si="26"/>
        <v>0</v>
      </c>
      <c r="AV396" s="1030">
        <f>IFERROR(INDEX(V396:AG396,1,MATCH(Parametres!$B$3,V$1:AG$1,0)-1)*IF(OR(C396="L",C396="S",C396="I"),-1,1),"")</f>
        <v>0</v>
      </c>
      <c r="AW396" s="1030">
        <f t="shared" si="27"/>
        <v>0</v>
      </c>
      <c r="AX396" s="1030">
        <f>INDEX(V396:AG396,1,MATCH(Parametres!$B$3,V$1:AG$1,0))*IF(OR(C396="L",C396="S",C396="I"),-1,1)</f>
        <v>0</v>
      </c>
      <c r="AY396" s="598" t="s">
        <v>337</v>
      </c>
      <c r="AZ396" s="598" t="e">
        <f>+VLOOKUP($AJ396,Data_Validation!$A:$E,5,0)</f>
        <v>#N/A</v>
      </c>
    </row>
    <row r="397" spans="36:52" ht="15.75" customHeight="1">
      <c r="AJ397" s="1030">
        <f t="shared" si="24"/>
        <v>0</v>
      </c>
      <c r="AK397" s="1030">
        <f t="shared" si="24"/>
        <v>0</v>
      </c>
      <c r="AL397" s="1030">
        <f>IFERROR(INDEX(G397:R397,1,MATCH(Parametres!$B$3,G$1:R$1,0)-1)*IF(OR(F397="L",F397="S",F397="I"),-1,1),"")</f>
        <v>0</v>
      </c>
      <c r="AM397" s="1030">
        <f t="shared" si="25"/>
        <v>0</v>
      </c>
      <c r="AN397" s="1030">
        <f>INDEX(G397:R397,1,MATCH(Parametres!$B$3,G$1:R$1,0))*IF(OR(F397="L",F397="S",F397="I"),-1,1)</f>
        <v>0</v>
      </c>
      <c r="AO397" s="598" t="e">
        <f>+VLOOKUP($AJ397,Data_Validation!$A:$D,1,0)</f>
        <v>#N/A</v>
      </c>
      <c r="AP397" s="598" t="e">
        <f>+VLOOKUP($AJ397,Data_Validation!$A:$D,3,0)</f>
        <v>#N/A</v>
      </c>
      <c r="AQ397" s="598" t="e">
        <f>+VLOOKUP($AJ397,Data_Validation!$A:$D,4,0)</f>
        <v>#N/A</v>
      </c>
      <c r="AR397" s="598" t="s">
        <v>299</v>
      </c>
      <c r="AS397" s="598" t="e">
        <f>+VLOOKUP($AJ397,Data_Validation!$A:$E,5,0)</f>
        <v>#N/A</v>
      </c>
      <c r="AT397" s="1036">
        <f t="shared" si="26"/>
        <v>0</v>
      </c>
      <c r="AU397" s="599">
        <f t="shared" si="26"/>
        <v>0</v>
      </c>
      <c r="AV397" s="1030">
        <f>IFERROR(INDEX(V397:AG397,1,MATCH(Parametres!$B$3,V$1:AG$1,0)-1)*IF(OR(C397="L",C397="S",C397="I"),-1,1),"")</f>
        <v>0</v>
      </c>
      <c r="AW397" s="1030">
        <f t="shared" si="27"/>
        <v>0</v>
      </c>
      <c r="AX397" s="1030">
        <f>INDEX(V397:AG397,1,MATCH(Parametres!$B$3,V$1:AG$1,0))*IF(OR(C397="L",C397="S",C397="I"),-1,1)</f>
        <v>0</v>
      </c>
      <c r="AY397" s="598" t="s">
        <v>337</v>
      </c>
      <c r="AZ397" s="598" t="e">
        <f>+VLOOKUP($AJ397,Data_Validation!$A:$E,5,0)</f>
        <v>#N/A</v>
      </c>
    </row>
    <row r="398" spans="36:52" ht="15.75" customHeight="1">
      <c r="AJ398" s="1030">
        <f t="shared" si="24"/>
        <v>0</v>
      </c>
      <c r="AK398" s="1030">
        <f t="shared" si="24"/>
        <v>0</v>
      </c>
      <c r="AL398" s="1030">
        <f>IFERROR(INDEX(G398:R398,1,MATCH(Parametres!$B$3,G$1:R$1,0)-1)*IF(OR(F398="L",F398="S",F398="I"),-1,1),"")</f>
        <v>0</v>
      </c>
      <c r="AM398" s="1030">
        <f t="shared" si="25"/>
        <v>0</v>
      </c>
      <c r="AN398" s="1030">
        <f>INDEX(G398:R398,1,MATCH(Parametres!$B$3,G$1:R$1,0))*IF(OR(F398="L",F398="S",F398="I"),-1,1)</f>
        <v>0</v>
      </c>
      <c r="AO398" s="598" t="e">
        <f>+VLOOKUP($AJ398,Data_Validation!$A:$D,1,0)</f>
        <v>#N/A</v>
      </c>
      <c r="AP398" s="598" t="e">
        <f>+VLOOKUP($AJ398,Data_Validation!$A:$D,3,0)</f>
        <v>#N/A</v>
      </c>
      <c r="AQ398" s="598" t="e">
        <f>+VLOOKUP($AJ398,Data_Validation!$A:$D,4,0)</f>
        <v>#N/A</v>
      </c>
      <c r="AR398" s="598" t="s">
        <v>299</v>
      </c>
      <c r="AS398" s="598" t="e">
        <f>+VLOOKUP($AJ398,Data_Validation!$A:$E,5,0)</f>
        <v>#N/A</v>
      </c>
      <c r="AT398" s="1036">
        <f t="shared" si="26"/>
        <v>0</v>
      </c>
      <c r="AU398" s="599">
        <f t="shared" si="26"/>
        <v>0</v>
      </c>
      <c r="AV398" s="1030">
        <f>IFERROR(INDEX(V398:AG398,1,MATCH(Parametres!$B$3,V$1:AG$1,0)-1)*IF(OR(C398="L",C398="S",C398="I"),-1,1),"")</f>
        <v>0</v>
      </c>
      <c r="AW398" s="1030">
        <f t="shared" si="27"/>
        <v>0</v>
      </c>
      <c r="AX398" s="1030">
        <f>INDEX(V398:AG398,1,MATCH(Parametres!$B$3,V$1:AG$1,0))*IF(OR(C398="L",C398="S",C398="I"),-1,1)</f>
        <v>0</v>
      </c>
      <c r="AY398" s="598" t="s">
        <v>337</v>
      </c>
      <c r="AZ398" s="598" t="e">
        <f>+VLOOKUP($AJ398,Data_Validation!$A:$E,5,0)</f>
        <v>#N/A</v>
      </c>
    </row>
    <row r="399" spans="36:52" ht="15.75" customHeight="1">
      <c r="AJ399" s="1030">
        <f t="shared" si="24"/>
        <v>0</v>
      </c>
      <c r="AK399" s="1030">
        <f t="shared" si="24"/>
        <v>0</v>
      </c>
      <c r="AL399" s="1030">
        <f>IFERROR(INDEX(G399:R399,1,MATCH(Parametres!$B$3,G$1:R$1,0)-1)*IF(OR(F399="L",F399="S",F399="I"),-1,1),"")</f>
        <v>0</v>
      </c>
      <c r="AM399" s="1030">
        <f t="shared" si="25"/>
        <v>0</v>
      </c>
      <c r="AN399" s="1030">
        <f>INDEX(G399:R399,1,MATCH(Parametres!$B$3,G$1:R$1,0))*IF(OR(F399="L",F399="S",F399="I"),-1,1)</f>
        <v>0</v>
      </c>
      <c r="AO399" s="598" t="e">
        <f>+VLOOKUP($AJ399,Data_Validation!$A:$D,1,0)</f>
        <v>#N/A</v>
      </c>
      <c r="AP399" s="598" t="e">
        <f>+VLOOKUP($AJ399,Data_Validation!$A:$D,3,0)</f>
        <v>#N/A</v>
      </c>
      <c r="AQ399" s="598" t="e">
        <f>+VLOOKUP($AJ399,Data_Validation!$A:$D,4,0)</f>
        <v>#N/A</v>
      </c>
      <c r="AR399" s="598" t="s">
        <v>299</v>
      </c>
      <c r="AS399" s="598" t="e">
        <f>+VLOOKUP($AJ399,Data_Validation!$A:$E,5,0)</f>
        <v>#N/A</v>
      </c>
      <c r="AT399" s="1036">
        <f t="shared" si="26"/>
        <v>0</v>
      </c>
      <c r="AU399" s="599">
        <f t="shared" si="26"/>
        <v>0</v>
      </c>
      <c r="AV399" s="1030">
        <f>IFERROR(INDEX(V399:AG399,1,MATCH(Parametres!$B$3,V$1:AG$1,0)-1)*IF(OR(C399="L",C399="S",C399="I"),-1,1),"")</f>
        <v>0</v>
      </c>
      <c r="AW399" s="1030">
        <f t="shared" si="27"/>
        <v>0</v>
      </c>
      <c r="AX399" s="1030">
        <f>INDEX(V399:AG399,1,MATCH(Parametres!$B$3,V$1:AG$1,0))*IF(OR(C399="L",C399="S",C399="I"),-1,1)</f>
        <v>0</v>
      </c>
      <c r="AY399" s="598" t="s">
        <v>337</v>
      </c>
      <c r="AZ399" s="598" t="e">
        <f>+VLOOKUP($AJ399,Data_Validation!$A:$E,5,0)</f>
        <v>#N/A</v>
      </c>
    </row>
    <row r="400" spans="36:52" ht="15.75" customHeight="1">
      <c r="AJ400" s="1030">
        <f t="shared" si="24"/>
        <v>0</v>
      </c>
      <c r="AK400" s="1030">
        <f t="shared" si="24"/>
        <v>0</v>
      </c>
      <c r="AL400" s="1030">
        <f>IFERROR(INDEX(G400:R400,1,MATCH(Parametres!$B$3,G$1:R$1,0)-1)*IF(OR(F400="L",F400="S",F400="I"),-1,1),"")</f>
        <v>0</v>
      </c>
      <c r="AM400" s="1030">
        <f t="shared" si="25"/>
        <v>0</v>
      </c>
      <c r="AN400" s="1030">
        <f>INDEX(G400:R400,1,MATCH(Parametres!$B$3,G$1:R$1,0))*IF(OR(F400="L",F400="S",F400="I"),-1,1)</f>
        <v>0</v>
      </c>
      <c r="AO400" s="598" t="e">
        <f>+VLOOKUP($AJ400,Data_Validation!$A:$D,1,0)</f>
        <v>#N/A</v>
      </c>
      <c r="AP400" s="598" t="e">
        <f>+VLOOKUP($AJ400,Data_Validation!$A:$D,3,0)</f>
        <v>#N/A</v>
      </c>
      <c r="AQ400" s="598" t="e">
        <f>+VLOOKUP($AJ400,Data_Validation!$A:$D,4,0)</f>
        <v>#N/A</v>
      </c>
      <c r="AR400" s="598" t="s">
        <v>299</v>
      </c>
      <c r="AS400" s="598" t="e">
        <f>+VLOOKUP($AJ400,Data_Validation!$A:$E,5,0)</f>
        <v>#N/A</v>
      </c>
      <c r="AT400" s="1036">
        <f t="shared" si="26"/>
        <v>0</v>
      </c>
      <c r="AU400" s="599">
        <f t="shared" si="26"/>
        <v>0</v>
      </c>
      <c r="AV400" s="1030">
        <f>IFERROR(INDEX(V400:AG400,1,MATCH(Parametres!$B$3,V$1:AG$1,0)-1)*IF(OR(C400="L",C400="S",C400="I"),-1,1),"")</f>
        <v>0</v>
      </c>
      <c r="AW400" s="1030">
        <f t="shared" si="27"/>
        <v>0</v>
      </c>
      <c r="AX400" s="1030">
        <f>INDEX(V400:AG400,1,MATCH(Parametres!$B$3,V$1:AG$1,0))*IF(OR(C400="L",C400="S",C400="I"),-1,1)</f>
        <v>0</v>
      </c>
      <c r="AY400" s="598" t="s">
        <v>337</v>
      </c>
      <c r="AZ400" s="598" t="e">
        <f>+VLOOKUP($AJ400,Data_Validation!$A:$E,5,0)</f>
        <v>#N/A</v>
      </c>
    </row>
    <row r="401" spans="36:52" ht="15.75" customHeight="1">
      <c r="AJ401" s="1030">
        <f t="shared" si="24"/>
        <v>0</v>
      </c>
      <c r="AK401" s="1030">
        <f t="shared" si="24"/>
        <v>0</v>
      </c>
      <c r="AL401" s="1030">
        <f>IFERROR(INDEX(G401:R401,1,MATCH(Parametres!$B$3,G$1:R$1,0)-1)*IF(OR(F401="L",F401="S",F401="I"),-1,1),"")</f>
        <v>0</v>
      </c>
      <c r="AM401" s="1030">
        <f t="shared" si="25"/>
        <v>0</v>
      </c>
      <c r="AN401" s="1030">
        <f>INDEX(G401:R401,1,MATCH(Parametres!$B$3,G$1:R$1,0))*IF(OR(F401="L",F401="S",F401="I"),-1,1)</f>
        <v>0</v>
      </c>
      <c r="AO401" s="598" t="e">
        <f>+VLOOKUP($AJ401,Data_Validation!$A:$D,1,0)</f>
        <v>#N/A</v>
      </c>
      <c r="AP401" s="598" t="e">
        <f>+VLOOKUP($AJ401,Data_Validation!$A:$D,3,0)</f>
        <v>#N/A</v>
      </c>
      <c r="AQ401" s="598" t="e">
        <f>+VLOOKUP($AJ401,Data_Validation!$A:$D,4,0)</f>
        <v>#N/A</v>
      </c>
      <c r="AR401" s="598" t="s">
        <v>299</v>
      </c>
      <c r="AS401" s="598" t="e">
        <f>+VLOOKUP($AJ401,Data_Validation!$A:$E,5,0)</f>
        <v>#N/A</v>
      </c>
      <c r="AT401" s="1036">
        <f t="shared" si="26"/>
        <v>0</v>
      </c>
      <c r="AU401" s="599">
        <f t="shared" si="26"/>
        <v>0</v>
      </c>
      <c r="AV401" s="1030">
        <f>IFERROR(INDEX(V401:AG401,1,MATCH(Parametres!$B$3,V$1:AG$1,0)-1)*IF(OR(C401="L",C401="S",C401="I"),-1,1),"")</f>
        <v>0</v>
      </c>
      <c r="AW401" s="1030">
        <f t="shared" si="27"/>
        <v>0</v>
      </c>
      <c r="AX401" s="1030">
        <f>INDEX(V401:AG401,1,MATCH(Parametres!$B$3,V$1:AG$1,0))*IF(OR(C401="L",C401="S",C401="I"),-1,1)</f>
        <v>0</v>
      </c>
      <c r="AY401" s="598" t="s">
        <v>337</v>
      </c>
      <c r="AZ401" s="598" t="e">
        <f>+VLOOKUP($AJ401,Data_Validation!$A:$E,5,0)</f>
        <v>#N/A</v>
      </c>
    </row>
    <row r="402" spans="36:52" ht="15.75" customHeight="1">
      <c r="AJ402" s="1030">
        <f t="shared" si="24"/>
        <v>0</v>
      </c>
      <c r="AK402" s="1030">
        <f t="shared" si="24"/>
        <v>0</v>
      </c>
      <c r="AL402" s="1030">
        <f>IFERROR(INDEX(G402:R402,1,MATCH(Parametres!$B$3,G$1:R$1,0)-1)*IF(OR(F402="L",F402="S",F402="I"),-1,1),"")</f>
        <v>0</v>
      </c>
      <c r="AM402" s="1030">
        <f t="shared" si="25"/>
        <v>0</v>
      </c>
      <c r="AN402" s="1030">
        <f>INDEX(G402:R402,1,MATCH(Parametres!$B$3,G$1:R$1,0))*IF(OR(F402="L",F402="S",F402="I"),-1,1)</f>
        <v>0</v>
      </c>
      <c r="AO402" s="598" t="e">
        <f>+VLOOKUP($AJ402,Data_Validation!$A:$D,1,0)</f>
        <v>#N/A</v>
      </c>
      <c r="AP402" s="598" t="e">
        <f>+VLOOKUP($AJ402,Data_Validation!$A:$D,3,0)</f>
        <v>#N/A</v>
      </c>
      <c r="AQ402" s="598" t="e">
        <f>+VLOOKUP($AJ402,Data_Validation!$A:$D,4,0)</f>
        <v>#N/A</v>
      </c>
      <c r="AR402" s="598" t="s">
        <v>299</v>
      </c>
      <c r="AS402" s="598" t="e">
        <f>+VLOOKUP($AJ402,Data_Validation!$A:$E,5,0)</f>
        <v>#N/A</v>
      </c>
      <c r="AT402" s="1036">
        <f t="shared" si="26"/>
        <v>0</v>
      </c>
      <c r="AU402" s="599">
        <f t="shared" si="26"/>
        <v>0</v>
      </c>
      <c r="AV402" s="1030">
        <f>IFERROR(INDEX(V402:AG402,1,MATCH(Parametres!$B$3,V$1:AG$1,0)-1)*IF(OR(C402="L",C402="S",C402="I"),-1,1),"")</f>
        <v>0</v>
      </c>
      <c r="AW402" s="1030">
        <f t="shared" si="27"/>
        <v>0</v>
      </c>
      <c r="AX402" s="1030">
        <f>INDEX(V402:AG402,1,MATCH(Parametres!$B$3,V$1:AG$1,0))*IF(OR(C402="L",C402="S",C402="I"),-1,1)</f>
        <v>0</v>
      </c>
      <c r="AY402" s="598" t="s">
        <v>337</v>
      </c>
      <c r="AZ402" s="598" t="e">
        <f>+VLOOKUP($AJ402,Data_Validation!$A:$E,5,0)</f>
        <v>#N/A</v>
      </c>
    </row>
    <row r="403" spans="36:52" ht="15.75" customHeight="1">
      <c r="AJ403" s="1030">
        <f t="shared" si="24"/>
        <v>0</v>
      </c>
      <c r="AK403" s="1030">
        <f t="shared" si="24"/>
        <v>0</v>
      </c>
      <c r="AL403" s="1030">
        <f>IFERROR(INDEX(G403:R403,1,MATCH(Parametres!$B$3,G$1:R$1,0)-1)*IF(OR(F403="L",F403="S",F403="I"),-1,1),"")</f>
        <v>0</v>
      </c>
      <c r="AM403" s="1030">
        <f t="shared" si="25"/>
        <v>0</v>
      </c>
      <c r="AN403" s="1030">
        <f>INDEX(G403:R403,1,MATCH(Parametres!$B$3,G$1:R$1,0))*IF(OR(F403="L",F403="S",F403="I"),-1,1)</f>
        <v>0</v>
      </c>
      <c r="AO403" s="598" t="e">
        <f>+VLOOKUP($AJ403,Data_Validation!$A:$D,1,0)</f>
        <v>#N/A</v>
      </c>
      <c r="AP403" s="598" t="e">
        <f>+VLOOKUP($AJ403,Data_Validation!$A:$D,3,0)</f>
        <v>#N/A</v>
      </c>
      <c r="AQ403" s="598" t="e">
        <f>+VLOOKUP($AJ403,Data_Validation!$A:$D,4,0)</f>
        <v>#N/A</v>
      </c>
      <c r="AR403" s="598" t="s">
        <v>299</v>
      </c>
      <c r="AS403" s="598" t="e">
        <f>+VLOOKUP($AJ403,Data_Validation!$A:$E,5,0)</f>
        <v>#N/A</v>
      </c>
      <c r="AT403" s="1036">
        <f t="shared" si="26"/>
        <v>0</v>
      </c>
      <c r="AU403" s="599">
        <f t="shared" si="26"/>
        <v>0</v>
      </c>
      <c r="AV403" s="1030">
        <f>IFERROR(INDEX(V403:AG403,1,MATCH(Parametres!$B$3,V$1:AG$1,0)-1)*IF(OR(C403="L",C403="S",C403="I"),-1,1),"")</f>
        <v>0</v>
      </c>
      <c r="AW403" s="1030">
        <f t="shared" si="27"/>
        <v>0</v>
      </c>
      <c r="AX403" s="1030">
        <f>INDEX(V403:AG403,1,MATCH(Parametres!$B$3,V$1:AG$1,0))*IF(OR(C403="L",C403="S",C403="I"),-1,1)</f>
        <v>0</v>
      </c>
      <c r="AY403" s="598" t="s">
        <v>337</v>
      </c>
      <c r="AZ403" s="598" t="e">
        <f>+VLOOKUP($AJ403,Data_Validation!$A:$E,5,0)</f>
        <v>#N/A</v>
      </c>
    </row>
    <row r="404" spans="36:52" ht="15.75" customHeight="1">
      <c r="AJ404" s="1030">
        <f t="shared" si="24"/>
        <v>0</v>
      </c>
      <c r="AK404" s="1030">
        <f t="shared" si="24"/>
        <v>0</v>
      </c>
      <c r="AL404" s="1030">
        <f>IFERROR(INDEX(G404:R404,1,MATCH(Parametres!$B$3,G$1:R$1,0)-1)*IF(OR(F404="L",F404="S",F404="I"),-1,1),"")</f>
        <v>0</v>
      </c>
      <c r="AM404" s="1030">
        <f t="shared" si="25"/>
        <v>0</v>
      </c>
      <c r="AN404" s="1030">
        <f>INDEX(G404:R404,1,MATCH(Parametres!$B$3,G$1:R$1,0))*IF(OR(F404="L",F404="S",F404="I"),-1,1)</f>
        <v>0</v>
      </c>
      <c r="AO404" s="598" t="e">
        <f>+VLOOKUP($AJ404,Data_Validation!$A:$D,1,0)</f>
        <v>#N/A</v>
      </c>
      <c r="AP404" s="598" t="e">
        <f>+VLOOKUP($AJ404,Data_Validation!$A:$D,3,0)</f>
        <v>#N/A</v>
      </c>
      <c r="AQ404" s="598" t="e">
        <f>+VLOOKUP($AJ404,Data_Validation!$A:$D,4,0)</f>
        <v>#N/A</v>
      </c>
      <c r="AR404" s="598" t="s">
        <v>299</v>
      </c>
      <c r="AS404" s="598" t="e">
        <f>+VLOOKUP($AJ404,Data_Validation!$A:$E,5,0)</f>
        <v>#N/A</v>
      </c>
      <c r="AT404" s="1036">
        <f t="shared" si="26"/>
        <v>0</v>
      </c>
      <c r="AU404" s="599">
        <f t="shared" si="26"/>
        <v>0</v>
      </c>
      <c r="AV404" s="1030">
        <f>IFERROR(INDEX(V404:AG404,1,MATCH(Parametres!$B$3,V$1:AG$1,0)-1)*IF(OR(C404="L",C404="S",C404="I"),-1,1),"")</f>
        <v>0</v>
      </c>
      <c r="AW404" s="1030">
        <f t="shared" si="27"/>
        <v>0</v>
      </c>
      <c r="AX404" s="1030">
        <f>INDEX(V404:AG404,1,MATCH(Parametres!$B$3,V$1:AG$1,0))*IF(OR(C404="L",C404="S",C404="I"),-1,1)</f>
        <v>0</v>
      </c>
      <c r="AY404" s="598" t="s">
        <v>337</v>
      </c>
      <c r="AZ404" s="598" t="e">
        <f>+VLOOKUP($AJ404,Data_Validation!$A:$E,5,0)</f>
        <v>#N/A</v>
      </c>
    </row>
    <row r="405" spans="36:52" ht="15.75" customHeight="1">
      <c r="AJ405" s="1030">
        <f t="shared" si="24"/>
        <v>0</v>
      </c>
      <c r="AK405" s="1030">
        <f t="shared" si="24"/>
        <v>0</v>
      </c>
      <c r="AL405" s="1030">
        <f>IFERROR(INDEX(G405:R405,1,MATCH(Parametres!$B$3,G$1:R$1,0)-1)*IF(OR(F405="L",F405="S",F405="I"),-1,1),"")</f>
        <v>0</v>
      </c>
      <c r="AM405" s="1030">
        <f t="shared" si="25"/>
        <v>0</v>
      </c>
      <c r="AN405" s="1030">
        <f>INDEX(G405:R405,1,MATCH(Parametres!$B$3,G$1:R$1,0))*IF(OR(F405="L",F405="S",F405="I"),-1,1)</f>
        <v>0</v>
      </c>
      <c r="AO405" s="598" t="e">
        <f>+VLOOKUP($AJ405,Data_Validation!$A:$D,1,0)</f>
        <v>#N/A</v>
      </c>
      <c r="AP405" s="598" t="e">
        <f>+VLOOKUP($AJ405,Data_Validation!$A:$D,3,0)</f>
        <v>#N/A</v>
      </c>
      <c r="AQ405" s="598" t="e">
        <f>+VLOOKUP($AJ405,Data_Validation!$A:$D,4,0)</f>
        <v>#N/A</v>
      </c>
      <c r="AR405" s="598" t="s">
        <v>299</v>
      </c>
      <c r="AS405" s="598" t="e">
        <f>+VLOOKUP($AJ405,Data_Validation!$A:$E,5,0)</f>
        <v>#N/A</v>
      </c>
      <c r="AT405" s="1036">
        <f t="shared" si="26"/>
        <v>0</v>
      </c>
      <c r="AU405" s="599">
        <f t="shared" si="26"/>
        <v>0</v>
      </c>
      <c r="AV405" s="1030">
        <f>IFERROR(INDEX(V405:AG405,1,MATCH(Parametres!$B$3,V$1:AG$1,0)-1)*IF(OR(C405="L",C405="S",C405="I"),-1,1),"")</f>
        <v>0</v>
      </c>
      <c r="AW405" s="1030">
        <f t="shared" si="27"/>
        <v>0</v>
      </c>
      <c r="AX405" s="1030">
        <f>INDEX(V405:AG405,1,MATCH(Parametres!$B$3,V$1:AG$1,0))*IF(OR(C405="L",C405="S",C405="I"),-1,1)</f>
        <v>0</v>
      </c>
      <c r="AY405" s="598" t="s">
        <v>337</v>
      </c>
      <c r="AZ405" s="598" t="e">
        <f>+VLOOKUP($AJ405,Data_Validation!$A:$E,5,0)</f>
        <v>#N/A</v>
      </c>
    </row>
    <row r="406" spans="36:52" ht="15.75" customHeight="1">
      <c r="AJ406" s="1030">
        <f t="shared" si="24"/>
        <v>0</v>
      </c>
      <c r="AK406" s="1030">
        <f t="shared" si="24"/>
        <v>0</v>
      </c>
      <c r="AL406" s="1030">
        <f>IFERROR(INDEX(G406:R406,1,MATCH(Parametres!$B$3,G$1:R$1,0)-1)*IF(OR(F406="L",F406="S",F406="I"),-1,1),"")</f>
        <v>0</v>
      </c>
      <c r="AM406" s="1030">
        <f t="shared" si="25"/>
        <v>0</v>
      </c>
      <c r="AN406" s="1030">
        <f>INDEX(G406:R406,1,MATCH(Parametres!$B$3,G$1:R$1,0))*IF(OR(F406="L",F406="S",F406="I"),-1,1)</f>
        <v>0</v>
      </c>
      <c r="AO406" s="598" t="e">
        <f>+VLOOKUP($AJ406,Data_Validation!$A:$D,1,0)</f>
        <v>#N/A</v>
      </c>
      <c r="AP406" s="598" t="e">
        <f>+VLOOKUP($AJ406,Data_Validation!$A:$D,3,0)</f>
        <v>#N/A</v>
      </c>
      <c r="AQ406" s="598" t="e">
        <f>+VLOOKUP($AJ406,Data_Validation!$A:$D,4,0)</f>
        <v>#N/A</v>
      </c>
      <c r="AR406" s="598" t="s">
        <v>299</v>
      </c>
      <c r="AS406" s="598" t="e">
        <f>+VLOOKUP($AJ406,Data_Validation!$A:$E,5,0)</f>
        <v>#N/A</v>
      </c>
      <c r="AT406" s="1036">
        <f t="shared" si="26"/>
        <v>0</v>
      </c>
      <c r="AU406" s="599">
        <f t="shared" si="26"/>
        <v>0</v>
      </c>
      <c r="AV406" s="1030">
        <f>IFERROR(INDEX(V406:AG406,1,MATCH(Parametres!$B$3,V$1:AG$1,0)-1)*IF(OR(C406="L",C406="S",C406="I"),-1,1),"")</f>
        <v>0</v>
      </c>
      <c r="AW406" s="1030">
        <f t="shared" si="27"/>
        <v>0</v>
      </c>
      <c r="AX406" s="1030">
        <f>INDEX(V406:AG406,1,MATCH(Parametres!$B$3,V$1:AG$1,0))*IF(OR(C406="L",C406="S",C406="I"),-1,1)</f>
        <v>0</v>
      </c>
      <c r="AY406" s="598" t="s">
        <v>337</v>
      </c>
      <c r="AZ406" s="598" t="e">
        <f>+VLOOKUP($AJ406,Data_Validation!$A:$E,5,0)</f>
        <v>#N/A</v>
      </c>
    </row>
    <row r="407" spans="36:52" ht="15.75" customHeight="1">
      <c r="AJ407" s="1030">
        <f t="shared" si="24"/>
        <v>0</v>
      </c>
      <c r="AK407" s="1030">
        <f t="shared" si="24"/>
        <v>0</v>
      </c>
      <c r="AL407" s="1030">
        <f>IFERROR(INDEX(G407:R407,1,MATCH(Parametres!$B$3,G$1:R$1,0)-1)*IF(OR(F407="L",F407="S",F407="I"),-1,1),"")</f>
        <v>0</v>
      </c>
      <c r="AM407" s="1030">
        <f t="shared" si="25"/>
        <v>0</v>
      </c>
      <c r="AN407" s="1030">
        <f>INDEX(G407:R407,1,MATCH(Parametres!$B$3,G$1:R$1,0))*IF(OR(F407="L",F407="S",F407="I"),-1,1)</f>
        <v>0</v>
      </c>
      <c r="AO407" s="598" t="e">
        <f>+VLOOKUP($AJ407,Data_Validation!$A:$D,1,0)</f>
        <v>#N/A</v>
      </c>
      <c r="AP407" s="598" t="e">
        <f>+VLOOKUP($AJ407,Data_Validation!$A:$D,3,0)</f>
        <v>#N/A</v>
      </c>
      <c r="AQ407" s="598" t="e">
        <f>+VLOOKUP($AJ407,Data_Validation!$A:$D,4,0)</f>
        <v>#N/A</v>
      </c>
      <c r="AR407" s="598" t="s">
        <v>299</v>
      </c>
      <c r="AS407" s="598" t="e">
        <f>+VLOOKUP($AJ407,Data_Validation!$A:$E,5,0)</f>
        <v>#N/A</v>
      </c>
      <c r="AT407" s="1036">
        <f t="shared" si="26"/>
        <v>0</v>
      </c>
      <c r="AU407" s="599">
        <f t="shared" si="26"/>
        <v>0</v>
      </c>
      <c r="AV407" s="1030">
        <f>IFERROR(INDEX(V407:AG407,1,MATCH(Parametres!$B$3,V$1:AG$1,0)-1)*IF(OR(C407="L",C407="S",C407="I"),-1,1),"")</f>
        <v>0</v>
      </c>
      <c r="AW407" s="1030">
        <f t="shared" si="27"/>
        <v>0</v>
      </c>
      <c r="AX407" s="1030">
        <f>INDEX(V407:AG407,1,MATCH(Parametres!$B$3,V$1:AG$1,0))*IF(OR(C407="L",C407="S",C407="I"),-1,1)</f>
        <v>0</v>
      </c>
      <c r="AY407" s="598" t="s">
        <v>337</v>
      </c>
      <c r="AZ407" s="598" t="e">
        <f>+VLOOKUP($AJ407,Data_Validation!$A:$E,5,0)</f>
        <v>#N/A</v>
      </c>
    </row>
    <row r="408" spans="36:52" ht="15.75" customHeight="1">
      <c r="AJ408" s="1030">
        <f t="shared" si="24"/>
        <v>0</v>
      </c>
      <c r="AK408" s="1030">
        <f t="shared" si="24"/>
        <v>0</v>
      </c>
      <c r="AL408" s="1030">
        <f>IFERROR(INDEX(G408:R408,1,MATCH(Parametres!$B$3,G$1:R$1,0)-1)*IF(OR(F408="L",F408="S",F408="I"),-1,1),"")</f>
        <v>0</v>
      </c>
      <c r="AM408" s="1030">
        <f t="shared" si="25"/>
        <v>0</v>
      </c>
      <c r="AN408" s="1030">
        <f>INDEX(G408:R408,1,MATCH(Parametres!$B$3,G$1:R$1,0))*IF(OR(F408="L",F408="S",F408="I"),-1,1)</f>
        <v>0</v>
      </c>
      <c r="AO408" s="598" t="e">
        <f>+VLOOKUP($AJ408,Data_Validation!$A:$D,1,0)</f>
        <v>#N/A</v>
      </c>
      <c r="AP408" s="598" t="e">
        <f>+VLOOKUP($AJ408,Data_Validation!$A:$D,3,0)</f>
        <v>#N/A</v>
      </c>
      <c r="AQ408" s="598" t="e">
        <f>+VLOOKUP($AJ408,Data_Validation!$A:$D,4,0)</f>
        <v>#N/A</v>
      </c>
      <c r="AR408" s="598" t="s">
        <v>299</v>
      </c>
      <c r="AS408" s="598" t="e">
        <f>+VLOOKUP($AJ408,Data_Validation!$A:$E,5,0)</f>
        <v>#N/A</v>
      </c>
      <c r="AT408" s="1036">
        <f t="shared" si="26"/>
        <v>0</v>
      </c>
      <c r="AU408" s="599">
        <f t="shared" si="26"/>
        <v>0</v>
      </c>
      <c r="AV408" s="1030">
        <f>IFERROR(INDEX(V408:AG408,1,MATCH(Parametres!$B$3,V$1:AG$1,0)-1)*IF(OR(C408="L",C408="S",C408="I"),-1,1),"")</f>
        <v>0</v>
      </c>
      <c r="AW408" s="1030">
        <f t="shared" si="27"/>
        <v>0</v>
      </c>
      <c r="AX408" s="1030">
        <f>INDEX(V408:AG408,1,MATCH(Parametres!$B$3,V$1:AG$1,0))*IF(OR(C408="L",C408="S",C408="I"),-1,1)</f>
        <v>0</v>
      </c>
      <c r="AY408" s="598" t="s">
        <v>337</v>
      </c>
      <c r="AZ408" s="598" t="e">
        <f>+VLOOKUP($AJ408,Data_Validation!$A:$E,5,0)</f>
        <v>#N/A</v>
      </c>
    </row>
    <row r="409" spans="36:52" ht="15.75" customHeight="1">
      <c r="AJ409" s="1030">
        <f t="shared" si="24"/>
        <v>0</v>
      </c>
      <c r="AK409" s="1030">
        <f t="shared" si="24"/>
        <v>0</v>
      </c>
      <c r="AL409" s="1030">
        <f>IFERROR(INDEX(G409:R409,1,MATCH(Parametres!$B$3,G$1:R$1,0)-1)*IF(OR(F409="L",F409="S",F409="I"),-1,1),"")</f>
        <v>0</v>
      </c>
      <c r="AM409" s="1030">
        <f t="shared" si="25"/>
        <v>0</v>
      </c>
      <c r="AN409" s="1030">
        <f>INDEX(G409:R409,1,MATCH(Parametres!$B$3,G$1:R$1,0))*IF(OR(F409="L",F409="S",F409="I"),-1,1)</f>
        <v>0</v>
      </c>
      <c r="AO409" s="598" t="e">
        <f>+VLOOKUP($AJ409,Data_Validation!$A:$D,1,0)</f>
        <v>#N/A</v>
      </c>
      <c r="AP409" s="598" t="e">
        <f>+VLOOKUP($AJ409,Data_Validation!$A:$D,3,0)</f>
        <v>#N/A</v>
      </c>
      <c r="AQ409" s="598" t="e">
        <f>+VLOOKUP($AJ409,Data_Validation!$A:$D,4,0)</f>
        <v>#N/A</v>
      </c>
      <c r="AR409" s="598" t="s">
        <v>299</v>
      </c>
      <c r="AS409" s="598" t="e">
        <f>+VLOOKUP($AJ409,Data_Validation!$A:$E,5,0)</f>
        <v>#N/A</v>
      </c>
      <c r="AT409" s="1036">
        <f t="shared" si="26"/>
        <v>0</v>
      </c>
      <c r="AU409" s="599">
        <f t="shared" si="26"/>
        <v>0</v>
      </c>
      <c r="AV409" s="1030">
        <f>IFERROR(INDEX(V409:AG409,1,MATCH(Parametres!$B$3,V$1:AG$1,0)-1)*IF(OR(C409="L",C409="S",C409="I"),-1,1),"")</f>
        <v>0</v>
      </c>
      <c r="AW409" s="1030">
        <f t="shared" si="27"/>
        <v>0</v>
      </c>
      <c r="AX409" s="1030">
        <f>INDEX(V409:AG409,1,MATCH(Parametres!$B$3,V$1:AG$1,0))*IF(OR(C409="L",C409="S",C409="I"),-1,1)</f>
        <v>0</v>
      </c>
      <c r="AY409" s="598" t="s">
        <v>337</v>
      </c>
      <c r="AZ409" s="598" t="e">
        <f>+VLOOKUP($AJ409,Data_Validation!$A:$E,5,0)</f>
        <v>#N/A</v>
      </c>
    </row>
    <row r="410" spans="36:52" ht="15.75" customHeight="1">
      <c r="AJ410" s="1030">
        <f t="shared" si="24"/>
        <v>0</v>
      </c>
      <c r="AK410" s="1030">
        <f t="shared" si="24"/>
        <v>0</v>
      </c>
      <c r="AL410" s="1030">
        <f>IFERROR(INDEX(G410:R410,1,MATCH(Parametres!$B$3,G$1:R$1,0)-1)*IF(OR(F410="L",F410="S",F410="I"),-1,1),"")</f>
        <v>0</v>
      </c>
      <c r="AM410" s="1030">
        <f t="shared" si="25"/>
        <v>0</v>
      </c>
      <c r="AN410" s="1030">
        <f>INDEX(G410:R410,1,MATCH(Parametres!$B$3,G$1:R$1,0))*IF(OR(F410="L",F410="S",F410="I"),-1,1)</f>
        <v>0</v>
      </c>
      <c r="AO410" s="598" t="e">
        <f>+VLOOKUP($AJ410,Data_Validation!$A:$D,1,0)</f>
        <v>#N/A</v>
      </c>
      <c r="AP410" s="598" t="e">
        <f>+VLOOKUP($AJ410,Data_Validation!$A:$D,3,0)</f>
        <v>#N/A</v>
      </c>
      <c r="AQ410" s="598" t="e">
        <f>+VLOOKUP($AJ410,Data_Validation!$A:$D,4,0)</f>
        <v>#N/A</v>
      </c>
      <c r="AR410" s="598" t="s">
        <v>299</v>
      </c>
      <c r="AS410" s="598" t="e">
        <f>+VLOOKUP($AJ410,Data_Validation!$A:$E,5,0)</f>
        <v>#N/A</v>
      </c>
      <c r="AT410" s="1036">
        <f t="shared" si="26"/>
        <v>0</v>
      </c>
      <c r="AU410" s="599">
        <f t="shared" si="26"/>
        <v>0</v>
      </c>
      <c r="AV410" s="1030">
        <f>IFERROR(INDEX(V410:AG410,1,MATCH(Parametres!$B$3,V$1:AG$1,0)-1)*IF(OR(C410="L",C410="S",C410="I"),-1,1),"")</f>
        <v>0</v>
      </c>
      <c r="AW410" s="1030">
        <f t="shared" si="27"/>
        <v>0</v>
      </c>
      <c r="AX410" s="1030">
        <f>INDEX(V410:AG410,1,MATCH(Parametres!$B$3,V$1:AG$1,0))*IF(OR(C410="L",C410="S",C410="I"),-1,1)</f>
        <v>0</v>
      </c>
      <c r="AY410" s="598" t="s">
        <v>337</v>
      </c>
      <c r="AZ410" s="598" t="e">
        <f>+VLOOKUP($AJ410,Data_Validation!$A:$E,5,0)</f>
        <v>#N/A</v>
      </c>
    </row>
    <row r="411" spans="36:52" ht="15.75" customHeight="1">
      <c r="AJ411" s="1030">
        <f t="shared" si="24"/>
        <v>0</v>
      </c>
      <c r="AK411" s="1030">
        <f t="shared" si="24"/>
        <v>0</v>
      </c>
      <c r="AL411" s="1030">
        <f>IFERROR(INDEX(G411:R411,1,MATCH(Parametres!$B$3,G$1:R$1,0)-1)*IF(OR(F411="L",F411="S",F411="I"),-1,1),"")</f>
        <v>0</v>
      </c>
      <c r="AM411" s="1030">
        <f t="shared" si="25"/>
        <v>0</v>
      </c>
      <c r="AN411" s="1030">
        <f>INDEX(G411:R411,1,MATCH(Parametres!$B$3,G$1:R$1,0))*IF(OR(F411="L",F411="S",F411="I"),-1,1)</f>
        <v>0</v>
      </c>
      <c r="AO411" s="598" t="e">
        <f>+VLOOKUP($AJ411,Data_Validation!$A:$D,1,0)</f>
        <v>#N/A</v>
      </c>
      <c r="AP411" s="598" t="e">
        <f>+VLOOKUP($AJ411,Data_Validation!$A:$D,3,0)</f>
        <v>#N/A</v>
      </c>
      <c r="AQ411" s="598" t="e">
        <f>+VLOOKUP($AJ411,Data_Validation!$A:$D,4,0)</f>
        <v>#N/A</v>
      </c>
      <c r="AR411" s="598" t="s">
        <v>299</v>
      </c>
      <c r="AS411" s="598" t="e">
        <f>+VLOOKUP($AJ411,Data_Validation!$A:$E,5,0)</f>
        <v>#N/A</v>
      </c>
      <c r="AT411" s="1036">
        <f t="shared" si="26"/>
        <v>0</v>
      </c>
      <c r="AU411" s="599">
        <f t="shared" si="26"/>
        <v>0</v>
      </c>
      <c r="AV411" s="1030">
        <f>IFERROR(INDEX(V411:AG411,1,MATCH(Parametres!$B$3,V$1:AG$1,0)-1)*IF(OR(C411="L",C411="S",C411="I"),-1,1),"")</f>
        <v>0</v>
      </c>
      <c r="AW411" s="1030">
        <f t="shared" si="27"/>
        <v>0</v>
      </c>
      <c r="AX411" s="1030">
        <f>INDEX(V411:AG411,1,MATCH(Parametres!$B$3,V$1:AG$1,0))*IF(OR(C411="L",C411="S",C411="I"),-1,1)</f>
        <v>0</v>
      </c>
      <c r="AY411" s="598" t="s">
        <v>337</v>
      </c>
      <c r="AZ411" s="598" t="e">
        <f>+VLOOKUP($AJ411,Data_Validation!$A:$E,5,0)</f>
        <v>#N/A</v>
      </c>
    </row>
    <row r="412" spans="36:52" ht="15.75" customHeight="1">
      <c r="AJ412" s="1030">
        <f t="shared" si="24"/>
        <v>0</v>
      </c>
      <c r="AK412" s="1030">
        <f t="shared" si="24"/>
        <v>0</v>
      </c>
      <c r="AL412" s="1030">
        <f>IFERROR(INDEX(G412:R412,1,MATCH(Parametres!$B$3,G$1:R$1,0)-1)*IF(OR(F412="L",F412="S",F412="I"),-1,1),"")</f>
        <v>0</v>
      </c>
      <c r="AM412" s="1030">
        <f t="shared" si="25"/>
        <v>0</v>
      </c>
      <c r="AN412" s="1030">
        <f>INDEX(G412:R412,1,MATCH(Parametres!$B$3,G$1:R$1,0))*IF(OR(F412="L",F412="S",F412="I"),-1,1)</f>
        <v>0</v>
      </c>
      <c r="AO412" s="598" t="e">
        <f>+VLOOKUP($AJ412,Data_Validation!$A:$D,1,0)</f>
        <v>#N/A</v>
      </c>
      <c r="AP412" s="598" t="e">
        <f>+VLOOKUP($AJ412,Data_Validation!$A:$D,3,0)</f>
        <v>#N/A</v>
      </c>
      <c r="AQ412" s="598" t="e">
        <f>+VLOOKUP($AJ412,Data_Validation!$A:$D,4,0)</f>
        <v>#N/A</v>
      </c>
      <c r="AR412" s="598" t="s">
        <v>299</v>
      </c>
      <c r="AS412" s="598" t="e">
        <f>+VLOOKUP($AJ412,Data_Validation!$A:$E,5,0)</f>
        <v>#N/A</v>
      </c>
      <c r="AT412" s="1036">
        <f t="shared" si="26"/>
        <v>0</v>
      </c>
      <c r="AU412" s="599">
        <f t="shared" si="26"/>
        <v>0</v>
      </c>
      <c r="AV412" s="1030">
        <f>IFERROR(INDEX(V412:AG412,1,MATCH(Parametres!$B$3,V$1:AG$1,0)-1)*IF(OR(C412="L",C412="S",C412="I"),-1,1),"")</f>
        <v>0</v>
      </c>
      <c r="AW412" s="1030">
        <f t="shared" si="27"/>
        <v>0</v>
      </c>
      <c r="AX412" s="1030">
        <f>INDEX(V412:AG412,1,MATCH(Parametres!$B$3,V$1:AG$1,0))*IF(OR(C412="L",C412="S",C412="I"),-1,1)</f>
        <v>0</v>
      </c>
      <c r="AY412" s="598" t="s">
        <v>337</v>
      </c>
      <c r="AZ412" s="598" t="e">
        <f>+VLOOKUP($AJ412,Data_Validation!$A:$E,5,0)</f>
        <v>#N/A</v>
      </c>
    </row>
    <row r="413" spans="36:52" ht="15.75" customHeight="1">
      <c r="AJ413" s="1030">
        <f t="shared" si="24"/>
        <v>0</v>
      </c>
      <c r="AK413" s="1030">
        <f t="shared" si="24"/>
        <v>0</v>
      </c>
      <c r="AL413" s="1030">
        <f>IFERROR(INDEX(G413:R413,1,MATCH(Parametres!$B$3,G$1:R$1,0)-1)*IF(OR(F413="L",F413="S",F413="I"),-1,1),"")</f>
        <v>0</v>
      </c>
      <c r="AM413" s="1030">
        <f t="shared" si="25"/>
        <v>0</v>
      </c>
      <c r="AN413" s="1030">
        <f>INDEX(G413:R413,1,MATCH(Parametres!$B$3,G$1:R$1,0))*IF(OR(F413="L",F413="S",F413="I"),-1,1)</f>
        <v>0</v>
      </c>
      <c r="AO413" s="598" t="e">
        <f>+VLOOKUP($AJ413,Data_Validation!$A:$D,1,0)</f>
        <v>#N/A</v>
      </c>
      <c r="AP413" s="598" t="e">
        <f>+VLOOKUP($AJ413,Data_Validation!$A:$D,3,0)</f>
        <v>#N/A</v>
      </c>
      <c r="AQ413" s="598" t="e">
        <f>+VLOOKUP($AJ413,Data_Validation!$A:$D,4,0)</f>
        <v>#N/A</v>
      </c>
      <c r="AR413" s="598" t="s">
        <v>299</v>
      </c>
      <c r="AS413" s="598" t="e">
        <f>+VLOOKUP($AJ413,Data_Validation!$A:$E,5,0)</f>
        <v>#N/A</v>
      </c>
      <c r="AT413" s="1036">
        <f t="shared" si="26"/>
        <v>0</v>
      </c>
      <c r="AU413" s="599">
        <f t="shared" si="26"/>
        <v>0</v>
      </c>
      <c r="AV413" s="1030">
        <f>IFERROR(INDEX(V413:AG413,1,MATCH(Parametres!$B$3,V$1:AG$1,0)-1)*IF(OR(C413="L",C413="S",C413="I"),-1,1),"")</f>
        <v>0</v>
      </c>
      <c r="AW413" s="1030">
        <f t="shared" si="27"/>
        <v>0</v>
      </c>
      <c r="AX413" s="1030">
        <f>INDEX(V413:AG413,1,MATCH(Parametres!$B$3,V$1:AG$1,0))*IF(OR(C413="L",C413="S",C413="I"),-1,1)</f>
        <v>0</v>
      </c>
      <c r="AY413" s="598" t="s">
        <v>337</v>
      </c>
      <c r="AZ413" s="598" t="e">
        <f>+VLOOKUP($AJ413,Data_Validation!$A:$E,5,0)</f>
        <v>#N/A</v>
      </c>
    </row>
    <row r="414" spans="36:52" ht="15.75" customHeight="1">
      <c r="AJ414" s="1030">
        <f t="shared" si="24"/>
        <v>0</v>
      </c>
      <c r="AK414" s="1030">
        <f t="shared" si="24"/>
        <v>0</v>
      </c>
      <c r="AL414" s="1030">
        <f>IFERROR(INDEX(G414:R414,1,MATCH(Parametres!$B$3,G$1:R$1,0)-1)*IF(OR(F414="L",F414="S",F414="I"),-1,1),"")</f>
        <v>0</v>
      </c>
      <c r="AM414" s="1030">
        <f t="shared" si="25"/>
        <v>0</v>
      </c>
      <c r="AN414" s="1030">
        <f>INDEX(G414:R414,1,MATCH(Parametres!$B$3,G$1:R$1,0))*IF(OR(F414="L",F414="S",F414="I"),-1,1)</f>
        <v>0</v>
      </c>
      <c r="AO414" s="598" t="e">
        <f>+VLOOKUP($AJ414,Data_Validation!$A:$D,1,0)</f>
        <v>#N/A</v>
      </c>
      <c r="AP414" s="598" t="e">
        <f>+VLOOKUP($AJ414,Data_Validation!$A:$D,3,0)</f>
        <v>#N/A</v>
      </c>
      <c r="AQ414" s="598" t="e">
        <f>+VLOOKUP($AJ414,Data_Validation!$A:$D,4,0)</f>
        <v>#N/A</v>
      </c>
      <c r="AR414" s="598" t="s">
        <v>299</v>
      </c>
      <c r="AS414" s="598" t="e">
        <f>+VLOOKUP($AJ414,Data_Validation!$A:$E,5,0)</f>
        <v>#N/A</v>
      </c>
      <c r="AT414" s="1036">
        <f t="shared" si="26"/>
        <v>0</v>
      </c>
      <c r="AU414" s="599">
        <f t="shared" si="26"/>
        <v>0</v>
      </c>
      <c r="AV414" s="1030">
        <f>IFERROR(INDEX(V414:AG414,1,MATCH(Parametres!$B$3,V$1:AG$1,0)-1)*IF(OR(C414="L",C414="S",C414="I"),-1,1),"")</f>
        <v>0</v>
      </c>
      <c r="AW414" s="1030">
        <f t="shared" si="27"/>
        <v>0</v>
      </c>
      <c r="AX414" s="1030">
        <f>INDEX(V414:AG414,1,MATCH(Parametres!$B$3,V$1:AG$1,0))*IF(OR(C414="L",C414="S",C414="I"),-1,1)</f>
        <v>0</v>
      </c>
      <c r="AY414" s="598" t="s">
        <v>337</v>
      </c>
      <c r="AZ414" s="598" t="e">
        <f>+VLOOKUP($AJ414,Data_Validation!$A:$E,5,0)</f>
        <v>#N/A</v>
      </c>
    </row>
    <row r="415" spans="36:52" ht="15.75" customHeight="1">
      <c r="AJ415" s="1030">
        <f t="shared" si="24"/>
        <v>0</v>
      </c>
      <c r="AK415" s="1030">
        <f t="shared" si="24"/>
        <v>0</v>
      </c>
      <c r="AL415" s="1030">
        <f>IFERROR(INDEX(G415:R415,1,MATCH(Parametres!$B$3,G$1:R$1,0)-1)*IF(OR(F415="L",F415="S",F415="I"),-1,1),"")</f>
        <v>0</v>
      </c>
      <c r="AM415" s="1030">
        <f t="shared" si="25"/>
        <v>0</v>
      </c>
      <c r="AN415" s="1030">
        <f>INDEX(G415:R415,1,MATCH(Parametres!$B$3,G$1:R$1,0))*IF(OR(F415="L",F415="S",F415="I"),-1,1)</f>
        <v>0</v>
      </c>
      <c r="AO415" s="598" t="e">
        <f>+VLOOKUP($AJ415,Data_Validation!$A:$D,1,0)</f>
        <v>#N/A</v>
      </c>
      <c r="AP415" s="598" t="e">
        <f>+VLOOKUP($AJ415,Data_Validation!$A:$D,3,0)</f>
        <v>#N/A</v>
      </c>
      <c r="AQ415" s="598" t="e">
        <f>+VLOOKUP($AJ415,Data_Validation!$A:$D,4,0)</f>
        <v>#N/A</v>
      </c>
      <c r="AR415" s="598" t="s">
        <v>299</v>
      </c>
      <c r="AS415" s="598" t="e">
        <f>+VLOOKUP($AJ415,Data_Validation!$A:$E,5,0)</f>
        <v>#N/A</v>
      </c>
      <c r="AT415" s="1036">
        <f t="shared" si="26"/>
        <v>0</v>
      </c>
      <c r="AU415" s="599">
        <f t="shared" si="26"/>
        <v>0</v>
      </c>
      <c r="AV415" s="1030">
        <f>IFERROR(INDEX(V415:AG415,1,MATCH(Parametres!$B$3,V$1:AG$1,0)-1)*IF(OR(C415="L",C415="S",C415="I"),-1,1),"")</f>
        <v>0</v>
      </c>
      <c r="AW415" s="1030">
        <f t="shared" si="27"/>
        <v>0</v>
      </c>
      <c r="AX415" s="1030">
        <f>INDEX(V415:AG415,1,MATCH(Parametres!$B$3,V$1:AG$1,0))*IF(OR(C415="L",C415="S",C415="I"),-1,1)</f>
        <v>0</v>
      </c>
      <c r="AY415" s="598" t="s">
        <v>337</v>
      </c>
      <c r="AZ415" s="598" t="e">
        <f>+VLOOKUP($AJ415,Data_Validation!$A:$E,5,0)</f>
        <v>#N/A</v>
      </c>
    </row>
    <row r="416" spans="36:52" ht="15.75" customHeight="1">
      <c r="AJ416" s="1030">
        <f t="shared" si="24"/>
        <v>0</v>
      </c>
      <c r="AK416" s="1030">
        <f t="shared" si="24"/>
        <v>0</v>
      </c>
      <c r="AL416" s="1030">
        <f>IFERROR(INDEX(G416:R416,1,MATCH(Parametres!$B$3,G$1:R$1,0)-1)*IF(OR(F416="L",F416="S",F416="I"),-1,1),"")</f>
        <v>0</v>
      </c>
      <c r="AM416" s="1030">
        <f t="shared" si="25"/>
        <v>0</v>
      </c>
      <c r="AN416" s="1030">
        <f>INDEX(G416:R416,1,MATCH(Parametres!$B$3,G$1:R$1,0))*IF(OR(F416="L",F416="S",F416="I"),-1,1)</f>
        <v>0</v>
      </c>
      <c r="AO416" s="598" t="e">
        <f>+VLOOKUP($AJ416,Data_Validation!$A:$D,1,0)</f>
        <v>#N/A</v>
      </c>
      <c r="AP416" s="598" t="e">
        <f>+VLOOKUP($AJ416,Data_Validation!$A:$D,3,0)</f>
        <v>#N/A</v>
      </c>
      <c r="AQ416" s="598" t="e">
        <f>+VLOOKUP($AJ416,Data_Validation!$A:$D,4,0)</f>
        <v>#N/A</v>
      </c>
      <c r="AR416" s="598" t="s">
        <v>299</v>
      </c>
      <c r="AS416" s="598" t="e">
        <f>+VLOOKUP($AJ416,Data_Validation!$A:$E,5,0)</f>
        <v>#N/A</v>
      </c>
      <c r="AT416" s="1036">
        <f t="shared" si="26"/>
        <v>0</v>
      </c>
      <c r="AU416" s="599">
        <f t="shared" si="26"/>
        <v>0</v>
      </c>
      <c r="AV416" s="1030">
        <f>IFERROR(INDEX(V416:AG416,1,MATCH(Parametres!$B$3,V$1:AG$1,0)-1)*IF(OR(C416="L",C416="S",C416="I"),-1,1),"")</f>
        <v>0</v>
      </c>
      <c r="AW416" s="1030">
        <f t="shared" si="27"/>
        <v>0</v>
      </c>
      <c r="AX416" s="1030">
        <f>INDEX(V416:AG416,1,MATCH(Parametres!$B$3,V$1:AG$1,0))*IF(OR(C416="L",C416="S",C416="I"),-1,1)</f>
        <v>0</v>
      </c>
      <c r="AY416" s="598" t="s">
        <v>337</v>
      </c>
      <c r="AZ416" s="598" t="e">
        <f>+VLOOKUP($AJ416,Data_Validation!$A:$E,5,0)</f>
        <v>#N/A</v>
      </c>
    </row>
    <row r="417" spans="36:52" ht="15.75" customHeight="1">
      <c r="AJ417" s="1030">
        <f t="shared" si="24"/>
        <v>0</v>
      </c>
      <c r="AK417" s="1030">
        <f t="shared" si="24"/>
        <v>0</v>
      </c>
      <c r="AL417" s="1030">
        <f>IFERROR(INDEX(G417:R417,1,MATCH(Parametres!$B$3,G$1:R$1,0)-1)*IF(OR(F417="L",F417="S",F417="I"),-1,1),"")</f>
        <v>0</v>
      </c>
      <c r="AM417" s="1030">
        <f t="shared" si="25"/>
        <v>0</v>
      </c>
      <c r="AN417" s="1030">
        <f>INDEX(G417:R417,1,MATCH(Parametres!$B$3,G$1:R$1,0))*IF(OR(F417="L",F417="S",F417="I"),-1,1)</f>
        <v>0</v>
      </c>
      <c r="AO417" s="598" t="e">
        <f>+VLOOKUP($AJ417,Data_Validation!$A:$D,1,0)</f>
        <v>#N/A</v>
      </c>
      <c r="AP417" s="598" t="e">
        <f>+VLOOKUP($AJ417,Data_Validation!$A:$D,3,0)</f>
        <v>#N/A</v>
      </c>
      <c r="AQ417" s="598" t="e">
        <f>+VLOOKUP($AJ417,Data_Validation!$A:$D,4,0)</f>
        <v>#N/A</v>
      </c>
      <c r="AR417" s="598" t="s">
        <v>299</v>
      </c>
      <c r="AS417" s="598" t="e">
        <f>+VLOOKUP($AJ417,Data_Validation!$A:$E,5,0)</f>
        <v>#N/A</v>
      </c>
      <c r="AT417" s="1036">
        <f t="shared" si="26"/>
        <v>0</v>
      </c>
      <c r="AU417" s="599">
        <f t="shared" si="26"/>
        <v>0</v>
      </c>
      <c r="AV417" s="1030">
        <f>IFERROR(INDEX(V417:AG417,1,MATCH(Parametres!$B$3,V$1:AG$1,0)-1)*IF(OR(C417="L",C417="S",C417="I"),-1,1),"")</f>
        <v>0</v>
      </c>
      <c r="AW417" s="1030">
        <f t="shared" si="27"/>
        <v>0</v>
      </c>
      <c r="AX417" s="1030">
        <f>INDEX(V417:AG417,1,MATCH(Parametres!$B$3,V$1:AG$1,0))*IF(OR(C417="L",C417="S",C417="I"),-1,1)</f>
        <v>0</v>
      </c>
      <c r="AY417" s="598" t="s">
        <v>337</v>
      </c>
      <c r="AZ417" s="598" t="e">
        <f>+VLOOKUP($AJ417,Data_Validation!$A:$E,5,0)</f>
        <v>#N/A</v>
      </c>
    </row>
    <row r="418" spans="36:52" ht="15.75" customHeight="1">
      <c r="AJ418" s="1030">
        <f t="shared" si="24"/>
        <v>0</v>
      </c>
      <c r="AK418" s="1030">
        <f t="shared" si="24"/>
        <v>0</v>
      </c>
      <c r="AL418" s="1030">
        <f>IFERROR(INDEX(G418:R418,1,MATCH(Parametres!$B$3,G$1:R$1,0)-1)*IF(OR(F418="L",F418="S",F418="I"),-1,1),"")</f>
        <v>0</v>
      </c>
      <c r="AM418" s="1030">
        <f t="shared" si="25"/>
        <v>0</v>
      </c>
      <c r="AN418" s="1030">
        <f>INDEX(G418:R418,1,MATCH(Parametres!$B$3,G$1:R$1,0))*IF(OR(F418="L",F418="S",F418="I"),-1,1)</f>
        <v>0</v>
      </c>
      <c r="AO418" s="598" t="e">
        <f>+VLOOKUP($AJ418,Data_Validation!$A:$D,1,0)</f>
        <v>#N/A</v>
      </c>
      <c r="AP418" s="598" t="e">
        <f>+VLOOKUP($AJ418,Data_Validation!$A:$D,3,0)</f>
        <v>#N/A</v>
      </c>
      <c r="AQ418" s="598" t="e">
        <f>+VLOOKUP($AJ418,Data_Validation!$A:$D,4,0)</f>
        <v>#N/A</v>
      </c>
      <c r="AR418" s="598" t="s">
        <v>299</v>
      </c>
      <c r="AS418" s="598" t="e">
        <f>+VLOOKUP($AJ418,Data_Validation!$A:$E,5,0)</f>
        <v>#N/A</v>
      </c>
      <c r="AT418" s="1036">
        <f t="shared" si="26"/>
        <v>0</v>
      </c>
      <c r="AU418" s="599">
        <f t="shared" si="26"/>
        <v>0</v>
      </c>
      <c r="AV418" s="1030">
        <f>IFERROR(INDEX(V418:AG418,1,MATCH(Parametres!$B$3,V$1:AG$1,0)-1)*IF(OR(C418="L",C418="S",C418="I"),-1,1),"")</f>
        <v>0</v>
      </c>
      <c r="AW418" s="1030">
        <f t="shared" si="27"/>
        <v>0</v>
      </c>
      <c r="AX418" s="1030">
        <f>INDEX(V418:AG418,1,MATCH(Parametres!$B$3,V$1:AG$1,0))*IF(OR(C418="L",C418="S",C418="I"),-1,1)</f>
        <v>0</v>
      </c>
      <c r="AY418" s="598" t="s">
        <v>337</v>
      </c>
      <c r="AZ418" s="598" t="e">
        <f>+VLOOKUP($AJ418,Data_Validation!$A:$E,5,0)</f>
        <v>#N/A</v>
      </c>
    </row>
    <row r="419" spans="36:52" ht="15.75" customHeight="1">
      <c r="AJ419" s="1030">
        <f t="shared" si="24"/>
        <v>0</v>
      </c>
      <c r="AK419" s="1030">
        <f t="shared" si="24"/>
        <v>0</v>
      </c>
      <c r="AL419" s="1030">
        <f>IFERROR(INDEX(G419:R419,1,MATCH(Parametres!$B$3,G$1:R$1,0)-1)*IF(OR(F419="L",F419="S",F419="I"),-1,1),"")</f>
        <v>0</v>
      </c>
      <c r="AM419" s="1030">
        <f t="shared" si="25"/>
        <v>0</v>
      </c>
      <c r="AN419" s="1030">
        <f>INDEX(G419:R419,1,MATCH(Parametres!$B$3,G$1:R$1,0))*IF(OR(F419="L",F419="S",F419="I"),-1,1)</f>
        <v>0</v>
      </c>
      <c r="AO419" s="598" t="e">
        <f>+VLOOKUP($AJ419,Data_Validation!$A:$D,1,0)</f>
        <v>#N/A</v>
      </c>
      <c r="AP419" s="598" t="e">
        <f>+VLOOKUP($AJ419,Data_Validation!$A:$D,3,0)</f>
        <v>#N/A</v>
      </c>
      <c r="AQ419" s="598" t="e">
        <f>+VLOOKUP($AJ419,Data_Validation!$A:$D,4,0)</f>
        <v>#N/A</v>
      </c>
      <c r="AR419" s="598" t="s">
        <v>299</v>
      </c>
      <c r="AS419" s="598" t="e">
        <f>+VLOOKUP($AJ419,Data_Validation!$A:$E,5,0)</f>
        <v>#N/A</v>
      </c>
      <c r="AT419" s="1036">
        <f t="shared" si="26"/>
        <v>0</v>
      </c>
      <c r="AU419" s="599">
        <f t="shared" si="26"/>
        <v>0</v>
      </c>
      <c r="AV419" s="1030">
        <f>IFERROR(INDEX(V419:AG419,1,MATCH(Parametres!$B$3,V$1:AG$1,0)-1)*IF(OR(C419="L",C419="S",C419="I"),-1,1),"")</f>
        <v>0</v>
      </c>
      <c r="AW419" s="1030">
        <f t="shared" si="27"/>
        <v>0</v>
      </c>
      <c r="AX419" s="1030">
        <f>INDEX(V419:AG419,1,MATCH(Parametres!$B$3,V$1:AG$1,0))*IF(OR(C419="L",C419="S",C419="I"),-1,1)</f>
        <v>0</v>
      </c>
      <c r="AY419" s="598" t="s">
        <v>337</v>
      </c>
      <c r="AZ419" s="598" t="e">
        <f>+VLOOKUP($AJ419,Data_Validation!$A:$E,5,0)</f>
        <v>#N/A</v>
      </c>
    </row>
    <row r="420" spans="36:52" ht="15.75" customHeight="1">
      <c r="AJ420" s="1030">
        <f t="shared" si="24"/>
        <v>0</v>
      </c>
      <c r="AK420" s="1030">
        <f t="shared" si="24"/>
        <v>0</v>
      </c>
      <c r="AL420" s="1030">
        <f>IFERROR(INDEX(G420:R420,1,MATCH(Parametres!$B$3,G$1:R$1,0)-1)*IF(OR(F420="L",F420="S",F420="I"),-1,1),"")</f>
        <v>0</v>
      </c>
      <c r="AM420" s="1030">
        <f t="shared" si="25"/>
        <v>0</v>
      </c>
      <c r="AN420" s="1030">
        <f>INDEX(G420:R420,1,MATCH(Parametres!$B$3,G$1:R$1,0))*IF(OR(F420="L",F420="S",F420="I"),-1,1)</f>
        <v>0</v>
      </c>
      <c r="AO420" s="598" t="e">
        <f>+VLOOKUP($AJ420,Data_Validation!$A:$D,1,0)</f>
        <v>#N/A</v>
      </c>
      <c r="AP420" s="598" t="e">
        <f>+VLOOKUP($AJ420,Data_Validation!$A:$D,3,0)</f>
        <v>#N/A</v>
      </c>
      <c r="AQ420" s="598" t="e">
        <f>+VLOOKUP($AJ420,Data_Validation!$A:$D,4,0)</f>
        <v>#N/A</v>
      </c>
      <c r="AR420" s="598" t="s">
        <v>299</v>
      </c>
      <c r="AS420" s="598" t="e">
        <f>+VLOOKUP($AJ420,Data_Validation!$A:$E,5,0)</f>
        <v>#N/A</v>
      </c>
      <c r="AT420" s="1036">
        <f t="shared" si="26"/>
        <v>0</v>
      </c>
      <c r="AU420" s="599">
        <f t="shared" si="26"/>
        <v>0</v>
      </c>
      <c r="AV420" s="1030">
        <f>IFERROR(INDEX(V420:AG420,1,MATCH(Parametres!$B$3,V$1:AG$1,0)-1)*IF(OR(C420="L",C420="S",C420="I"),-1,1),"")</f>
        <v>0</v>
      </c>
      <c r="AW420" s="1030">
        <f t="shared" si="27"/>
        <v>0</v>
      </c>
      <c r="AX420" s="1030">
        <f>INDEX(V420:AG420,1,MATCH(Parametres!$B$3,V$1:AG$1,0))*IF(OR(C420="L",C420="S",C420="I"),-1,1)</f>
        <v>0</v>
      </c>
      <c r="AY420" s="598" t="s">
        <v>337</v>
      </c>
      <c r="AZ420" s="598" t="e">
        <f>+VLOOKUP($AJ420,Data_Validation!$A:$E,5,0)</f>
        <v>#N/A</v>
      </c>
    </row>
    <row r="421" spans="36:52" ht="15.75" customHeight="1">
      <c r="AJ421" s="1030">
        <f t="shared" si="24"/>
        <v>0</v>
      </c>
      <c r="AK421" s="1030">
        <f t="shared" si="24"/>
        <v>0</v>
      </c>
      <c r="AL421" s="1030">
        <f>IFERROR(INDEX(G421:R421,1,MATCH(Parametres!$B$3,G$1:R$1,0)-1)*IF(OR(F421="L",F421="S",F421="I"),-1,1),"")</f>
        <v>0</v>
      </c>
      <c r="AM421" s="1030">
        <f t="shared" si="25"/>
        <v>0</v>
      </c>
      <c r="AN421" s="1030">
        <f>INDEX(G421:R421,1,MATCH(Parametres!$B$3,G$1:R$1,0))*IF(OR(F421="L",F421="S",F421="I"),-1,1)</f>
        <v>0</v>
      </c>
      <c r="AO421" s="598" t="e">
        <f>+VLOOKUP($AJ421,Data_Validation!$A:$D,1,0)</f>
        <v>#N/A</v>
      </c>
      <c r="AP421" s="598" t="e">
        <f>+VLOOKUP($AJ421,Data_Validation!$A:$D,3,0)</f>
        <v>#N/A</v>
      </c>
      <c r="AQ421" s="598" t="e">
        <f>+VLOOKUP($AJ421,Data_Validation!$A:$D,4,0)</f>
        <v>#N/A</v>
      </c>
      <c r="AR421" s="598" t="s">
        <v>299</v>
      </c>
      <c r="AS421" s="598" t="e">
        <f>+VLOOKUP($AJ421,Data_Validation!$A:$E,5,0)</f>
        <v>#N/A</v>
      </c>
      <c r="AT421" s="1036">
        <f t="shared" si="26"/>
        <v>0</v>
      </c>
      <c r="AU421" s="599">
        <f t="shared" si="26"/>
        <v>0</v>
      </c>
      <c r="AV421" s="1030">
        <f>IFERROR(INDEX(V421:AG421,1,MATCH(Parametres!$B$3,V$1:AG$1,0)-1)*IF(OR(C421="L",C421="S",C421="I"),-1,1),"")</f>
        <v>0</v>
      </c>
      <c r="AW421" s="1030">
        <f t="shared" si="27"/>
        <v>0</v>
      </c>
      <c r="AX421" s="1030">
        <f>INDEX(V421:AG421,1,MATCH(Parametres!$B$3,V$1:AG$1,0))*IF(OR(C421="L",C421="S",C421="I"),-1,1)</f>
        <v>0</v>
      </c>
      <c r="AY421" s="598" t="s">
        <v>337</v>
      </c>
      <c r="AZ421" s="598" t="e">
        <f>+VLOOKUP($AJ421,Data_Validation!$A:$E,5,0)</f>
        <v>#N/A</v>
      </c>
    </row>
    <row r="422" spans="36:52" ht="15.75" customHeight="1">
      <c r="AJ422" s="1030">
        <f t="shared" si="24"/>
        <v>0</v>
      </c>
      <c r="AK422" s="1030">
        <f t="shared" si="24"/>
        <v>0</v>
      </c>
      <c r="AL422" s="1030">
        <f>IFERROR(INDEX(G422:R422,1,MATCH(Parametres!$B$3,G$1:R$1,0)-1)*IF(OR(F422="L",F422="S",F422="I"),-1,1),"")</f>
        <v>0</v>
      </c>
      <c r="AM422" s="1030">
        <f t="shared" si="25"/>
        <v>0</v>
      </c>
      <c r="AN422" s="1030">
        <f>INDEX(G422:R422,1,MATCH(Parametres!$B$3,G$1:R$1,0))*IF(OR(F422="L",F422="S",F422="I"),-1,1)</f>
        <v>0</v>
      </c>
      <c r="AO422" s="598" t="e">
        <f>+VLOOKUP($AJ422,Data_Validation!$A:$D,1,0)</f>
        <v>#N/A</v>
      </c>
      <c r="AP422" s="598" t="e">
        <f>+VLOOKUP($AJ422,Data_Validation!$A:$D,3,0)</f>
        <v>#N/A</v>
      </c>
      <c r="AQ422" s="598" t="e">
        <f>+VLOOKUP($AJ422,Data_Validation!$A:$D,4,0)</f>
        <v>#N/A</v>
      </c>
      <c r="AR422" s="598" t="s">
        <v>299</v>
      </c>
      <c r="AS422" s="598" t="e">
        <f>+VLOOKUP($AJ422,Data_Validation!$A:$E,5,0)</f>
        <v>#N/A</v>
      </c>
      <c r="AT422" s="1036">
        <f t="shared" si="26"/>
        <v>0</v>
      </c>
      <c r="AU422" s="599">
        <f t="shared" si="26"/>
        <v>0</v>
      </c>
      <c r="AV422" s="1030">
        <f>IFERROR(INDEX(V422:AG422,1,MATCH(Parametres!$B$3,V$1:AG$1,0)-1)*IF(OR(C422="L",C422="S",C422="I"),-1,1),"")</f>
        <v>0</v>
      </c>
      <c r="AW422" s="1030">
        <f t="shared" si="27"/>
        <v>0</v>
      </c>
      <c r="AX422" s="1030">
        <f>INDEX(V422:AG422,1,MATCH(Parametres!$B$3,V$1:AG$1,0))*IF(OR(C422="L",C422="S",C422="I"),-1,1)</f>
        <v>0</v>
      </c>
      <c r="AY422" s="598" t="s">
        <v>337</v>
      </c>
      <c r="AZ422" s="598" t="e">
        <f>+VLOOKUP($AJ422,Data_Validation!$A:$E,5,0)</f>
        <v>#N/A</v>
      </c>
    </row>
    <row r="423" spans="36:52" ht="15.75" customHeight="1">
      <c r="AJ423" s="1030">
        <f t="shared" si="24"/>
        <v>0</v>
      </c>
      <c r="AK423" s="1030">
        <f t="shared" si="24"/>
        <v>0</v>
      </c>
      <c r="AL423" s="1030">
        <f>IFERROR(INDEX(G423:R423,1,MATCH(Parametres!$B$3,G$1:R$1,0)-1)*IF(OR(F423="L",F423="S",F423="I"),-1,1),"")</f>
        <v>0</v>
      </c>
      <c r="AM423" s="1030">
        <f t="shared" si="25"/>
        <v>0</v>
      </c>
      <c r="AN423" s="1030">
        <f>INDEX(G423:R423,1,MATCH(Parametres!$B$3,G$1:R$1,0))*IF(OR(F423="L",F423="S",F423="I"),-1,1)</f>
        <v>0</v>
      </c>
      <c r="AO423" s="598" t="e">
        <f>+VLOOKUP($AJ423,Data_Validation!$A:$D,1,0)</f>
        <v>#N/A</v>
      </c>
      <c r="AP423" s="598" t="e">
        <f>+VLOOKUP($AJ423,Data_Validation!$A:$D,3,0)</f>
        <v>#N/A</v>
      </c>
      <c r="AQ423" s="598" t="e">
        <f>+VLOOKUP($AJ423,Data_Validation!$A:$D,4,0)</f>
        <v>#N/A</v>
      </c>
      <c r="AR423" s="598" t="s">
        <v>299</v>
      </c>
      <c r="AS423" s="598" t="e">
        <f>+VLOOKUP($AJ423,Data_Validation!$A:$E,5,0)</f>
        <v>#N/A</v>
      </c>
      <c r="AT423" s="1036">
        <f t="shared" si="26"/>
        <v>0</v>
      </c>
      <c r="AU423" s="599">
        <f t="shared" si="26"/>
        <v>0</v>
      </c>
      <c r="AV423" s="1030">
        <f>IFERROR(INDEX(V423:AG423,1,MATCH(Parametres!$B$3,V$1:AG$1,0)-1)*IF(OR(C423="L",C423="S",C423="I"),-1,1),"")</f>
        <v>0</v>
      </c>
      <c r="AW423" s="1030">
        <f t="shared" si="27"/>
        <v>0</v>
      </c>
      <c r="AX423" s="1030">
        <f>INDEX(V423:AG423,1,MATCH(Parametres!$B$3,V$1:AG$1,0))*IF(OR(C423="L",C423="S",C423="I"),-1,1)</f>
        <v>0</v>
      </c>
      <c r="AY423" s="598" t="s">
        <v>337</v>
      </c>
      <c r="AZ423" s="598" t="e">
        <f>+VLOOKUP($AJ423,Data_Validation!$A:$E,5,0)</f>
        <v>#N/A</v>
      </c>
    </row>
    <row r="424" spans="36:52" ht="15.75" customHeight="1">
      <c r="AJ424" s="1030">
        <f t="shared" si="24"/>
        <v>0</v>
      </c>
      <c r="AK424" s="1030">
        <f t="shared" si="24"/>
        <v>0</v>
      </c>
      <c r="AL424" s="1030">
        <f>IFERROR(INDEX(G424:R424,1,MATCH(Parametres!$B$3,G$1:R$1,0)-1)*IF(OR(F424="L",F424="S",F424="I"),-1,1),"")</f>
        <v>0</v>
      </c>
      <c r="AM424" s="1030">
        <f t="shared" si="25"/>
        <v>0</v>
      </c>
      <c r="AN424" s="1030">
        <f>INDEX(G424:R424,1,MATCH(Parametres!$B$3,G$1:R$1,0))*IF(OR(F424="L",F424="S",F424="I"),-1,1)</f>
        <v>0</v>
      </c>
      <c r="AO424" s="598" t="e">
        <f>+VLOOKUP($AJ424,Data_Validation!$A:$D,1,0)</f>
        <v>#N/A</v>
      </c>
      <c r="AP424" s="598" t="e">
        <f>+VLOOKUP($AJ424,Data_Validation!$A:$D,3,0)</f>
        <v>#N/A</v>
      </c>
      <c r="AQ424" s="598" t="e">
        <f>+VLOOKUP($AJ424,Data_Validation!$A:$D,4,0)</f>
        <v>#N/A</v>
      </c>
      <c r="AR424" s="598" t="s">
        <v>299</v>
      </c>
      <c r="AS424" s="598" t="e">
        <f>+VLOOKUP($AJ424,Data_Validation!$A:$E,5,0)</f>
        <v>#N/A</v>
      </c>
      <c r="AT424" s="1036">
        <f t="shared" si="26"/>
        <v>0</v>
      </c>
      <c r="AU424" s="599">
        <f t="shared" si="26"/>
        <v>0</v>
      </c>
      <c r="AV424" s="1030">
        <f>IFERROR(INDEX(V424:AG424,1,MATCH(Parametres!$B$3,V$1:AG$1,0)-1)*IF(OR(C424="L",C424="S",C424="I"),-1,1),"")</f>
        <v>0</v>
      </c>
      <c r="AW424" s="1030">
        <f t="shared" si="27"/>
        <v>0</v>
      </c>
      <c r="AX424" s="1030">
        <f>INDEX(V424:AG424,1,MATCH(Parametres!$B$3,V$1:AG$1,0))*IF(OR(C424="L",C424="S",C424="I"),-1,1)</f>
        <v>0</v>
      </c>
      <c r="AY424" s="598" t="s">
        <v>337</v>
      </c>
      <c r="AZ424" s="598" t="e">
        <f>+VLOOKUP($AJ424,Data_Validation!$A:$E,5,0)</f>
        <v>#N/A</v>
      </c>
    </row>
    <row r="425" spans="36:52" ht="15.75" customHeight="1">
      <c r="AJ425" s="1030">
        <f t="shared" si="24"/>
        <v>0</v>
      </c>
      <c r="AK425" s="1030">
        <f t="shared" si="24"/>
        <v>0</v>
      </c>
      <c r="AL425" s="1030">
        <f>IFERROR(INDEX(G425:R425,1,MATCH(Parametres!$B$3,G$1:R$1,0)-1)*IF(OR(F425="L",F425="S",F425="I"),-1,1),"")</f>
        <v>0</v>
      </c>
      <c r="AM425" s="1030">
        <f t="shared" si="25"/>
        <v>0</v>
      </c>
      <c r="AN425" s="1030">
        <f>INDEX(G425:R425,1,MATCH(Parametres!$B$3,G$1:R$1,0))*IF(OR(F425="L",F425="S",F425="I"),-1,1)</f>
        <v>0</v>
      </c>
      <c r="AO425" s="598" t="e">
        <f>+VLOOKUP($AJ425,Data_Validation!$A:$D,1,0)</f>
        <v>#N/A</v>
      </c>
      <c r="AP425" s="598" t="e">
        <f>+VLOOKUP($AJ425,Data_Validation!$A:$D,3,0)</f>
        <v>#N/A</v>
      </c>
      <c r="AQ425" s="598" t="e">
        <f>+VLOOKUP($AJ425,Data_Validation!$A:$D,4,0)</f>
        <v>#N/A</v>
      </c>
      <c r="AR425" s="598" t="s">
        <v>299</v>
      </c>
      <c r="AS425" s="598" t="e">
        <f>+VLOOKUP($AJ425,Data_Validation!$A:$E,5,0)</f>
        <v>#N/A</v>
      </c>
      <c r="AT425" s="1036">
        <f t="shared" si="26"/>
        <v>0</v>
      </c>
      <c r="AU425" s="599">
        <f t="shared" si="26"/>
        <v>0</v>
      </c>
      <c r="AV425" s="1030">
        <f>IFERROR(INDEX(V425:AG425,1,MATCH(Parametres!$B$3,V$1:AG$1,0)-1)*IF(OR(C425="L",C425="S",C425="I"),-1,1),"")</f>
        <v>0</v>
      </c>
      <c r="AW425" s="1030">
        <f t="shared" si="27"/>
        <v>0</v>
      </c>
      <c r="AX425" s="1030">
        <f>INDEX(V425:AG425,1,MATCH(Parametres!$B$3,V$1:AG$1,0))*IF(OR(C425="L",C425="S",C425="I"),-1,1)</f>
        <v>0</v>
      </c>
      <c r="AY425" s="598" t="s">
        <v>337</v>
      </c>
      <c r="AZ425" s="598" t="e">
        <f>+VLOOKUP($AJ425,Data_Validation!$A:$E,5,0)</f>
        <v>#N/A</v>
      </c>
    </row>
    <row r="426" spans="36:52" ht="15.75" customHeight="1">
      <c r="AJ426" s="1030">
        <f t="shared" si="24"/>
        <v>0</v>
      </c>
      <c r="AK426" s="1030">
        <f t="shared" si="24"/>
        <v>0</v>
      </c>
      <c r="AL426" s="1030">
        <f>IFERROR(INDEX(G426:R426,1,MATCH(Parametres!$B$3,G$1:R$1,0)-1)*IF(OR(F426="L",F426="S",F426="I"),-1,1),"")</f>
        <v>0</v>
      </c>
      <c r="AM426" s="1030">
        <f t="shared" si="25"/>
        <v>0</v>
      </c>
      <c r="AN426" s="1030">
        <f>INDEX(G426:R426,1,MATCH(Parametres!$B$3,G$1:R$1,0))*IF(OR(F426="L",F426="S",F426="I"),-1,1)</f>
        <v>0</v>
      </c>
      <c r="AO426" s="598" t="e">
        <f>+VLOOKUP($AJ426,Data_Validation!$A:$D,1,0)</f>
        <v>#N/A</v>
      </c>
      <c r="AP426" s="598" t="e">
        <f>+VLOOKUP($AJ426,Data_Validation!$A:$D,3,0)</f>
        <v>#N/A</v>
      </c>
      <c r="AQ426" s="598" t="e">
        <f>+VLOOKUP($AJ426,Data_Validation!$A:$D,4,0)</f>
        <v>#N/A</v>
      </c>
      <c r="AR426" s="598" t="s">
        <v>299</v>
      </c>
      <c r="AS426" s="598" t="e">
        <f>+VLOOKUP($AJ426,Data_Validation!$A:$E,5,0)</f>
        <v>#N/A</v>
      </c>
      <c r="AT426" s="1036">
        <f t="shared" si="26"/>
        <v>0</v>
      </c>
      <c r="AU426" s="599">
        <f t="shared" si="26"/>
        <v>0</v>
      </c>
      <c r="AV426" s="1030">
        <f>IFERROR(INDEX(V426:AG426,1,MATCH(Parametres!$B$3,V$1:AG$1,0)-1)*IF(OR(C426="L",C426="S",C426="I"),-1,1),"")</f>
        <v>0</v>
      </c>
      <c r="AW426" s="1030">
        <f t="shared" si="27"/>
        <v>0</v>
      </c>
      <c r="AX426" s="1030">
        <f>INDEX(V426:AG426,1,MATCH(Parametres!$B$3,V$1:AG$1,0))*IF(OR(C426="L",C426="S",C426="I"),-1,1)</f>
        <v>0</v>
      </c>
      <c r="AY426" s="598" t="s">
        <v>337</v>
      </c>
      <c r="AZ426" s="598" t="e">
        <f>+VLOOKUP($AJ426,Data_Validation!$A:$E,5,0)</f>
        <v>#N/A</v>
      </c>
    </row>
    <row r="427" spans="36:52" ht="15.75" customHeight="1">
      <c r="AJ427" s="1030">
        <f t="shared" si="24"/>
        <v>0</v>
      </c>
      <c r="AK427" s="1030">
        <f t="shared" si="24"/>
        <v>0</v>
      </c>
      <c r="AL427" s="1030">
        <f>IFERROR(INDEX(G427:R427,1,MATCH(Parametres!$B$3,G$1:R$1,0)-1)*IF(OR(F427="L",F427="S",F427="I"),-1,1),"")</f>
        <v>0</v>
      </c>
      <c r="AM427" s="1030">
        <f t="shared" si="25"/>
        <v>0</v>
      </c>
      <c r="AN427" s="1030">
        <f>INDEX(G427:R427,1,MATCH(Parametres!$B$3,G$1:R$1,0))*IF(OR(F427="L",F427="S",F427="I"),-1,1)</f>
        <v>0</v>
      </c>
      <c r="AO427" s="598" t="e">
        <f>+VLOOKUP($AJ427,Data_Validation!$A:$D,1,0)</f>
        <v>#N/A</v>
      </c>
      <c r="AP427" s="598" t="e">
        <f>+VLOOKUP($AJ427,Data_Validation!$A:$D,3,0)</f>
        <v>#N/A</v>
      </c>
      <c r="AQ427" s="598" t="e">
        <f>+VLOOKUP($AJ427,Data_Validation!$A:$D,4,0)</f>
        <v>#N/A</v>
      </c>
      <c r="AR427" s="598" t="s">
        <v>299</v>
      </c>
      <c r="AS427" s="598" t="e">
        <f>+VLOOKUP($AJ427,Data_Validation!$A:$E,5,0)</f>
        <v>#N/A</v>
      </c>
      <c r="AT427" s="1036">
        <f t="shared" si="26"/>
        <v>0</v>
      </c>
      <c r="AU427" s="599">
        <f t="shared" si="26"/>
        <v>0</v>
      </c>
      <c r="AV427" s="1030">
        <f>IFERROR(INDEX(V427:AG427,1,MATCH(Parametres!$B$3,V$1:AG$1,0)-1)*IF(OR(C427="L",C427="S",C427="I"),-1,1),"")</f>
        <v>0</v>
      </c>
      <c r="AW427" s="1030">
        <f t="shared" si="27"/>
        <v>0</v>
      </c>
      <c r="AX427" s="1030">
        <f>INDEX(V427:AG427,1,MATCH(Parametres!$B$3,V$1:AG$1,0))*IF(OR(C427="L",C427="S",C427="I"),-1,1)</f>
        <v>0</v>
      </c>
      <c r="AY427" s="598" t="s">
        <v>337</v>
      </c>
      <c r="AZ427" s="598" t="e">
        <f>+VLOOKUP($AJ427,Data_Validation!$A:$E,5,0)</f>
        <v>#N/A</v>
      </c>
    </row>
    <row r="428" spans="36:52" ht="15.75" customHeight="1">
      <c r="AJ428" s="1030">
        <f t="shared" si="24"/>
        <v>0</v>
      </c>
      <c r="AK428" s="1030">
        <f t="shared" si="24"/>
        <v>0</v>
      </c>
      <c r="AL428" s="1030">
        <f>IFERROR(INDEX(G428:R428,1,MATCH(Parametres!$B$3,G$1:R$1,0)-1)*IF(OR(F428="L",F428="S",F428="I"),-1,1),"")</f>
        <v>0</v>
      </c>
      <c r="AM428" s="1030">
        <f t="shared" si="25"/>
        <v>0</v>
      </c>
      <c r="AN428" s="1030">
        <f>INDEX(G428:R428,1,MATCH(Parametres!$B$3,G$1:R$1,0))*IF(OR(F428="L",F428="S",F428="I"),-1,1)</f>
        <v>0</v>
      </c>
      <c r="AO428" s="598" t="e">
        <f>+VLOOKUP($AJ428,Data_Validation!$A:$D,1,0)</f>
        <v>#N/A</v>
      </c>
      <c r="AP428" s="598" t="e">
        <f>+VLOOKUP($AJ428,Data_Validation!$A:$D,3,0)</f>
        <v>#N/A</v>
      </c>
      <c r="AQ428" s="598" t="e">
        <f>+VLOOKUP($AJ428,Data_Validation!$A:$D,4,0)</f>
        <v>#N/A</v>
      </c>
      <c r="AR428" s="598" t="s">
        <v>299</v>
      </c>
      <c r="AS428" s="598" t="e">
        <f>+VLOOKUP($AJ428,Data_Validation!$A:$E,5,0)</f>
        <v>#N/A</v>
      </c>
      <c r="AT428" s="1036">
        <f t="shared" si="26"/>
        <v>0</v>
      </c>
      <c r="AU428" s="599">
        <f t="shared" si="26"/>
        <v>0</v>
      </c>
      <c r="AV428" s="1030">
        <f>IFERROR(INDEX(V428:AG428,1,MATCH(Parametres!$B$3,V$1:AG$1,0)-1)*IF(OR(C428="L",C428="S",C428="I"),-1,1),"")</f>
        <v>0</v>
      </c>
      <c r="AW428" s="1030">
        <f t="shared" si="27"/>
        <v>0</v>
      </c>
      <c r="AX428" s="1030">
        <f>INDEX(V428:AG428,1,MATCH(Parametres!$B$3,V$1:AG$1,0))*IF(OR(C428="L",C428="S",C428="I"),-1,1)</f>
        <v>0</v>
      </c>
      <c r="AY428" s="598" t="s">
        <v>337</v>
      </c>
      <c r="AZ428" s="598" t="e">
        <f>+VLOOKUP($AJ428,Data_Validation!$A:$E,5,0)</f>
        <v>#N/A</v>
      </c>
    </row>
    <row r="429" spans="36:52" ht="15.75" customHeight="1">
      <c r="AJ429" s="1030">
        <f t="shared" si="24"/>
        <v>0</v>
      </c>
      <c r="AK429" s="1030">
        <f t="shared" si="24"/>
        <v>0</v>
      </c>
      <c r="AL429" s="1030">
        <f>IFERROR(INDEX(G429:R429,1,MATCH(Parametres!$B$3,G$1:R$1,0)-1)*IF(OR(F429="L",F429="S",F429="I"),-1,1),"")</f>
        <v>0</v>
      </c>
      <c r="AM429" s="1030">
        <f t="shared" si="25"/>
        <v>0</v>
      </c>
      <c r="AN429" s="1030">
        <f>INDEX(G429:R429,1,MATCH(Parametres!$B$3,G$1:R$1,0))*IF(OR(F429="L",F429="S",F429="I"),-1,1)</f>
        <v>0</v>
      </c>
      <c r="AO429" s="598" t="e">
        <f>+VLOOKUP($AJ429,Data_Validation!$A:$D,1,0)</f>
        <v>#N/A</v>
      </c>
      <c r="AP429" s="598" t="e">
        <f>+VLOOKUP($AJ429,Data_Validation!$A:$D,3,0)</f>
        <v>#N/A</v>
      </c>
      <c r="AQ429" s="598" t="e">
        <f>+VLOOKUP($AJ429,Data_Validation!$A:$D,4,0)</f>
        <v>#N/A</v>
      </c>
      <c r="AR429" s="598" t="s">
        <v>299</v>
      </c>
      <c r="AS429" s="598" t="e">
        <f>+VLOOKUP($AJ429,Data_Validation!$A:$E,5,0)</f>
        <v>#N/A</v>
      </c>
      <c r="AT429" s="1036">
        <f t="shared" si="26"/>
        <v>0</v>
      </c>
      <c r="AU429" s="599">
        <f t="shared" si="26"/>
        <v>0</v>
      </c>
      <c r="AV429" s="1030">
        <f>IFERROR(INDEX(V429:AG429,1,MATCH(Parametres!$B$3,V$1:AG$1,0)-1)*IF(OR(C429="L",C429="S",C429="I"),-1,1),"")</f>
        <v>0</v>
      </c>
      <c r="AW429" s="1030">
        <f t="shared" si="27"/>
        <v>0</v>
      </c>
      <c r="AX429" s="1030">
        <f>INDEX(V429:AG429,1,MATCH(Parametres!$B$3,V$1:AG$1,0))*IF(OR(C429="L",C429="S",C429="I"),-1,1)</f>
        <v>0</v>
      </c>
      <c r="AY429" s="598" t="s">
        <v>337</v>
      </c>
      <c r="AZ429" s="598" t="e">
        <f>+VLOOKUP($AJ429,Data_Validation!$A:$E,5,0)</f>
        <v>#N/A</v>
      </c>
    </row>
    <row r="430" spans="36:52" ht="15.75" customHeight="1">
      <c r="AJ430" s="1030">
        <f t="shared" si="24"/>
        <v>0</v>
      </c>
      <c r="AK430" s="1030">
        <f t="shared" si="24"/>
        <v>0</v>
      </c>
      <c r="AL430" s="1030">
        <f>IFERROR(INDEX(G430:R430,1,MATCH(Parametres!$B$3,G$1:R$1,0)-1)*IF(OR(F430="L",F430="S",F430="I"),-1,1),"")</f>
        <v>0</v>
      </c>
      <c r="AM430" s="1030">
        <f t="shared" si="25"/>
        <v>0</v>
      </c>
      <c r="AN430" s="1030">
        <f>INDEX(G430:R430,1,MATCH(Parametres!$B$3,G$1:R$1,0))*IF(OR(F430="L",F430="S",F430="I"),-1,1)</f>
        <v>0</v>
      </c>
      <c r="AO430" s="598" t="e">
        <f>+VLOOKUP($AJ430,Data_Validation!$A:$D,1,0)</f>
        <v>#N/A</v>
      </c>
      <c r="AP430" s="598" t="e">
        <f>+VLOOKUP($AJ430,Data_Validation!$A:$D,3,0)</f>
        <v>#N/A</v>
      </c>
      <c r="AQ430" s="598" t="e">
        <f>+VLOOKUP($AJ430,Data_Validation!$A:$D,4,0)</f>
        <v>#N/A</v>
      </c>
      <c r="AR430" s="598" t="s">
        <v>299</v>
      </c>
      <c r="AS430" s="598" t="e">
        <f>+VLOOKUP($AJ430,Data_Validation!$A:$E,5,0)</f>
        <v>#N/A</v>
      </c>
      <c r="AT430" s="1036">
        <f t="shared" si="26"/>
        <v>0</v>
      </c>
      <c r="AU430" s="599">
        <f t="shared" si="26"/>
        <v>0</v>
      </c>
      <c r="AV430" s="1030">
        <f>IFERROR(INDEX(V430:AG430,1,MATCH(Parametres!$B$3,V$1:AG$1,0)-1)*IF(OR(C430="L",C430="S",C430="I"),-1,1),"")</f>
        <v>0</v>
      </c>
      <c r="AW430" s="1030">
        <f t="shared" si="27"/>
        <v>0</v>
      </c>
      <c r="AX430" s="1030">
        <f>INDEX(V430:AG430,1,MATCH(Parametres!$B$3,V$1:AG$1,0))*IF(OR(C430="L",C430="S",C430="I"),-1,1)</f>
        <v>0</v>
      </c>
      <c r="AY430" s="598" t="s">
        <v>337</v>
      </c>
      <c r="AZ430" s="598" t="e">
        <f>+VLOOKUP($AJ430,Data_Validation!$A:$E,5,0)</f>
        <v>#N/A</v>
      </c>
    </row>
    <row r="431" spans="36:52" ht="15.75" customHeight="1">
      <c r="AJ431" s="1030">
        <f t="shared" si="24"/>
        <v>0</v>
      </c>
      <c r="AK431" s="1030">
        <f t="shared" si="24"/>
        <v>0</v>
      </c>
      <c r="AL431" s="1030">
        <f>IFERROR(INDEX(G431:R431,1,MATCH(Parametres!$B$3,G$1:R$1,0)-1)*IF(OR(F431="L",F431="S",F431="I"),-1,1),"")</f>
        <v>0</v>
      </c>
      <c r="AM431" s="1030">
        <f t="shared" si="25"/>
        <v>0</v>
      </c>
      <c r="AN431" s="1030">
        <f>INDEX(G431:R431,1,MATCH(Parametres!$B$3,G$1:R$1,0))*IF(OR(F431="L",F431="S",F431="I"),-1,1)</f>
        <v>0</v>
      </c>
      <c r="AO431" s="598" t="e">
        <f>+VLOOKUP($AJ431,Data_Validation!$A:$D,1,0)</f>
        <v>#N/A</v>
      </c>
      <c r="AP431" s="598" t="e">
        <f>+VLOOKUP($AJ431,Data_Validation!$A:$D,3,0)</f>
        <v>#N/A</v>
      </c>
      <c r="AQ431" s="598" t="e">
        <f>+VLOOKUP($AJ431,Data_Validation!$A:$D,4,0)</f>
        <v>#N/A</v>
      </c>
      <c r="AR431" s="598" t="s">
        <v>299</v>
      </c>
      <c r="AS431" s="598" t="e">
        <f>+VLOOKUP($AJ431,Data_Validation!$A:$E,5,0)</f>
        <v>#N/A</v>
      </c>
      <c r="AT431" s="1036">
        <f t="shared" si="26"/>
        <v>0</v>
      </c>
      <c r="AU431" s="599">
        <f t="shared" si="26"/>
        <v>0</v>
      </c>
      <c r="AV431" s="1030">
        <f>IFERROR(INDEX(V431:AG431,1,MATCH(Parametres!$B$3,V$1:AG$1,0)-1)*IF(OR(C431="L",C431="S",C431="I"),-1,1),"")</f>
        <v>0</v>
      </c>
      <c r="AW431" s="1030">
        <f t="shared" si="27"/>
        <v>0</v>
      </c>
      <c r="AX431" s="1030">
        <f>INDEX(V431:AG431,1,MATCH(Parametres!$B$3,V$1:AG$1,0))*IF(OR(C431="L",C431="S",C431="I"),-1,1)</f>
        <v>0</v>
      </c>
      <c r="AY431" s="598" t="s">
        <v>337</v>
      </c>
      <c r="AZ431" s="598" t="e">
        <f>+VLOOKUP($AJ431,Data_Validation!$A:$E,5,0)</f>
        <v>#N/A</v>
      </c>
    </row>
    <row r="432" spans="36:52" ht="15.75" customHeight="1">
      <c r="AJ432" s="1030">
        <f t="shared" si="24"/>
        <v>0</v>
      </c>
      <c r="AK432" s="1030">
        <f t="shared" si="24"/>
        <v>0</v>
      </c>
      <c r="AL432" s="1030">
        <f>IFERROR(INDEX(G432:R432,1,MATCH(Parametres!$B$3,G$1:R$1,0)-1)*IF(OR(F432="L",F432="S",F432="I"),-1,1),"")</f>
        <v>0</v>
      </c>
      <c r="AM432" s="1030">
        <f t="shared" si="25"/>
        <v>0</v>
      </c>
      <c r="AN432" s="1030">
        <f>INDEX(G432:R432,1,MATCH(Parametres!$B$3,G$1:R$1,0))*IF(OR(F432="L",F432="S",F432="I"),-1,1)</f>
        <v>0</v>
      </c>
      <c r="AO432" s="598" t="e">
        <f>+VLOOKUP($AJ432,Data_Validation!$A:$D,1,0)</f>
        <v>#N/A</v>
      </c>
      <c r="AP432" s="598" t="e">
        <f>+VLOOKUP($AJ432,Data_Validation!$A:$D,3,0)</f>
        <v>#N/A</v>
      </c>
      <c r="AQ432" s="598" t="e">
        <f>+VLOOKUP($AJ432,Data_Validation!$A:$D,4,0)</f>
        <v>#N/A</v>
      </c>
      <c r="AR432" s="598" t="s">
        <v>299</v>
      </c>
      <c r="AS432" s="598" t="e">
        <f>+VLOOKUP($AJ432,Data_Validation!$A:$E,5,0)</f>
        <v>#N/A</v>
      </c>
      <c r="AT432" s="1036">
        <f t="shared" si="26"/>
        <v>0</v>
      </c>
      <c r="AU432" s="599">
        <f t="shared" si="26"/>
        <v>0</v>
      </c>
      <c r="AV432" s="1030">
        <f>IFERROR(INDEX(V432:AG432,1,MATCH(Parametres!$B$3,V$1:AG$1,0)-1)*IF(OR(C432="L",C432="S",C432="I"),-1,1),"")</f>
        <v>0</v>
      </c>
      <c r="AW432" s="1030">
        <f t="shared" si="27"/>
        <v>0</v>
      </c>
      <c r="AX432" s="1030">
        <f>INDEX(V432:AG432,1,MATCH(Parametres!$B$3,V$1:AG$1,0))*IF(OR(C432="L",C432="S",C432="I"),-1,1)</f>
        <v>0</v>
      </c>
      <c r="AY432" s="598" t="s">
        <v>337</v>
      </c>
      <c r="AZ432" s="598" t="e">
        <f>+VLOOKUP($AJ432,Data_Validation!$A:$E,5,0)</f>
        <v>#N/A</v>
      </c>
    </row>
    <row r="433" spans="36:52" ht="15.75" customHeight="1">
      <c r="AJ433" s="1030">
        <f t="shared" si="24"/>
        <v>0</v>
      </c>
      <c r="AK433" s="1030">
        <f t="shared" si="24"/>
        <v>0</v>
      </c>
      <c r="AL433" s="1030">
        <f>IFERROR(INDEX(G433:R433,1,MATCH(Parametres!$B$3,G$1:R$1,0)-1)*IF(OR(F433="L",F433="S",F433="I"),-1,1),"")</f>
        <v>0</v>
      </c>
      <c r="AM433" s="1030">
        <f t="shared" si="25"/>
        <v>0</v>
      </c>
      <c r="AN433" s="1030">
        <f>INDEX(G433:R433,1,MATCH(Parametres!$B$3,G$1:R$1,0))*IF(OR(F433="L",F433="S",F433="I"),-1,1)</f>
        <v>0</v>
      </c>
      <c r="AO433" s="598" t="e">
        <f>+VLOOKUP($AJ433,Data_Validation!$A:$D,1,0)</f>
        <v>#N/A</v>
      </c>
      <c r="AP433" s="598" t="e">
        <f>+VLOOKUP($AJ433,Data_Validation!$A:$D,3,0)</f>
        <v>#N/A</v>
      </c>
      <c r="AQ433" s="598" t="e">
        <f>+VLOOKUP($AJ433,Data_Validation!$A:$D,4,0)</f>
        <v>#N/A</v>
      </c>
      <c r="AR433" s="598" t="s">
        <v>299</v>
      </c>
      <c r="AS433" s="598" t="e">
        <f>+VLOOKUP($AJ433,Data_Validation!$A:$E,5,0)</f>
        <v>#N/A</v>
      </c>
      <c r="AT433" s="1036">
        <f t="shared" si="26"/>
        <v>0</v>
      </c>
      <c r="AU433" s="599">
        <f t="shared" si="26"/>
        <v>0</v>
      </c>
      <c r="AV433" s="1030">
        <f>IFERROR(INDEX(V433:AG433,1,MATCH(Parametres!$B$3,V$1:AG$1,0)-1)*IF(OR(C433="L",C433="S",C433="I"),-1,1),"")</f>
        <v>0</v>
      </c>
      <c r="AW433" s="1030">
        <f t="shared" si="27"/>
        <v>0</v>
      </c>
      <c r="AX433" s="1030">
        <f>INDEX(V433:AG433,1,MATCH(Parametres!$B$3,V$1:AG$1,0))*IF(OR(C433="L",C433="S",C433="I"),-1,1)</f>
        <v>0</v>
      </c>
      <c r="AY433" s="598" t="s">
        <v>337</v>
      </c>
      <c r="AZ433" s="598" t="e">
        <f>+VLOOKUP($AJ433,Data_Validation!$A:$E,5,0)</f>
        <v>#N/A</v>
      </c>
    </row>
    <row r="434" spans="36:52" ht="15.75" customHeight="1">
      <c r="AJ434" s="1030">
        <f t="shared" si="24"/>
        <v>0</v>
      </c>
      <c r="AK434" s="1030">
        <f t="shared" si="24"/>
        <v>0</v>
      </c>
      <c r="AL434" s="1030">
        <f>IFERROR(INDEX(G434:R434,1,MATCH(Parametres!$B$3,G$1:R$1,0)-1)*IF(OR(F434="L",F434="S",F434="I"),-1,1),"")</f>
        <v>0</v>
      </c>
      <c r="AM434" s="1030">
        <f t="shared" si="25"/>
        <v>0</v>
      </c>
      <c r="AN434" s="1030">
        <f>INDEX(G434:R434,1,MATCH(Parametres!$B$3,G$1:R$1,0))*IF(OR(F434="L",F434="S",F434="I"),-1,1)</f>
        <v>0</v>
      </c>
      <c r="AO434" s="598" t="e">
        <f>+VLOOKUP($AJ434,Data_Validation!$A:$D,1,0)</f>
        <v>#N/A</v>
      </c>
      <c r="AP434" s="598" t="e">
        <f>+VLOOKUP($AJ434,Data_Validation!$A:$D,3,0)</f>
        <v>#N/A</v>
      </c>
      <c r="AQ434" s="598" t="e">
        <f>+VLOOKUP($AJ434,Data_Validation!$A:$D,4,0)</f>
        <v>#N/A</v>
      </c>
      <c r="AR434" s="598" t="s">
        <v>299</v>
      </c>
      <c r="AS434" s="598" t="e">
        <f>+VLOOKUP($AJ434,Data_Validation!$A:$E,5,0)</f>
        <v>#N/A</v>
      </c>
      <c r="AT434" s="1036">
        <f t="shared" si="26"/>
        <v>0</v>
      </c>
      <c r="AU434" s="599">
        <f t="shared" si="26"/>
        <v>0</v>
      </c>
      <c r="AV434" s="1030">
        <f>IFERROR(INDEX(V434:AG434,1,MATCH(Parametres!$B$3,V$1:AG$1,0)-1)*IF(OR(C434="L",C434="S",C434="I"),-1,1),"")</f>
        <v>0</v>
      </c>
      <c r="AW434" s="1030">
        <f t="shared" si="27"/>
        <v>0</v>
      </c>
      <c r="AX434" s="1030">
        <f>INDEX(V434:AG434,1,MATCH(Parametres!$B$3,V$1:AG$1,0))*IF(OR(C434="L",C434="S",C434="I"),-1,1)</f>
        <v>0</v>
      </c>
      <c r="AY434" s="598" t="s">
        <v>337</v>
      </c>
      <c r="AZ434" s="598" t="e">
        <f>+VLOOKUP($AJ434,Data_Validation!$A:$E,5,0)</f>
        <v>#N/A</v>
      </c>
    </row>
    <row r="435" spans="36:52" ht="15.75" customHeight="1">
      <c r="AJ435" s="1030">
        <f t="shared" si="24"/>
        <v>0</v>
      </c>
      <c r="AK435" s="1030">
        <f t="shared" si="24"/>
        <v>0</v>
      </c>
      <c r="AL435" s="1030">
        <f>IFERROR(INDEX(G435:R435,1,MATCH(Parametres!$B$3,G$1:R$1,0)-1)*IF(OR(F435="L",F435="S",F435="I"),-1,1),"")</f>
        <v>0</v>
      </c>
      <c r="AM435" s="1030">
        <f t="shared" si="25"/>
        <v>0</v>
      </c>
      <c r="AN435" s="1030">
        <f>INDEX(G435:R435,1,MATCH(Parametres!$B$3,G$1:R$1,0))*IF(OR(F435="L",F435="S",F435="I"),-1,1)</f>
        <v>0</v>
      </c>
      <c r="AO435" s="598" t="e">
        <f>+VLOOKUP($AJ435,Data_Validation!$A:$D,1,0)</f>
        <v>#N/A</v>
      </c>
      <c r="AP435" s="598" t="e">
        <f>+VLOOKUP($AJ435,Data_Validation!$A:$D,3,0)</f>
        <v>#N/A</v>
      </c>
      <c r="AQ435" s="598" t="e">
        <f>+VLOOKUP($AJ435,Data_Validation!$A:$D,4,0)</f>
        <v>#N/A</v>
      </c>
      <c r="AR435" s="598" t="s">
        <v>299</v>
      </c>
      <c r="AS435" s="598" t="e">
        <f>+VLOOKUP($AJ435,Data_Validation!$A:$E,5,0)</f>
        <v>#N/A</v>
      </c>
      <c r="AT435" s="1036">
        <f t="shared" si="26"/>
        <v>0</v>
      </c>
      <c r="AU435" s="599">
        <f t="shared" si="26"/>
        <v>0</v>
      </c>
      <c r="AV435" s="1030">
        <f>IFERROR(INDEX(V435:AG435,1,MATCH(Parametres!$B$3,V$1:AG$1,0)-1)*IF(OR(C435="L",C435="S",C435="I"),-1,1),"")</f>
        <v>0</v>
      </c>
      <c r="AW435" s="1030">
        <f t="shared" si="27"/>
        <v>0</v>
      </c>
      <c r="AX435" s="1030">
        <f>INDEX(V435:AG435,1,MATCH(Parametres!$B$3,V$1:AG$1,0))*IF(OR(C435="L",C435="S",C435="I"),-1,1)</f>
        <v>0</v>
      </c>
      <c r="AY435" s="598" t="s">
        <v>337</v>
      </c>
      <c r="AZ435" s="598" t="e">
        <f>+VLOOKUP($AJ435,Data_Validation!$A:$E,5,0)</f>
        <v>#N/A</v>
      </c>
    </row>
    <row r="436" spans="36:52" ht="15.75" customHeight="1">
      <c r="AJ436" s="1030">
        <f t="shared" si="24"/>
        <v>0</v>
      </c>
      <c r="AK436" s="1030">
        <f t="shared" si="24"/>
        <v>0</v>
      </c>
      <c r="AL436" s="1030">
        <f>IFERROR(INDEX(G436:R436,1,MATCH(Parametres!$B$3,G$1:R$1,0)-1)*IF(OR(F436="L",F436="S",F436="I"),-1,1),"")</f>
        <v>0</v>
      </c>
      <c r="AM436" s="1030">
        <f t="shared" si="25"/>
        <v>0</v>
      </c>
      <c r="AN436" s="1030">
        <f>INDEX(G436:R436,1,MATCH(Parametres!$B$3,G$1:R$1,0))*IF(OR(F436="L",F436="S",F436="I"),-1,1)</f>
        <v>0</v>
      </c>
      <c r="AO436" s="598" t="e">
        <f>+VLOOKUP($AJ436,Data_Validation!$A:$D,1,0)</f>
        <v>#N/A</v>
      </c>
      <c r="AP436" s="598" t="e">
        <f>+VLOOKUP($AJ436,Data_Validation!$A:$D,3,0)</f>
        <v>#N/A</v>
      </c>
      <c r="AQ436" s="598" t="e">
        <f>+VLOOKUP($AJ436,Data_Validation!$A:$D,4,0)</f>
        <v>#N/A</v>
      </c>
      <c r="AR436" s="598" t="s">
        <v>299</v>
      </c>
      <c r="AS436" s="598" t="e">
        <f>+VLOOKUP($AJ436,Data_Validation!$A:$E,5,0)</f>
        <v>#N/A</v>
      </c>
      <c r="AT436" s="1036">
        <f t="shared" si="26"/>
        <v>0</v>
      </c>
      <c r="AU436" s="599">
        <f t="shared" si="26"/>
        <v>0</v>
      </c>
      <c r="AV436" s="1030">
        <f>IFERROR(INDEX(V436:AG436,1,MATCH(Parametres!$B$3,V$1:AG$1,0)-1)*IF(OR(C436="L",C436="S",C436="I"),-1,1),"")</f>
        <v>0</v>
      </c>
      <c r="AW436" s="1030">
        <f t="shared" si="27"/>
        <v>0</v>
      </c>
      <c r="AX436" s="1030">
        <f>INDEX(V436:AG436,1,MATCH(Parametres!$B$3,V$1:AG$1,0))*IF(OR(C436="L",C436="S",C436="I"),-1,1)</f>
        <v>0</v>
      </c>
      <c r="AY436" s="598" t="s">
        <v>337</v>
      </c>
      <c r="AZ436" s="598" t="e">
        <f>+VLOOKUP($AJ436,Data_Validation!$A:$E,5,0)</f>
        <v>#N/A</v>
      </c>
    </row>
    <row r="437" spans="36:52" ht="15.75" customHeight="1">
      <c r="AJ437" s="1030">
        <f t="shared" si="24"/>
        <v>0</v>
      </c>
      <c r="AK437" s="1030">
        <f t="shared" si="24"/>
        <v>0</v>
      </c>
      <c r="AL437" s="1030">
        <f>IFERROR(INDEX(G437:R437,1,MATCH(Parametres!$B$3,G$1:R$1,0)-1)*IF(OR(F437="L",F437="S",F437="I"),-1,1),"")</f>
        <v>0</v>
      </c>
      <c r="AM437" s="1030">
        <f t="shared" si="25"/>
        <v>0</v>
      </c>
      <c r="AN437" s="1030">
        <f>INDEX(G437:R437,1,MATCH(Parametres!$B$3,G$1:R$1,0))*IF(OR(F437="L",F437="S",F437="I"),-1,1)</f>
        <v>0</v>
      </c>
      <c r="AO437" s="598" t="e">
        <f>+VLOOKUP($AJ437,Data_Validation!$A:$D,1,0)</f>
        <v>#N/A</v>
      </c>
      <c r="AP437" s="598" t="e">
        <f>+VLOOKUP($AJ437,Data_Validation!$A:$D,3,0)</f>
        <v>#N/A</v>
      </c>
      <c r="AQ437" s="598" t="e">
        <f>+VLOOKUP($AJ437,Data_Validation!$A:$D,4,0)</f>
        <v>#N/A</v>
      </c>
      <c r="AR437" s="598" t="s">
        <v>299</v>
      </c>
      <c r="AS437" s="598" t="e">
        <f>+VLOOKUP($AJ437,Data_Validation!$A:$E,5,0)</f>
        <v>#N/A</v>
      </c>
      <c r="AT437" s="1036">
        <f t="shared" si="26"/>
        <v>0</v>
      </c>
      <c r="AU437" s="599">
        <f t="shared" si="26"/>
        <v>0</v>
      </c>
      <c r="AV437" s="1030">
        <f>IFERROR(INDEX(V437:AG437,1,MATCH(Parametres!$B$3,V$1:AG$1,0)-1)*IF(OR(C437="L",C437="S",C437="I"),-1,1),"")</f>
        <v>0</v>
      </c>
      <c r="AW437" s="1030">
        <f t="shared" si="27"/>
        <v>0</v>
      </c>
      <c r="AX437" s="1030">
        <f>INDEX(V437:AG437,1,MATCH(Parametres!$B$3,V$1:AG$1,0))*IF(OR(C437="L",C437="S",C437="I"),-1,1)</f>
        <v>0</v>
      </c>
      <c r="AY437" s="598" t="s">
        <v>337</v>
      </c>
      <c r="AZ437" s="598" t="e">
        <f>+VLOOKUP($AJ437,Data_Validation!$A:$E,5,0)</f>
        <v>#N/A</v>
      </c>
    </row>
    <row r="438" spans="36:52" ht="15.75" customHeight="1">
      <c r="AJ438" s="1030">
        <f t="shared" si="24"/>
        <v>0</v>
      </c>
      <c r="AK438" s="1030">
        <f t="shared" si="24"/>
        <v>0</v>
      </c>
      <c r="AL438" s="1030">
        <f>IFERROR(INDEX(G438:R438,1,MATCH(Parametres!$B$3,G$1:R$1,0)-1)*IF(OR(F438="L",F438="S",F438="I"),-1,1),"")</f>
        <v>0</v>
      </c>
      <c r="AM438" s="1030">
        <f t="shared" si="25"/>
        <v>0</v>
      </c>
      <c r="AN438" s="1030">
        <f>INDEX(G438:R438,1,MATCH(Parametres!$B$3,G$1:R$1,0))*IF(OR(F438="L",F438="S",F438="I"),-1,1)</f>
        <v>0</v>
      </c>
      <c r="AO438" s="598" t="e">
        <f>+VLOOKUP($AJ438,Data_Validation!$A:$D,1,0)</f>
        <v>#N/A</v>
      </c>
      <c r="AP438" s="598" t="e">
        <f>+VLOOKUP($AJ438,Data_Validation!$A:$D,3,0)</f>
        <v>#N/A</v>
      </c>
      <c r="AQ438" s="598" t="e">
        <f>+VLOOKUP($AJ438,Data_Validation!$A:$D,4,0)</f>
        <v>#N/A</v>
      </c>
      <c r="AR438" s="598" t="s">
        <v>299</v>
      </c>
      <c r="AS438" s="598" t="e">
        <f>+VLOOKUP($AJ438,Data_Validation!$A:$E,5,0)</f>
        <v>#N/A</v>
      </c>
      <c r="AT438" s="1036">
        <f t="shared" si="26"/>
        <v>0</v>
      </c>
      <c r="AU438" s="599">
        <f t="shared" si="26"/>
        <v>0</v>
      </c>
      <c r="AV438" s="1030">
        <f>IFERROR(INDEX(V438:AG438,1,MATCH(Parametres!$B$3,V$1:AG$1,0)-1)*IF(OR(C438="L",C438="S",C438="I"),-1,1),"")</f>
        <v>0</v>
      </c>
      <c r="AW438" s="1030">
        <f t="shared" si="27"/>
        <v>0</v>
      </c>
      <c r="AX438" s="1030">
        <f>INDEX(V438:AG438,1,MATCH(Parametres!$B$3,V$1:AG$1,0))*IF(OR(C438="L",C438="S",C438="I"),-1,1)</f>
        <v>0</v>
      </c>
      <c r="AY438" s="598" t="s">
        <v>337</v>
      </c>
      <c r="AZ438" s="598" t="e">
        <f>+VLOOKUP($AJ438,Data_Validation!$A:$E,5,0)</f>
        <v>#N/A</v>
      </c>
    </row>
    <row r="439" spans="36:52" ht="15.75" customHeight="1">
      <c r="AJ439" s="1030">
        <f t="shared" si="24"/>
        <v>0</v>
      </c>
      <c r="AK439" s="1030">
        <f t="shared" si="24"/>
        <v>0</v>
      </c>
      <c r="AL439" s="1030">
        <f>IFERROR(INDEX(G439:R439,1,MATCH(Parametres!$B$3,G$1:R$1,0)-1)*IF(OR(F439="L",F439="S",F439="I"),-1,1),"")</f>
        <v>0</v>
      </c>
      <c r="AM439" s="1030">
        <f t="shared" si="25"/>
        <v>0</v>
      </c>
      <c r="AN439" s="1030">
        <f>INDEX(G439:R439,1,MATCH(Parametres!$B$3,G$1:R$1,0))*IF(OR(F439="L",F439="S",F439="I"),-1,1)</f>
        <v>0</v>
      </c>
      <c r="AO439" s="598" t="e">
        <f>+VLOOKUP($AJ439,Data_Validation!$A:$D,1,0)</f>
        <v>#N/A</v>
      </c>
      <c r="AP439" s="598" t="e">
        <f>+VLOOKUP($AJ439,Data_Validation!$A:$D,3,0)</f>
        <v>#N/A</v>
      </c>
      <c r="AQ439" s="598" t="e">
        <f>+VLOOKUP($AJ439,Data_Validation!$A:$D,4,0)</f>
        <v>#N/A</v>
      </c>
      <c r="AR439" s="598" t="s">
        <v>299</v>
      </c>
      <c r="AS439" s="598" t="e">
        <f>+VLOOKUP($AJ439,Data_Validation!$A:$E,5,0)</f>
        <v>#N/A</v>
      </c>
      <c r="AT439" s="1036">
        <f t="shared" si="26"/>
        <v>0</v>
      </c>
      <c r="AU439" s="599">
        <f t="shared" si="26"/>
        <v>0</v>
      </c>
      <c r="AV439" s="1030">
        <f>IFERROR(INDEX(V439:AG439,1,MATCH(Parametres!$B$3,V$1:AG$1,0)-1)*IF(OR(C439="L",C439="S",C439="I"),-1,1),"")</f>
        <v>0</v>
      </c>
      <c r="AW439" s="1030">
        <f t="shared" si="27"/>
        <v>0</v>
      </c>
      <c r="AX439" s="1030">
        <f>INDEX(V439:AG439,1,MATCH(Parametres!$B$3,V$1:AG$1,0))*IF(OR(C439="L",C439="S",C439="I"),-1,1)</f>
        <v>0</v>
      </c>
      <c r="AY439" s="598" t="s">
        <v>337</v>
      </c>
      <c r="AZ439" s="598" t="e">
        <f>+VLOOKUP($AJ439,Data_Validation!$A:$E,5,0)</f>
        <v>#N/A</v>
      </c>
    </row>
    <row r="440" spans="36:52" ht="15.75" customHeight="1">
      <c r="AJ440" s="1030">
        <f t="shared" si="24"/>
        <v>0</v>
      </c>
      <c r="AK440" s="1030">
        <f t="shared" si="24"/>
        <v>0</v>
      </c>
      <c r="AL440" s="1030">
        <f>IFERROR(INDEX(G440:R440,1,MATCH(Parametres!$B$3,G$1:R$1,0)-1)*IF(OR(F440="L",F440="S",F440="I"),-1,1),"")</f>
        <v>0</v>
      </c>
      <c r="AM440" s="1030">
        <f t="shared" si="25"/>
        <v>0</v>
      </c>
      <c r="AN440" s="1030">
        <f>INDEX(G440:R440,1,MATCH(Parametres!$B$3,G$1:R$1,0))*IF(OR(F440="L",F440="S",F440="I"),-1,1)</f>
        <v>0</v>
      </c>
      <c r="AO440" s="598" t="e">
        <f>+VLOOKUP($AJ440,Data_Validation!$A:$D,1,0)</f>
        <v>#N/A</v>
      </c>
      <c r="AP440" s="598" t="e">
        <f>+VLOOKUP($AJ440,Data_Validation!$A:$D,3,0)</f>
        <v>#N/A</v>
      </c>
      <c r="AQ440" s="598" t="e">
        <f>+VLOOKUP($AJ440,Data_Validation!$A:$D,4,0)</f>
        <v>#N/A</v>
      </c>
      <c r="AR440" s="598" t="s">
        <v>299</v>
      </c>
      <c r="AS440" s="598" t="e">
        <f>+VLOOKUP($AJ440,Data_Validation!$A:$E,5,0)</f>
        <v>#N/A</v>
      </c>
      <c r="AT440" s="1036">
        <f t="shared" si="26"/>
        <v>0</v>
      </c>
      <c r="AU440" s="599">
        <f t="shared" si="26"/>
        <v>0</v>
      </c>
      <c r="AV440" s="1030">
        <f>IFERROR(INDEX(V440:AG440,1,MATCH(Parametres!$B$3,V$1:AG$1,0)-1)*IF(OR(C440="L",C440="S",C440="I"),-1,1),"")</f>
        <v>0</v>
      </c>
      <c r="AW440" s="1030">
        <f t="shared" si="27"/>
        <v>0</v>
      </c>
      <c r="AX440" s="1030">
        <f>INDEX(V440:AG440,1,MATCH(Parametres!$B$3,V$1:AG$1,0))*IF(OR(C440="L",C440="S",C440="I"),-1,1)</f>
        <v>0</v>
      </c>
      <c r="AY440" s="598" t="s">
        <v>337</v>
      </c>
      <c r="AZ440" s="598" t="e">
        <f>+VLOOKUP($AJ440,Data_Validation!$A:$E,5,0)</f>
        <v>#N/A</v>
      </c>
    </row>
    <row r="441" spans="36:52" ht="15.75" customHeight="1">
      <c r="AJ441" s="1030">
        <f t="shared" si="24"/>
        <v>0</v>
      </c>
      <c r="AK441" s="1030">
        <f t="shared" si="24"/>
        <v>0</v>
      </c>
      <c r="AL441" s="1030">
        <f>IFERROR(INDEX(G441:R441,1,MATCH(Parametres!$B$3,G$1:R$1,0)-1)*IF(OR(F441="L",F441="S",F441="I"),-1,1),"")</f>
        <v>0</v>
      </c>
      <c r="AM441" s="1030">
        <f t="shared" si="25"/>
        <v>0</v>
      </c>
      <c r="AN441" s="1030">
        <f>INDEX(G441:R441,1,MATCH(Parametres!$B$3,G$1:R$1,0))*IF(OR(F441="L",F441="S",F441="I"),-1,1)</f>
        <v>0</v>
      </c>
      <c r="AO441" s="598" t="e">
        <f>+VLOOKUP($AJ441,Data_Validation!$A:$D,1,0)</f>
        <v>#N/A</v>
      </c>
      <c r="AP441" s="598" t="e">
        <f>+VLOOKUP($AJ441,Data_Validation!$A:$D,3,0)</f>
        <v>#N/A</v>
      </c>
      <c r="AQ441" s="598" t="e">
        <f>+VLOOKUP($AJ441,Data_Validation!$A:$D,4,0)</f>
        <v>#N/A</v>
      </c>
      <c r="AR441" s="598" t="s">
        <v>299</v>
      </c>
      <c r="AS441" s="598" t="e">
        <f>+VLOOKUP($AJ441,Data_Validation!$A:$E,5,0)</f>
        <v>#N/A</v>
      </c>
      <c r="AT441" s="1036">
        <f t="shared" si="26"/>
        <v>0</v>
      </c>
      <c r="AU441" s="599">
        <f t="shared" si="26"/>
        <v>0</v>
      </c>
      <c r="AV441" s="1030">
        <f>IFERROR(INDEX(V441:AG441,1,MATCH(Parametres!$B$3,V$1:AG$1,0)-1)*IF(OR(C441="L",C441="S",C441="I"),-1,1),"")</f>
        <v>0</v>
      </c>
      <c r="AW441" s="1030">
        <f t="shared" si="27"/>
        <v>0</v>
      </c>
      <c r="AX441" s="1030">
        <f>INDEX(V441:AG441,1,MATCH(Parametres!$B$3,V$1:AG$1,0))*IF(OR(C441="L",C441="S",C441="I"),-1,1)</f>
        <v>0</v>
      </c>
      <c r="AY441" s="598" t="s">
        <v>337</v>
      </c>
      <c r="AZ441" s="598" t="e">
        <f>+VLOOKUP($AJ441,Data_Validation!$A:$E,5,0)</f>
        <v>#N/A</v>
      </c>
    </row>
    <row r="442" spans="36:52" ht="15.75" customHeight="1">
      <c r="AJ442" s="1030">
        <f t="shared" si="24"/>
        <v>0</v>
      </c>
      <c r="AK442" s="1030">
        <f t="shared" si="24"/>
        <v>0</v>
      </c>
      <c r="AL442" s="1030">
        <f>IFERROR(INDEX(G442:R442,1,MATCH(Parametres!$B$3,G$1:R$1,0)-1)*IF(OR(F442="L",F442="S",F442="I"),-1,1),"")</f>
        <v>0</v>
      </c>
      <c r="AM442" s="1030">
        <f t="shared" si="25"/>
        <v>0</v>
      </c>
      <c r="AN442" s="1030">
        <f>INDEX(G442:R442,1,MATCH(Parametres!$B$3,G$1:R$1,0))*IF(OR(F442="L",F442="S",F442="I"),-1,1)</f>
        <v>0</v>
      </c>
      <c r="AO442" s="598" t="e">
        <f>+VLOOKUP($AJ442,Data_Validation!$A:$D,1,0)</f>
        <v>#N/A</v>
      </c>
      <c r="AP442" s="598" t="e">
        <f>+VLOOKUP($AJ442,Data_Validation!$A:$D,3,0)</f>
        <v>#N/A</v>
      </c>
      <c r="AQ442" s="598" t="e">
        <f>+VLOOKUP($AJ442,Data_Validation!$A:$D,4,0)</f>
        <v>#N/A</v>
      </c>
      <c r="AR442" s="598" t="s">
        <v>299</v>
      </c>
      <c r="AS442" s="598" t="e">
        <f>+VLOOKUP($AJ442,Data_Validation!$A:$E,5,0)</f>
        <v>#N/A</v>
      </c>
      <c r="AT442" s="1036">
        <f t="shared" si="26"/>
        <v>0</v>
      </c>
      <c r="AU442" s="599">
        <f t="shared" si="26"/>
        <v>0</v>
      </c>
      <c r="AV442" s="1030">
        <f>IFERROR(INDEX(V442:AG442,1,MATCH(Parametres!$B$3,V$1:AG$1,0)-1)*IF(OR(C442="L",C442="S",C442="I"),-1,1),"")</f>
        <v>0</v>
      </c>
      <c r="AW442" s="1030">
        <f t="shared" si="27"/>
        <v>0</v>
      </c>
      <c r="AX442" s="1030">
        <f>INDEX(V442:AG442,1,MATCH(Parametres!$B$3,V$1:AG$1,0))*IF(OR(C442="L",C442="S",C442="I"),-1,1)</f>
        <v>0</v>
      </c>
      <c r="AY442" s="598" t="s">
        <v>337</v>
      </c>
      <c r="AZ442" s="598" t="e">
        <f>+VLOOKUP($AJ442,Data_Validation!$A:$E,5,0)</f>
        <v>#N/A</v>
      </c>
    </row>
    <row r="443" spans="36:52" ht="15.75" customHeight="1">
      <c r="AJ443" s="1030">
        <f t="shared" si="24"/>
        <v>0</v>
      </c>
      <c r="AK443" s="1030">
        <f t="shared" si="24"/>
        <v>0</v>
      </c>
      <c r="AL443" s="1030">
        <f>IFERROR(INDEX(G443:R443,1,MATCH(Parametres!$B$3,G$1:R$1,0)-1)*IF(OR(F443="L",F443="S",F443="I"),-1,1),"")</f>
        <v>0</v>
      </c>
      <c r="AM443" s="1030">
        <f t="shared" si="25"/>
        <v>0</v>
      </c>
      <c r="AN443" s="1030">
        <f>INDEX(G443:R443,1,MATCH(Parametres!$B$3,G$1:R$1,0))*IF(OR(F443="L",F443="S",F443="I"),-1,1)</f>
        <v>0</v>
      </c>
      <c r="AO443" s="598" t="e">
        <f>+VLOOKUP($AJ443,Data_Validation!$A:$D,1,0)</f>
        <v>#N/A</v>
      </c>
      <c r="AP443" s="598" t="e">
        <f>+VLOOKUP($AJ443,Data_Validation!$A:$D,3,0)</f>
        <v>#N/A</v>
      </c>
      <c r="AQ443" s="598" t="e">
        <f>+VLOOKUP($AJ443,Data_Validation!$A:$D,4,0)</f>
        <v>#N/A</v>
      </c>
      <c r="AR443" s="598" t="s">
        <v>299</v>
      </c>
      <c r="AS443" s="598" t="e">
        <f>+VLOOKUP($AJ443,Data_Validation!$A:$E,5,0)</f>
        <v>#N/A</v>
      </c>
      <c r="AT443" s="1036">
        <f t="shared" si="26"/>
        <v>0</v>
      </c>
      <c r="AU443" s="599">
        <f t="shared" si="26"/>
        <v>0</v>
      </c>
      <c r="AV443" s="1030">
        <f>IFERROR(INDEX(V443:AG443,1,MATCH(Parametres!$B$3,V$1:AG$1,0)-1)*IF(OR(C443="L",C443="S",C443="I"),-1,1),"")</f>
        <v>0</v>
      </c>
      <c r="AW443" s="1030">
        <f t="shared" si="27"/>
        <v>0</v>
      </c>
      <c r="AX443" s="1030">
        <f>INDEX(V443:AG443,1,MATCH(Parametres!$B$3,V$1:AG$1,0))*IF(OR(C443="L",C443="S",C443="I"),-1,1)</f>
        <v>0</v>
      </c>
      <c r="AY443" s="598" t="s">
        <v>337</v>
      </c>
      <c r="AZ443" s="598" t="e">
        <f>+VLOOKUP($AJ443,Data_Validation!$A:$E,5,0)</f>
        <v>#N/A</v>
      </c>
    </row>
    <row r="444" spans="36:52" ht="15.75" customHeight="1">
      <c r="AJ444" s="1030">
        <f t="shared" si="24"/>
        <v>0</v>
      </c>
      <c r="AK444" s="1030">
        <f t="shared" si="24"/>
        <v>0</v>
      </c>
      <c r="AL444" s="1030">
        <f>IFERROR(INDEX(G444:R444,1,MATCH(Parametres!$B$3,G$1:R$1,0)-1)*IF(OR(F444="L",F444="S",F444="I"),-1,1),"")</f>
        <v>0</v>
      </c>
      <c r="AM444" s="1030">
        <f t="shared" si="25"/>
        <v>0</v>
      </c>
      <c r="AN444" s="1030">
        <f>INDEX(G444:R444,1,MATCH(Parametres!$B$3,G$1:R$1,0))*IF(OR(F444="L",F444="S",F444="I"),-1,1)</f>
        <v>0</v>
      </c>
      <c r="AO444" s="598" t="e">
        <f>+VLOOKUP($AJ444,Data_Validation!$A:$D,1,0)</f>
        <v>#N/A</v>
      </c>
      <c r="AP444" s="598" t="e">
        <f>+VLOOKUP($AJ444,Data_Validation!$A:$D,3,0)</f>
        <v>#N/A</v>
      </c>
      <c r="AQ444" s="598" t="e">
        <f>+VLOOKUP($AJ444,Data_Validation!$A:$D,4,0)</f>
        <v>#N/A</v>
      </c>
      <c r="AR444" s="598" t="s">
        <v>299</v>
      </c>
      <c r="AS444" s="598" t="e">
        <f>+VLOOKUP($AJ444,Data_Validation!$A:$E,5,0)</f>
        <v>#N/A</v>
      </c>
      <c r="AT444" s="1036">
        <f t="shared" si="26"/>
        <v>0</v>
      </c>
      <c r="AU444" s="599">
        <f t="shared" si="26"/>
        <v>0</v>
      </c>
      <c r="AV444" s="1030">
        <f>IFERROR(INDEX(V444:AG444,1,MATCH(Parametres!$B$3,V$1:AG$1,0)-1)*IF(OR(C444="L",C444="S",C444="I"),-1,1),"")</f>
        <v>0</v>
      </c>
      <c r="AW444" s="1030">
        <f t="shared" si="27"/>
        <v>0</v>
      </c>
      <c r="AX444" s="1030">
        <f>INDEX(V444:AG444,1,MATCH(Parametres!$B$3,V$1:AG$1,0))*IF(OR(C444="L",C444="S",C444="I"),-1,1)</f>
        <v>0</v>
      </c>
      <c r="AY444" s="598" t="s">
        <v>337</v>
      </c>
      <c r="AZ444" s="598" t="e">
        <f>+VLOOKUP($AJ444,Data_Validation!$A:$E,5,0)</f>
        <v>#N/A</v>
      </c>
    </row>
    <row r="445" spans="36:52" ht="15.75" customHeight="1">
      <c r="AJ445" s="1030">
        <f t="shared" si="24"/>
        <v>0</v>
      </c>
      <c r="AK445" s="1030">
        <f t="shared" si="24"/>
        <v>0</v>
      </c>
      <c r="AL445" s="1030">
        <f>IFERROR(INDEX(G445:R445,1,MATCH(Parametres!$B$3,G$1:R$1,0)-1)*IF(OR(F445="L",F445="S",F445="I"),-1,1),"")</f>
        <v>0</v>
      </c>
      <c r="AM445" s="1030">
        <f t="shared" si="25"/>
        <v>0</v>
      </c>
      <c r="AN445" s="1030">
        <f>INDEX(G445:R445,1,MATCH(Parametres!$B$3,G$1:R$1,0))*IF(OR(F445="L",F445="S",F445="I"),-1,1)</f>
        <v>0</v>
      </c>
      <c r="AO445" s="598" t="e">
        <f>+VLOOKUP($AJ445,Data_Validation!$A:$D,1,0)</f>
        <v>#N/A</v>
      </c>
      <c r="AP445" s="598" t="e">
        <f>+VLOOKUP($AJ445,Data_Validation!$A:$D,3,0)</f>
        <v>#N/A</v>
      </c>
      <c r="AQ445" s="598" t="e">
        <f>+VLOOKUP($AJ445,Data_Validation!$A:$D,4,0)</f>
        <v>#N/A</v>
      </c>
      <c r="AR445" s="598" t="s">
        <v>299</v>
      </c>
      <c r="AS445" s="598" t="e">
        <f>+VLOOKUP($AJ445,Data_Validation!$A:$E,5,0)</f>
        <v>#N/A</v>
      </c>
      <c r="AT445" s="1036">
        <f t="shared" si="26"/>
        <v>0</v>
      </c>
      <c r="AU445" s="599">
        <f t="shared" si="26"/>
        <v>0</v>
      </c>
      <c r="AV445" s="1030">
        <f>IFERROR(INDEX(V445:AG445,1,MATCH(Parametres!$B$3,V$1:AG$1,0)-1)*IF(OR(C445="L",C445="S",C445="I"),-1,1),"")</f>
        <v>0</v>
      </c>
      <c r="AW445" s="1030">
        <f t="shared" si="27"/>
        <v>0</v>
      </c>
      <c r="AX445" s="1030">
        <f>INDEX(V445:AG445,1,MATCH(Parametres!$B$3,V$1:AG$1,0))*IF(OR(C445="L",C445="S",C445="I"),-1,1)</f>
        <v>0</v>
      </c>
      <c r="AY445" s="598" t="s">
        <v>337</v>
      </c>
      <c r="AZ445" s="598" t="e">
        <f>+VLOOKUP($AJ445,Data_Validation!$A:$E,5,0)</f>
        <v>#N/A</v>
      </c>
    </row>
    <row r="446" spans="36:52" ht="15.75" customHeight="1">
      <c r="AJ446" s="1030">
        <f t="shared" si="24"/>
        <v>0</v>
      </c>
      <c r="AK446" s="1030">
        <f t="shared" si="24"/>
        <v>0</v>
      </c>
      <c r="AL446" s="1030">
        <f>IFERROR(INDEX(G446:R446,1,MATCH(Parametres!$B$3,G$1:R$1,0)-1)*IF(OR(F446="L",F446="S",F446="I"),-1,1),"")</f>
        <v>0</v>
      </c>
      <c r="AM446" s="1030">
        <f t="shared" si="25"/>
        <v>0</v>
      </c>
      <c r="AN446" s="1030">
        <f>INDEX(G446:R446,1,MATCH(Parametres!$B$3,G$1:R$1,0))*IF(OR(F446="L",F446="S",F446="I"),-1,1)</f>
        <v>0</v>
      </c>
      <c r="AO446" s="598" t="e">
        <f>+VLOOKUP($AJ446,Data_Validation!$A:$D,1,0)</f>
        <v>#N/A</v>
      </c>
      <c r="AP446" s="598" t="e">
        <f>+VLOOKUP($AJ446,Data_Validation!$A:$D,3,0)</f>
        <v>#N/A</v>
      </c>
      <c r="AQ446" s="598" t="e">
        <f>+VLOOKUP($AJ446,Data_Validation!$A:$D,4,0)</f>
        <v>#N/A</v>
      </c>
      <c r="AR446" s="598" t="s">
        <v>299</v>
      </c>
      <c r="AS446" s="598" t="e">
        <f>+VLOOKUP($AJ446,Data_Validation!$A:$E,5,0)</f>
        <v>#N/A</v>
      </c>
      <c r="AT446" s="1036">
        <f t="shared" si="26"/>
        <v>0</v>
      </c>
      <c r="AU446" s="599">
        <f t="shared" si="26"/>
        <v>0</v>
      </c>
      <c r="AV446" s="1030">
        <f>IFERROR(INDEX(V446:AG446,1,MATCH(Parametres!$B$3,V$1:AG$1,0)-1)*IF(OR(C446="L",C446="S",C446="I"),-1,1),"")</f>
        <v>0</v>
      </c>
      <c r="AW446" s="1030">
        <f t="shared" si="27"/>
        <v>0</v>
      </c>
      <c r="AX446" s="1030">
        <f>INDEX(V446:AG446,1,MATCH(Parametres!$B$3,V$1:AG$1,0))*IF(OR(C446="L",C446="S",C446="I"),-1,1)</f>
        <v>0</v>
      </c>
      <c r="AY446" s="598" t="s">
        <v>337</v>
      </c>
      <c r="AZ446" s="598" t="e">
        <f>+VLOOKUP($AJ446,Data_Validation!$A:$E,5,0)</f>
        <v>#N/A</v>
      </c>
    </row>
    <row r="447" spans="36:52" ht="15.75" customHeight="1">
      <c r="AJ447" s="1030">
        <f t="shared" si="24"/>
        <v>0</v>
      </c>
      <c r="AK447" s="1030">
        <f t="shared" si="24"/>
        <v>0</v>
      </c>
      <c r="AL447" s="1030">
        <f>IFERROR(INDEX(G447:R447,1,MATCH(Parametres!$B$3,G$1:R$1,0)-1)*IF(OR(F447="L",F447="S",F447="I"),-1,1),"")</f>
        <v>0</v>
      </c>
      <c r="AM447" s="1030">
        <f t="shared" si="25"/>
        <v>0</v>
      </c>
      <c r="AN447" s="1030">
        <f>INDEX(G447:R447,1,MATCH(Parametres!$B$3,G$1:R$1,0))*IF(OR(F447="L",F447="S",F447="I"),-1,1)</f>
        <v>0</v>
      </c>
      <c r="AO447" s="598" t="e">
        <f>+VLOOKUP($AJ447,Data_Validation!$A:$D,1,0)</f>
        <v>#N/A</v>
      </c>
      <c r="AP447" s="598" t="e">
        <f>+VLOOKUP($AJ447,Data_Validation!$A:$D,3,0)</f>
        <v>#N/A</v>
      </c>
      <c r="AQ447" s="598" t="e">
        <f>+VLOOKUP($AJ447,Data_Validation!$A:$D,4,0)</f>
        <v>#N/A</v>
      </c>
      <c r="AR447" s="598" t="s">
        <v>299</v>
      </c>
      <c r="AS447" s="598" t="e">
        <f>+VLOOKUP($AJ447,Data_Validation!$A:$E,5,0)</f>
        <v>#N/A</v>
      </c>
      <c r="AT447" s="1036">
        <f t="shared" si="26"/>
        <v>0</v>
      </c>
      <c r="AU447" s="599">
        <f t="shared" si="26"/>
        <v>0</v>
      </c>
      <c r="AV447" s="1030">
        <f>IFERROR(INDEX(V447:AG447,1,MATCH(Parametres!$B$3,V$1:AG$1,0)-1)*IF(OR(C447="L",C447="S",C447="I"),-1,1),"")</f>
        <v>0</v>
      </c>
      <c r="AW447" s="1030">
        <f t="shared" si="27"/>
        <v>0</v>
      </c>
      <c r="AX447" s="1030">
        <f>INDEX(V447:AG447,1,MATCH(Parametres!$B$3,V$1:AG$1,0))*IF(OR(C447="L",C447="S",C447="I"),-1,1)</f>
        <v>0</v>
      </c>
      <c r="AY447" s="598" t="s">
        <v>337</v>
      </c>
      <c r="AZ447" s="598" t="e">
        <f>+VLOOKUP($AJ447,Data_Validation!$A:$E,5,0)</f>
        <v>#N/A</v>
      </c>
    </row>
    <row r="448" spans="36:52" ht="15.75" customHeight="1">
      <c r="AJ448" s="1030">
        <f t="shared" si="24"/>
        <v>0</v>
      </c>
      <c r="AK448" s="1030">
        <f t="shared" si="24"/>
        <v>0</v>
      </c>
      <c r="AL448" s="1030">
        <f>IFERROR(INDEX(G448:R448,1,MATCH(Parametres!$B$3,G$1:R$1,0)-1)*IF(OR(F448="L",F448="S",F448="I"),-1,1),"")</f>
        <v>0</v>
      </c>
      <c r="AM448" s="1030">
        <f t="shared" si="25"/>
        <v>0</v>
      </c>
      <c r="AN448" s="1030">
        <f>INDEX(G448:R448,1,MATCH(Parametres!$B$3,G$1:R$1,0))*IF(OR(F448="L",F448="S",F448="I"),-1,1)</f>
        <v>0</v>
      </c>
      <c r="AO448" s="598" t="e">
        <f>+VLOOKUP($AJ448,Data_Validation!$A:$D,1,0)</f>
        <v>#N/A</v>
      </c>
      <c r="AP448" s="598" t="e">
        <f>+VLOOKUP($AJ448,Data_Validation!$A:$D,3,0)</f>
        <v>#N/A</v>
      </c>
      <c r="AQ448" s="598" t="e">
        <f>+VLOOKUP($AJ448,Data_Validation!$A:$D,4,0)</f>
        <v>#N/A</v>
      </c>
      <c r="AR448" s="598" t="s">
        <v>299</v>
      </c>
      <c r="AS448" s="598" t="e">
        <f>+VLOOKUP($AJ448,Data_Validation!$A:$E,5,0)</f>
        <v>#N/A</v>
      </c>
      <c r="AT448" s="1036">
        <f t="shared" si="26"/>
        <v>0</v>
      </c>
      <c r="AU448" s="599">
        <f t="shared" si="26"/>
        <v>0</v>
      </c>
      <c r="AV448" s="1030">
        <f>IFERROR(INDEX(V448:AG448,1,MATCH(Parametres!$B$3,V$1:AG$1,0)-1)*IF(OR(C448="L",C448="S",C448="I"),-1,1),"")</f>
        <v>0</v>
      </c>
      <c r="AW448" s="1030">
        <f t="shared" si="27"/>
        <v>0</v>
      </c>
      <c r="AX448" s="1030">
        <f>INDEX(V448:AG448,1,MATCH(Parametres!$B$3,V$1:AG$1,0))*IF(OR(C448="L",C448="S",C448="I"),-1,1)</f>
        <v>0</v>
      </c>
      <c r="AY448" s="598" t="s">
        <v>337</v>
      </c>
      <c r="AZ448" s="598" t="e">
        <f>+VLOOKUP($AJ448,Data_Validation!$A:$E,5,0)</f>
        <v>#N/A</v>
      </c>
    </row>
    <row r="449" spans="36:52" ht="15.75" customHeight="1">
      <c r="AJ449" s="1030">
        <f t="shared" si="24"/>
        <v>0</v>
      </c>
      <c r="AK449" s="1030">
        <f t="shared" si="24"/>
        <v>0</v>
      </c>
      <c r="AL449" s="1030">
        <f>IFERROR(INDEX(G449:R449,1,MATCH(Parametres!$B$3,G$1:R$1,0)-1)*IF(OR(F449="L",F449="S",F449="I"),-1,1),"")</f>
        <v>0</v>
      </c>
      <c r="AM449" s="1030">
        <f t="shared" si="25"/>
        <v>0</v>
      </c>
      <c r="AN449" s="1030">
        <f>INDEX(G449:R449,1,MATCH(Parametres!$B$3,G$1:R$1,0))*IF(OR(F449="L",F449="S",F449="I"),-1,1)</f>
        <v>0</v>
      </c>
      <c r="AO449" s="598" t="e">
        <f>+VLOOKUP($AJ449,Data_Validation!$A:$D,1,0)</f>
        <v>#N/A</v>
      </c>
      <c r="AP449" s="598" t="e">
        <f>+VLOOKUP($AJ449,Data_Validation!$A:$D,3,0)</f>
        <v>#N/A</v>
      </c>
      <c r="AQ449" s="598" t="e">
        <f>+VLOOKUP($AJ449,Data_Validation!$A:$D,4,0)</f>
        <v>#N/A</v>
      </c>
      <c r="AR449" s="598" t="s">
        <v>299</v>
      </c>
      <c r="AS449" s="598" t="e">
        <f>+VLOOKUP($AJ449,Data_Validation!$A:$E,5,0)</f>
        <v>#N/A</v>
      </c>
      <c r="AT449" s="1036">
        <f t="shared" si="26"/>
        <v>0</v>
      </c>
      <c r="AU449" s="599">
        <f t="shared" si="26"/>
        <v>0</v>
      </c>
      <c r="AV449" s="1030">
        <f>IFERROR(INDEX(V449:AG449,1,MATCH(Parametres!$B$3,V$1:AG$1,0)-1)*IF(OR(C449="L",C449="S",C449="I"),-1,1),"")</f>
        <v>0</v>
      </c>
      <c r="AW449" s="1030">
        <f t="shared" si="27"/>
        <v>0</v>
      </c>
      <c r="AX449" s="1030">
        <f>INDEX(V449:AG449,1,MATCH(Parametres!$B$3,V$1:AG$1,0))*IF(OR(C449="L",C449="S",C449="I"),-1,1)</f>
        <v>0</v>
      </c>
      <c r="AY449" s="598" t="s">
        <v>337</v>
      </c>
      <c r="AZ449" s="598" t="e">
        <f>+VLOOKUP($AJ449,Data_Validation!$A:$E,5,0)</f>
        <v>#N/A</v>
      </c>
    </row>
    <row r="450" spans="36:52" ht="15.75" customHeight="1">
      <c r="AJ450" s="1030">
        <f t="shared" si="24"/>
        <v>0</v>
      </c>
      <c r="AK450" s="1030">
        <f t="shared" si="24"/>
        <v>0</v>
      </c>
      <c r="AL450" s="1030">
        <f>IFERROR(INDEX(G450:R450,1,MATCH(Parametres!$B$3,G$1:R$1,0)-1)*IF(OR(F450="L",F450="S",F450="I"),-1,1),"")</f>
        <v>0</v>
      </c>
      <c r="AM450" s="1030">
        <f t="shared" si="25"/>
        <v>0</v>
      </c>
      <c r="AN450" s="1030">
        <f>INDEX(G450:R450,1,MATCH(Parametres!$B$3,G$1:R$1,0))*IF(OR(F450="L",F450="S",F450="I"),-1,1)</f>
        <v>0</v>
      </c>
      <c r="AO450" s="598" t="e">
        <f>+VLOOKUP($AJ450,Data_Validation!$A:$D,1,0)</f>
        <v>#N/A</v>
      </c>
      <c r="AP450" s="598" t="e">
        <f>+VLOOKUP($AJ450,Data_Validation!$A:$D,3,0)</f>
        <v>#N/A</v>
      </c>
      <c r="AQ450" s="598" t="e">
        <f>+VLOOKUP($AJ450,Data_Validation!$A:$D,4,0)</f>
        <v>#N/A</v>
      </c>
      <c r="AR450" s="598" t="s">
        <v>299</v>
      </c>
      <c r="AS450" s="598" t="e">
        <f>+VLOOKUP($AJ450,Data_Validation!$A:$E,5,0)</f>
        <v>#N/A</v>
      </c>
      <c r="AT450" s="1036">
        <f t="shared" si="26"/>
        <v>0</v>
      </c>
      <c r="AU450" s="599">
        <f t="shared" si="26"/>
        <v>0</v>
      </c>
      <c r="AV450" s="1030">
        <f>IFERROR(INDEX(V450:AG450,1,MATCH(Parametres!$B$3,V$1:AG$1,0)-1)*IF(OR(C450="L",C450="S",C450="I"),-1,1),"")</f>
        <v>0</v>
      </c>
      <c r="AW450" s="1030">
        <f t="shared" si="27"/>
        <v>0</v>
      </c>
      <c r="AX450" s="1030">
        <f>INDEX(V450:AG450,1,MATCH(Parametres!$B$3,V$1:AG$1,0))*IF(OR(C450="L",C450="S",C450="I"),-1,1)</f>
        <v>0</v>
      </c>
      <c r="AY450" s="598" t="s">
        <v>337</v>
      </c>
      <c r="AZ450" s="598" t="e">
        <f>+VLOOKUP($AJ450,Data_Validation!$A:$E,5,0)</f>
        <v>#N/A</v>
      </c>
    </row>
    <row r="451" spans="36:52" ht="15.75" customHeight="1">
      <c r="AJ451" s="1030">
        <f t="shared" si="24"/>
        <v>0</v>
      </c>
      <c r="AK451" s="1030">
        <f t="shared" si="24"/>
        <v>0</v>
      </c>
      <c r="AL451" s="1030">
        <f>IFERROR(INDEX(G451:R451,1,MATCH(Parametres!$B$3,G$1:R$1,0)-1)*IF(OR(F451="L",F451="S",F451="I"),-1,1),"")</f>
        <v>0</v>
      </c>
      <c r="AM451" s="1030">
        <f t="shared" si="25"/>
        <v>0</v>
      </c>
      <c r="AN451" s="1030">
        <f>INDEX(G451:R451,1,MATCH(Parametres!$B$3,G$1:R$1,0))*IF(OR(F451="L",F451="S",F451="I"),-1,1)</f>
        <v>0</v>
      </c>
      <c r="AO451" s="598" t="e">
        <f>+VLOOKUP($AJ451,Data_Validation!$A:$D,1,0)</f>
        <v>#N/A</v>
      </c>
      <c r="AP451" s="598" t="e">
        <f>+VLOOKUP($AJ451,Data_Validation!$A:$D,3,0)</f>
        <v>#N/A</v>
      </c>
      <c r="AQ451" s="598" t="e">
        <f>+VLOOKUP($AJ451,Data_Validation!$A:$D,4,0)</f>
        <v>#N/A</v>
      </c>
      <c r="AR451" s="598" t="s">
        <v>299</v>
      </c>
      <c r="AS451" s="598" t="e">
        <f>+VLOOKUP($AJ451,Data_Validation!$A:$E,5,0)</f>
        <v>#N/A</v>
      </c>
      <c r="AT451" s="1036">
        <f t="shared" si="26"/>
        <v>0</v>
      </c>
      <c r="AU451" s="599">
        <f t="shared" si="26"/>
        <v>0</v>
      </c>
      <c r="AV451" s="1030">
        <f>IFERROR(INDEX(V451:AG451,1,MATCH(Parametres!$B$3,V$1:AG$1,0)-1)*IF(OR(C451="L",C451="S",C451="I"),-1,1),"")</f>
        <v>0</v>
      </c>
      <c r="AW451" s="1030">
        <f t="shared" si="27"/>
        <v>0</v>
      </c>
      <c r="AX451" s="1030">
        <f>INDEX(V451:AG451,1,MATCH(Parametres!$B$3,V$1:AG$1,0))*IF(OR(C451="L",C451="S",C451="I"),-1,1)</f>
        <v>0</v>
      </c>
      <c r="AY451" s="598" t="s">
        <v>337</v>
      </c>
      <c r="AZ451" s="598" t="e">
        <f>+VLOOKUP($AJ451,Data_Validation!$A:$E,5,0)</f>
        <v>#N/A</v>
      </c>
    </row>
    <row r="452" spans="36:52" ht="15.75" customHeight="1">
      <c r="AJ452" s="1030">
        <f t="shared" ref="AJ452:AK467" si="28">C452</f>
        <v>0</v>
      </c>
      <c r="AK452" s="1030">
        <f t="shared" si="28"/>
        <v>0</v>
      </c>
      <c r="AL452" s="1030">
        <f>IFERROR(INDEX(G452:R452,1,MATCH(Parametres!$B$3,G$1:R$1,0)-1)*IF(OR(F452="L",F452="S",F452="I"),-1,1),"")</f>
        <v>0</v>
      </c>
      <c r="AM452" s="1030">
        <f t="shared" ref="AM452:AM515" si="29">AN452-N(AL452)</f>
        <v>0</v>
      </c>
      <c r="AN452" s="1030">
        <f>INDEX(G452:R452,1,MATCH(Parametres!$B$3,G$1:R$1,0))*IF(OR(F452="L",F452="S",F452="I"),-1,1)</f>
        <v>0</v>
      </c>
      <c r="AO452" s="598" t="e">
        <f>+VLOOKUP($AJ452,Data_Validation!$A:$D,1,0)</f>
        <v>#N/A</v>
      </c>
      <c r="AP452" s="598" t="e">
        <f>+VLOOKUP($AJ452,Data_Validation!$A:$D,3,0)</f>
        <v>#N/A</v>
      </c>
      <c r="AQ452" s="598" t="e">
        <f>+VLOOKUP($AJ452,Data_Validation!$A:$D,4,0)</f>
        <v>#N/A</v>
      </c>
      <c r="AR452" s="598" t="s">
        <v>299</v>
      </c>
      <c r="AS452" s="598" t="e">
        <f>+VLOOKUP($AJ452,Data_Validation!$A:$E,5,0)</f>
        <v>#N/A</v>
      </c>
      <c r="AT452" s="1036">
        <f t="shared" ref="AT452:AU515" si="30">C452</f>
        <v>0</v>
      </c>
      <c r="AU452" s="599">
        <f t="shared" si="30"/>
        <v>0</v>
      </c>
      <c r="AV452" s="1030">
        <f>IFERROR(INDEX(V452:AG452,1,MATCH(Parametres!$B$3,V$1:AG$1,0)-1)*IF(OR(C452="L",C452="S",C452="I"),-1,1),"")</f>
        <v>0</v>
      </c>
      <c r="AW452" s="1030">
        <f t="shared" ref="AW452:AW515" si="31">AX452-AV452</f>
        <v>0</v>
      </c>
      <c r="AX452" s="1030">
        <f>INDEX(V452:AG452,1,MATCH(Parametres!$B$3,V$1:AG$1,0))*IF(OR(C452="L",C452="S",C452="I"),-1,1)</f>
        <v>0</v>
      </c>
      <c r="AY452" s="598" t="s">
        <v>337</v>
      </c>
      <c r="AZ452" s="598" t="e">
        <f>+VLOOKUP($AJ452,Data_Validation!$A:$E,5,0)</f>
        <v>#N/A</v>
      </c>
    </row>
    <row r="453" spans="36:52" ht="15" customHeight="1">
      <c r="AJ453" s="1030">
        <f t="shared" si="28"/>
        <v>0</v>
      </c>
      <c r="AK453" s="1030">
        <f t="shared" si="28"/>
        <v>0</v>
      </c>
      <c r="AL453" s="1030">
        <f>IFERROR(INDEX(G453:R453,1,MATCH(Parametres!$B$3,G$1:R$1,0)-1)*IF(OR(F453="L",F453="S",F453="I"),-1,1),"")</f>
        <v>0</v>
      </c>
      <c r="AM453" s="1030">
        <f t="shared" si="29"/>
        <v>0</v>
      </c>
      <c r="AN453" s="1030">
        <f>INDEX(G453:R453,1,MATCH(Parametres!$B$3,G$1:R$1,0))*IF(OR(F453="L",F453="S",F453="I"),-1,1)</f>
        <v>0</v>
      </c>
      <c r="AO453" s="598" t="e">
        <f>+VLOOKUP($AJ453,Data_Validation!$A:$D,1,0)</f>
        <v>#N/A</v>
      </c>
      <c r="AP453" s="598" t="e">
        <f>+VLOOKUP($AJ453,Data_Validation!$A:$D,3,0)</f>
        <v>#N/A</v>
      </c>
      <c r="AQ453" s="598" t="e">
        <f>+VLOOKUP($AJ453,Data_Validation!$A:$D,4,0)</f>
        <v>#N/A</v>
      </c>
      <c r="AR453" s="598" t="s">
        <v>299</v>
      </c>
      <c r="AS453" s="598" t="e">
        <f>+VLOOKUP($AJ453,Data_Validation!$A:$E,5,0)</f>
        <v>#N/A</v>
      </c>
      <c r="AT453" s="1036">
        <f t="shared" si="30"/>
        <v>0</v>
      </c>
      <c r="AU453" s="599">
        <f t="shared" si="30"/>
        <v>0</v>
      </c>
      <c r="AV453" s="1030">
        <f>IFERROR(INDEX(V453:AG453,1,MATCH(Parametres!$B$3,V$1:AG$1,0)-1)*IF(OR(C453="L",C453="S",C453="I"),-1,1),"")</f>
        <v>0</v>
      </c>
      <c r="AW453" s="1030">
        <f t="shared" si="31"/>
        <v>0</v>
      </c>
      <c r="AX453" s="1030">
        <f>INDEX(V453:AG453,1,MATCH(Parametres!$B$3,V$1:AG$1,0))*IF(OR(C453="L",C453="S",C453="I"),-1,1)</f>
        <v>0</v>
      </c>
      <c r="AY453" s="598" t="s">
        <v>337</v>
      </c>
      <c r="AZ453" s="598" t="e">
        <f>+VLOOKUP($AJ453,Data_Validation!$A:$E,5,0)</f>
        <v>#N/A</v>
      </c>
    </row>
    <row r="454" spans="36:52" ht="15" customHeight="1">
      <c r="AJ454" s="1030">
        <f t="shared" si="28"/>
        <v>0</v>
      </c>
      <c r="AK454" s="1030">
        <f t="shared" si="28"/>
        <v>0</v>
      </c>
      <c r="AL454" s="1030">
        <f>IFERROR(INDEX(G454:R454,1,MATCH(Parametres!$B$3,G$1:R$1,0)-1)*IF(OR(F454="L",F454="S",F454="I"),-1,1),"")</f>
        <v>0</v>
      </c>
      <c r="AM454" s="1030">
        <f t="shared" si="29"/>
        <v>0</v>
      </c>
      <c r="AN454" s="1030">
        <f>INDEX(G454:R454,1,MATCH(Parametres!$B$3,G$1:R$1,0))*IF(OR(F454="L",F454="S",F454="I"),-1,1)</f>
        <v>0</v>
      </c>
      <c r="AO454" s="598" t="e">
        <f>+VLOOKUP($AJ454,Data_Validation!$A:$D,1,0)</f>
        <v>#N/A</v>
      </c>
      <c r="AP454" s="598" t="e">
        <f>+VLOOKUP($AJ454,Data_Validation!$A:$D,3,0)</f>
        <v>#N/A</v>
      </c>
      <c r="AQ454" s="598" t="e">
        <f>+VLOOKUP($AJ454,Data_Validation!$A:$D,4,0)</f>
        <v>#N/A</v>
      </c>
      <c r="AR454" s="598" t="s">
        <v>299</v>
      </c>
      <c r="AS454" s="598" t="e">
        <f>+VLOOKUP($AJ454,Data_Validation!$A:$E,5,0)</f>
        <v>#N/A</v>
      </c>
      <c r="AT454" s="1036">
        <f t="shared" si="30"/>
        <v>0</v>
      </c>
      <c r="AU454" s="599">
        <f t="shared" si="30"/>
        <v>0</v>
      </c>
      <c r="AV454" s="1030">
        <f>IFERROR(INDEX(V454:AG454,1,MATCH(Parametres!$B$3,V$1:AG$1,0)-1)*IF(OR(C454="L",C454="S",C454="I"),-1,1),"")</f>
        <v>0</v>
      </c>
      <c r="AW454" s="1030">
        <f t="shared" si="31"/>
        <v>0</v>
      </c>
      <c r="AX454" s="1030">
        <f>INDEX(V454:AG454,1,MATCH(Parametres!$B$3,V$1:AG$1,0))*IF(OR(C454="L",C454="S",C454="I"),-1,1)</f>
        <v>0</v>
      </c>
      <c r="AY454" s="598" t="s">
        <v>337</v>
      </c>
      <c r="AZ454" s="598" t="e">
        <f>+VLOOKUP($AJ454,Data_Validation!$A:$E,5,0)</f>
        <v>#N/A</v>
      </c>
    </row>
    <row r="455" spans="36:52" ht="15" customHeight="1">
      <c r="AJ455" s="1030">
        <f t="shared" si="28"/>
        <v>0</v>
      </c>
      <c r="AK455" s="1030">
        <f t="shared" si="28"/>
        <v>0</v>
      </c>
      <c r="AL455" s="1030">
        <f>IFERROR(INDEX(G455:R455,1,MATCH(Parametres!$B$3,G$1:R$1,0)-1)*IF(OR(F455="L",F455="S",F455="I"),-1,1),"")</f>
        <v>0</v>
      </c>
      <c r="AM455" s="1030">
        <f t="shared" si="29"/>
        <v>0</v>
      </c>
      <c r="AN455" s="1030">
        <f>INDEX(G455:R455,1,MATCH(Parametres!$B$3,G$1:R$1,0))*IF(OR(F455="L",F455="S",F455="I"),-1,1)</f>
        <v>0</v>
      </c>
      <c r="AO455" s="598" t="e">
        <f>+VLOOKUP($AJ455,Data_Validation!$A:$D,1,0)</f>
        <v>#N/A</v>
      </c>
      <c r="AP455" s="598" t="e">
        <f>+VLOOKUP($AJ455,Data_Validation!$A:$D,3,0)</f>
        <v>#N/A</v>
      </c>
      <c r="AQ455" s="598" t="e">
        <f>+VLOOKUP($AJ455,Data_Validation!$A:$D,4,0)</f>
        <v>#N/A</v>
      </c>
      <c r="AR455" s="598" t="s">
        <v>299</v>
      </c>
      <c r="AS455" s="598" t="e">
        <f>+VLOOKUP($AJ455,Data_Validation!$A:$E,5,0)</f>
        <v>#N/A</v>
      </c>
      <c r="AT455" s="1036">
        <f t="shared" si="30"/>
        <v>0</v>
      </c>
      <c r="AU455" s="599">
        <f t="shared" si="30"/>
        <v>0</v>
      </c>
      <c r="AV455" s="1030">
        <f>IFERROR(INDEX(V455:AG455,1,MATCH(Parametres!$B$3,V$1:AG$1,0)-1)*IF(OR(C455="L",C455="S",C455="I"),-1,1),"")</f>
        <v>0</v>
      </c>
      <c r="AW455" s="1030">
        <f t="shared" si="31"/>
        <v>0</v>
      </c>
      <c r="AX455" s="1030">
        <f>INDEX(V455:AG455,1,MATCH(Parametres!$B$3,V$1:AG$1,0))*IF(OR(C455="L",C455="S",C455="I"),-1,1)</f>
        <v>0</v>
      </c>
      <c r="AY455" s="598" t="s">
        <v>337</v>
      </c>
      <c r="AZ455" s="598" t="e">
        <f>+VLOOKUP($AJ455,Data_Validation!$A:$E,5,0)</f>
        <v>#N/A</v>
      </c>
    </row>
    <row r="456" spans="36:52" ht="15" customHeight="1">
      <c r="AJ456" s="1030">
        <f t="shared" si="28"/>
        <v>0</v>
      </c>
      <c r="AK456" s="1030">
        <f t="shared" si="28"/>
        <v>0</v>
      </c>
      <c r="AL456" s="1030">
        <f>IFERROR(INDEX(G456:R456,1,MATCH(Parametres!$B$3,G$1:R$1,0)-1)*IF(OR(F456="L",F456="S",F456="I"),-1,1),"")</f>
        <v>0</v>
      </c>
      <c r="AM456" s="1030">
        <f t="shared" si="29"/>
        <v>0</v>
      </c>
      <c r="AN456" s="1030">
        <f>INDEX(G456:R456,1,MATCH(Parametres!$B$3,G$1:R$1,0))*IF(OR(F456="L",F456="S",F456="I"),-1,1)</f>
        <v>0</v>
      </c>
      <c r="AO456" s="598" t="e">
        <f>+VLOOKUP($AJ456,Data_Validation!$A:$D,1,0)</f>
        <v>#N/A</v>
      </c>
      <c r="AP456" s="598" t="e">
        <f>+VLOOKUP($AJ456,Data_Validation!$A:$D,3,0)</f>
        <v>#N/A</v>
      </c>
      <c r="AQ456" s="598" t="e">
        <f>+VLOOKUP($AJ456,Data_Validation!$A:$D,4,0)</f>
        <v>#N/A</v>
      </c>
      <c r="AR456" s="598" t="s">
        <v>299</v>
      </c>
      <c r="AS456" s="598" t="e">
        <f>+VLOOKUP($AJ456,Data_Validation!$A:$E,5,0)</f>
        <v>#N/A</v>
      </c>
      <c r="AT456" s="1036">
        <f t="shared" si="30"/>
        <v>0</v>
      </c>
      <c r="AU456" s="599">
        <f t="shared" si="30"/>
        <v>0</v>
      </c>
      <c r="AV456" s="1030">
        <f>IFERROR(INDEX(V456:AG456,1,MATCH(Parametres!$B$3,V$1:AG$1,0)-1)*IF(OR(C456="L",C456="S",C456="I"),-1,1),"")</f>
        <v>0</v>
      </c>
      <c r="AW456" s="1030">
        <f t="shared" si="31"/>
        <v>0</v>
      </c>
      <c r="AX456" s="1030">
        <f>INDEX(V456:AG456,1,MATCH(Parametres!$B$3,V$1:AG$1,0))*IF(OR(C456="L",C456="S",C456="I"),-1,1)</f>
        <v>0</v>
      </c>
      <c r="AY456" s="598" t="s">
        <v>337</v>
      </c>
      <c r="AZ456" s="598" t="e">
        <f>+VLOOKUP($AJ456,Data_Validation!$A:$E,5,0)</f>
        <v>#N/A</v>
      </c>
    </row>
    <row r="457" spans="36:52" ht="15" customHeight="1">
      <c r="AJ457" s="1030">
        <f t="shared" si="28"/>
        <v>0</v>
      </c>
      <c r="AK457" s="1030">
        <f t="shared" si="28"/>
        <v>0</v>
      </c>
      <c r="AL457" s="1030">
        <f>IFERROR(INDEX(G457:R457,1,MATCH(Parametres!$B$3,G$1:R$1,0)-1)*IF(OR(F457="L",F457="S",F457="I"),-1,1),"")</f>
        <v>0</v>
      </c>
      <c r="AM457" s="1030">
        <f t="shared" si="29"/>
        <v>0</v>
      </c>
      <c r="AN457" s="1030">
        <f>INDEX(G457:R457,1,MATCH(Parametres!$B$3,G$1:R$1,0))*IF(OR(F457="L",F457="S",F457="I"),-1,1)</f>
        <v>0</v>
      </c>
      <c r="AO457" s="598" t="e">
        <f>+VLOOKUP($AJ457,Data_Validation!$A:$D,1,0)</f>
        <v>#N/A</v>
      </c>
      <c r="AP457" s="598" t="e">
        <f>+VLOOKUP($AJ457,Data_Validation!$A:$D,3,0)</f>
        <v>#N/A</v>
      </c>
      <c r="AQ457" s="598" t="e">
        <f>+VLOOKUP($AJ457,Data_Validation!$A:$D,4,0)</f>
        <v>#N/A</v>
      </c>
      <c r="AR457" s="598" t="s">
        <v>299</v>
      </c>
      <c r="AS457" s="598" t="e">
        <f>+VLOOKUP($AJ457,Data_Validation!$A:$E,5,0)</f>
        <v>#N/A</v>
      </c>
      <c r="AT457" s="1036">
        <f t="shared" si="30"/>
        <v>0</v>
      </c>
      <c r="AU457" s="599">
        <f t="shared" si="30"/>
        <v>0</v>
      </c>
      <c r="AV457" s="1030">
        <f>IFERROR(INDEX(V457:AG457,1,MATCH(Parametres!$B$3,V$1:AG$1,0)-1)*IF(OR(C457="L",C457="S",C457="I"),-1,1),"")</f>
        <v>0</v>
      </c>
      <c r="AW457" s="1030">
        <f t="shared" si="31"/>
        <v>0</v>
      </c>
      <c r="AX457" s="1030">
        <f>INDEX(V457:AG457,1,MATCH(Parametres!$B$3,V$1:AG$1,0))*IF(OR(C457="L",C457="S",C457="I"),-1,1)</f>
        <v>0</v>
      </c>
      <c r="AY457" s="598" t="s">
        <v>337</v>
      </c>
      <c r="AZ457" s="598" t="e">
        <f>+VLOOKUP($AJ457,Data_Validation!$A:$E,5,0)</f>
        <v>#N/A</v>
      </c>
    </row>
    <row r="458" spans="36:52" ht="15" customHeight="1">
      <c r="AJ458" s="1030">
        <f t="shared" si="28"/>
        <v>0</v>
      </c>
      <c r="AK458" s="1030">
        <f t="shared" si="28"/>
        <v>0</v>
      </c>
      <c r="AL458" s="1030">
        <f>IFERROR(INDEX(G458:R458,1,MATCH(Parametres!$B$3,G$1:R$1,0)-1)*IF(OR(F458="L",F458="S",F458="I"),-1,1),"")</f>
        <v>0</v>
      </c>
      <c r="AM458" s="1030">
        <f t="shared" si="29"/>
        <v>0</v>
      </c>
      <c r="AN458" s="1030">
        <f>INDEX(G458:R458,1,MATCH(Parametres!$B$3,G$1:R$1,0))*IF(OR(F458="L",F458="S",F458="I"),-1,1)</f>
        <v>0</v>
      </c>
      <c r="AO458" s="598" t="e">
        <f>+VLOOKUP($AJ458,Data_Validation!$A:$D,1,0)</f>
        <v>#N/A</v>
      </c>
      <c r="AP458" s="598" t="e">
        <f>+VLOOKUP($AJ458,Data_Validation!$A:$D,3,0)</f>
        <v>#N/A</v>
      </c>
      <c r="AQ458" s="598" t="e">
        <f>+VLOOKUP($AJ458,Data_Validation!$A:$D,4,0)</f>
        <v>#N/A</v>
      </c>
      <c r="AR458" s="598" t="s">
        <v>299</v>
      </c>
      <c r="AS458" s="598" t="e">
        <f>+VLOOKUP($AJ458,Data_Validation!$A:$E,5,0)</f>
        <v>#N/A</v>
      </c>
      <c r="AT458" s="1036">
        <f t="shared" si="30"/>
        <v>0</v>
      </c>
      <c r="AU458" s="599">
        <f t="shared" si="30"/>
        <v>0</v>
      </c>
      <c r="AV458" s="1030">
        <f>IFERROR(INDEX(V458:AG458,1,MATCH(Parametres!$B$3,V$1:AG$1,0)-1)*IF(OR(C458="L",C458="S",C458="I"),-1,1),"")</f>
        <v>0</v>
      </c>
      <c r="AW458" s="1030">
        <f t="shared" si="31"/>
        <v>0</v>
      </c>
      <c r="AX458" s="1030">
        <f>INDEX(V458:AG458,1,MATCH(Parametres!$B$3,V$1:AG$1,0))*IF(OR(C458="L",C458="S",C458="I"),-1,1)</f>
        <v>0</v>
      </c>
      <c r="AY458" s="598" t="s">
        <v>337</v>
      </c>
      <c r="AZ458" s="598" t="e">
        <f>+VLOOKUP($AJ458,Data_Validation!$A:$E,5,0)</f>
        <v>#N/A</v>
      </c>
    </row>
    <row r="459" spans="36:52" ht="15" customHeight="1">
      <c r="AJ459" s="1030">
        <f t="shared" si="28"/>
        <v>0</v>
      </c>
      <c r="AK459" s="1030">
        <f t="shared" si="28"/>
        <v>0</v>
      </c>
      <c r="AL459" s="1030">
        <f>IFERROR(INDEX(G459:R459,1,MATCH(Parametres!$B$3,G$1:R$1,0)-1)*IF(OR(F459="L",F459="S",F459="I"),-1,1),"")</f>
        <v>0</v>
      </c>
      <c r="AM459" s="1030">
        <f t="shared" si="29"/>
        <v>0</v>
      </c>
      <c r="AN459" s="1030">
        <f>INDEX(G459:R459,1,MATCH(Parametres!$B$3,G$1:R$1,0))*IF(OR(F459="L",F459="S",F459="I"),-1,1)</f>
        <v>0</v>
      </c>
      <c r="AO459" s="598" t="e">
        <f>+VLOOKUP($AJ459,Data_Validation!$A:$D,1,0)</f>
        <v>#N/A</v>
      </c>
      <c r="AP459" s="598" t="e">
        <f>+VLOOKUP($AJ459,Data_Validation!$A:$D,3,0)</f>
        <v>#N/A</v>
      </c>
      <c r="AQ459" s="598" t="e">
        <f>+VLOOKUP($AJ459,Data_Validation!$A:$D,4,0)</f>
        <v>#N/A</v>
      </c>
      <c r="AR459" s="598" t="s">
        <v>299</v>
      </c>
      <c r="AS459" s="598" t="e">
        <f>+VLOOKUP($AJ459,Data_Validation!$A:$E,5,0)</f>
        <v>#N/A</v>
      </c>
      <c r="AT459" s="1036">
        <f t="shared" si="30"/>
        <v>0</v>
      </c>
      <c r="AU459" s="599">
        <f t="shared" si="30"/>
        <v>0</v>
      </c>
      <c r="AV459" s="1030">
        <f>IFERROR(INDEX(V459:AG459,1,MATCH(Parametres!$B$3,V$1:AG$1,0)-1)*IF(OR(C459="L",C459="S",C459="I"),-1,1),"")</f>
        <v>0</v>
      </c>
      <c r="AW459" s="1030">
        <f t="shared" si="31"/>
        <v>0</v>
      </c>
      <c r="AX459" s="1030">
        <f>INDEX(V459:AG459,1,MATCH(Parametres!$B$3,V$1:AG$1,0))*IF(OR(C459="L",C459="S",C459="I"),-1,1)</f>
        <v>0</v>
      </c>
      <c r="AY459" s="598" t="s">
        <v>337</v>
      </c>
      <c r="AZ459" s="598" t="e">
        <f>+VLOOKUP($AJ459,Data_Validation!$A:$E,5,0)</f>
        <v>#N/A</v>
      </c>
    </row>
    <row r="460" spans="36:52" ht="15" customHeight="1">
      <c r="AJ460" s="1030">
        <f t="shared" si="28"/>
        <v>0</v>
      </c>
      <c r="AK460" s="1030">
        <f t="shared" si="28"/>
        <v>0</v>
      </c>
      <c r="AL460" s="1030">
        <f>IFERROR(INDEX(G460:R460,1,MATCH(Parametres!$B$3,G$1:R$1,0)-1)*IF(OR(F460="L",F460="S",F460="I"),-1,1),"")</f>
        <v>0</v>
      </c>
      <c r="AM460" s="1030">
        <f t="shared" si="29"/>
        <v>0</v>
      </c>
      <c r="AN460" s="1030">
        <f>INDEX(G460:R460,1,MATCH(Parametres!$B$3,G$1:R$1,0))*IF(OR(F460="L",F460="S",F460="I"),-1,1)</f>
        <v>0</v>
      </c>
      <c r="AO460" s="598" t="e">
        <f>+VLOOKUP($AJ460,Data_Validation!$A:$D,1,0)</f>
        <v>#N/A</v>
      </c>
      <c r="AP460" s="598" t="e">
        <f>+VLOOKUP($AJ460,Data_Validation!$A:$D,3,0)</f>
        <v>#N/A</v>
      </c>
      <c r="AQ460" s="598" t="e">
        <f>+VLOOKUP($AJ460,Data_Validation!$A:$D,4,0)</f>
        <v>#N/A</v>
      </c>
      <c r="AR460" s="598" t="s">
        <v>299</v>
      </c>
      <c r="AS460" s="598" t="e">
        <f>+VLOOKUP($AJ460,Data_Validation!$A:$E,5,0)</f>
        <v>#N/A</v>
      </c>
      <c r="AT460" s="1036">
        <f t="shared" si="30"/>
        <v>0</v>
      </c>
      <c r="AU460" s="599">
        <f t="shared" si="30"/>
        <v>0</v>
      </c>
      <c r="AV460" s="1030">
        <f>IFERROR(INDEX(V460:AG460,1,MATCH(Parametres!$B$3,V$1:AG$1,0)-1)*IF(OR(C460="L",C460="S",C460="I"),-1,1),"")</f>
        <v>0</v>
      </c>
      <c r="AW460" s="1030">
        <f t="shared" si="31"/>
        <v>0</v>
      </c>
      <c r="AX460" s="1030">
        <f>INDEX(V460:AG460,1,MATCH(Parametres!$B$3,V$1:AG$1,0))*IF(OR(C460="L",C460="S",C460="I"),-1,1)</f>
        <v>0</v>
      </c>
      <c r="AY460" s="598" t="s">
        <v>337</v>
      </c>
      <c r="AZ460" s="598" t="e">
        <f>+VLOOKUP($AJ460,Data_Validation!$A:$E,5,0)</f>
        <v>#N/A</v>
      </c>
    </row>
    <row r="461" spans="36:52" ht="15" customHeight="1">
      <c r="AJ461" s="1030">
        <f t="shared" si="28"/>
        <v>0</v>
      </c>
      <c r="AK461" s="1030">
        <f t="shared" si="28"/>
        <v>0</v>
      </c>
      <c r="AL461" s="1030">
        <f>IFERROR(INDEX(G461:R461,1,MATCH(Parametres!$B$3,G$1:R$1,0)-1)*IF(OR(F461="L",F461="S",F461="I"),-1,1),"")</f>
        <v>0</v>
      </c>
      <c r="AM461" s="1030">
        <f t="shared" si="29"/>
        <v>0</v>
      </c>
      <c r="AN461" s="1030">
        <f>INDEX(G461:R461,1,MATCH(Parametres!$B$3,G$1:R$1,0))*IF(OR(F461="L",F461="S",F461="I"),-1,1)</f>
        <v>0</v>
      </c>
      <c r="AO461" s="598" t="e">
        <f>+VLOOKUP($AJ461,Data_Validation!$A:$D,1,0)</f>
        <v>#N/A</v>
      </c>
      <c r="AP461" s="598" t="e">
        <f>+VLOOKUP($AJ461,Data_Validation!$A:$D,3,0)</f>
        <v>#N/A</v>
      </c>
      <c r="AQ461" s="598" t="e">
        <f>+VLOOKUP($AJ461,Data_Validation!$A:$D,4,0)</f>
        <v>#N/A</v>
      </c>
      <c r="AR461" s="598" t="s">
        <v>299</v>
      </c>
      <c r="AS461" s="598" t="e">
        <f>+VLOOKUP($AJ461,Data_Validation!$A:$E,5,0)</f>
        <v>#N/A</v>
      </c>
      <c r="AT461" s="1036">
        <f t="shared" si="30"/>
        <v>0</v>
      </c>
      <c r="AU461" s="599">
        <f t="shared" si="30"/>
        <v>0</v>
      </c>
      <c r="AV461" s="1030">
        <f>IFERROR(INDEX(V461:AG461,1,MATCH(Parametres!$B$3,V$1:AG$1,0)-1)*IF(OR(C461="L",C461="S",C461="I"),-1,1),"")</f>
        <v>0</v>
      </c>
      <c r="AW461" s="1030">
        <f t="shared" si="31"/>
        <v>0</v>
      </c>
      <c r="AX461" s="1030">
        <f>INDEX(V461:AG461,1,MATCH(Parametres!$B$3,V$1:AG$1,0))*IF(OR(C461="L",C461="S",C461="I"),-1,1)</f>
        <v>0</v>
      </c>
      <c r="AY461" s="598" t="s">
        <v>337</v>
      </c>
      <c r="AZ461" s="598" t="e">
        <f>+VLOOKUP($AJ461,Data_Validation!$A:$E,5,0)</f>
        <v>#N/A</v>
      </c>
    </row>
    <row r="462" spans="36:52" ht="15" customHeight="1">
      <c r="AJ462" s="1030">
        <f t="shared" si="28"/>
        <v>0</v>
      </c>
      <c r="AK462" s="1030">
        <f t="shared" si="28"/>
        <v>0</v>
      </c>
      <c r="AL462" s="1030">
        <f>IFERROR(INDEX(G462:R462,1,MATCH(Parametres!$B$3,G$1:R$1,0)-1)*IF(OR(F462="L",F462="S",F462="I"),-1,1),"")</f>
        <v>0</v>
      </c>
      <c r="AM462" s="1030">
        <f t="shared" si="29"/>
        <v>0</v>
      </c>
      <c r="AN462" s="1030">
        <f>INDEX(G462:R462,1,MATCH(Parametres!$B$3,G$1:R$1,0))*IF(OR(F462="L",F462="S",F462="I"),-1,1)</f>
        <v>0</v>
      </c>
      <c r="AO462" s="598" t="e">
        <f>+VLOOKUP($AJ462,Data_Validation!$A:$D,1,0)</f>
        <v>#N/A</v>
      </c>
      <c r="AP462" s="598" t="e">
        <f>+VLOOKUP($AJ462,Data_Validation!$A:$D,3,0)</f>
        <v>#N/A</v>
      </c>
      <c r="AQ462" s="598" t="e">
        <f>+VLOOKUP($AJ462,Data_Validation!$A:$D,4,0)</f>
        <v>#N/A</v>
      </c>
      <c r="AR462" s="598" t="s">
        <v>299</v>
      </c>
      <c r="AS462" s="598" t="e">
        <f>+VLOOKUP($AJ462,Data_Validation!$A:$E,5,0)</f>
        <v>#N/A</v>
      </c>
      <c r="AT462" s="1036">
        <f t="shared" si="30"/>
        <v>0</v>
      </c>
      <c r="AU462" s="599">
        <f t="shared" si="30"/>
        <v>0</v>
      </c>
      <c r="AV462" s="1030">
        <f>IFERROR(INDEX(V462:AG462,1,MATCH(Parametres!$B$3,V$1:AG$1,0)-1)*IF(OR(C462="L",C462="S",C462="I"),-1,1),"")</f>
        <v>0</v>
      </c>
      <c r="AW462" s="1030">
        <f t="shared" si="31"/>
        <v>0</v>
      </c>
      <c r="AX462" s="1030">
        <f>INDEX(V462:AG462,1,MATCH(Parametres!$B$3,V$1:AG$1,0))*IF(OR(C462="L",C462="S",C462="I"),-1,1)</f>
        <v>0</v>
      </c>
      <c r="AY462" s="598" t="s">
        <v>337</v>
      </c>
      <c r="AZ462" s="598" t="e">
        <f>+VLOOKUP($AJ462,Data_Validation!$A:$E,5,0)</f>
        <v>#N/A</v>
      </c>
    </row>
    <row r="463" spans="36:52" ht="15" customHeight="1">
      <c r="AJ463" s="1030">
        <f t="shared" si="28"/>
        <v>0</v>
      </c>
      <c r="AK463" s="1030">
        <f t="shared" si="28"/>
        <v>0</v>
      </c>
      <c r="AL463" s="1030">
        <f>IFERROR(INDEX(G463:R463,1,MATCH(Parametres!$B$3,G$1:R$1,0)-1)*IF(OR(F463="L",F463="S",F463="I"),-1,1),"")</f>
        <v>0</v>
      </c>
      <c r="AM463" s="1030">
        <f t="shared" si="29"/>
        <v>0</v>
      </c>
      <c r="AN463" s="1030">
        <f>INDEX(G463:R463,1,MATCH(Parametres!$B$3,G$1:R$1,0))*IF(OR(F463="L",F463="S",F463="I"),-1,1)</f>
        <v>0</v>
      </c>
      <c r="AO463" s="598" t="e">
        <f>+VLOOKUP($AJ463,Data_Validation!$A:$D,1,0)</f>
        <v>#N/A</v>
      </c>
      <c r="AP463" s="598" t="e">
        <f>+VLOOKUP($AJ463,Data_Validation!$A:$D,3,0)</f>
        <v>#N/A</v>
      </c>
      <c r="AQ463" s="598" t="e">
        <f>+VLOOKUP($AJ463,Data_Validation!$A:$D,4,0)</f>
        <v>#N/A</v>
      </c>
      <c r="AR463" s="598" t="s">
        <v>299</v>
      </c>
      <c r="AS463" s="598" t="e">
        <f>+VLOOKUP($AJ463,Data_Validation!$A:$E,5,0)</f>
        <v>#N/A</v>
      </c>
      <c r="AT463" s="1036">
        <f t="shared" si="30"/>
        <v>0</v>
      </c>
      <c r="AU463" s="599">
        <f t="shared" si="30"/>
        <v>0</v>
      </c>
      <c r="AV463" s="1030">
        <f>IFERROR(INDEX(V463:AG463,1,MATCH(Parametres!$B$3,V$1:AG$1,0)-1)*IF(OR(C463="L",C463="S",C463="I"),-1,1),"")</f>
        <v>0</v>
      </c>
      <c r="AW463" s="1030">
        <f t="shared" si="31"/>
        <v>0</v>
      </c>
      <c r="AX463" s="1030">
        <f>INDEX(V463:AG463,1,MATCH(Parametres!$B$3,V$1:AG$1,0))*IF(OR(C463="L",C463="S",C463="I"),-1,1)</f>
        <v>0</v>
      </c>
      <c r="AY463" s="598" t="s">
        <v>337</v>
      </c>
      <c r="AZ463" s="598" t="e">
        <f>+VLOOKUP($AJ463,Data_Validation!$A:$E,5,0)</f>
        <v>#N/A</v>
      </c>
    </row>
    <row r="464" spans="36:52" ht="15" customHeight="1">
      <c r="AJ464" s="1030">
        <f t="shared" si="28"/>
        <v>0</v>
      </c>
      <c r="AK464" s="1030">
        <f t="shared" si="28"/>
        <v>0</v>
      </c>
      <c r="AL464" s="1030">
        <f>IFERROR(INDEX(G464:R464,1,MATCH(Parametres!$B$3,G$1:R$1,0)-1)*IF(OR(F464="L",F464="S",F464="I"),-1,1),"")</f>
        <v>0</v>
      </c>
      <c r="AM464" s="1030">
        <f t="shared" si="29"/>
        <v>0</v>
      </c>
      <c r="AN464" s="1030">
        <f>INDEX(G464:R464,1,MATCH(Parametres!$B$3,G$1:R$1,0))*IF(OR(F464="L",F464="S",F464="I"),-1,1)</f>
        <v>0</v>
      </c>
      <c r="AO464" s="598" t="e">
        <f>+VLOOKUP($AJ464,Data_Validation!$A:$D,1,0)</f>
        <v>#N/A</v>
      </c>
      <c r="AP464" s="598" t="e">
        <f>+VLOOKUP($AJ464,Data_Validation!$A:$D,3,0)</f>
        <v>#N/A</v>
      </c>
      <c r="AQ464" s="598" t="e">
        <f>+VLOOKUP($AJ464,Data_Validation!$A:$D,4,0)</f>
        <v>#N/A</v>
      </c>
      <c r="AR464" s="598" t="s">
        <v>299</v>
      </c>
      <c r="AS464" s="598" t="e">
        <f>+VLOOKUP($AJ464,Data_Validation!$A:$E,5,0)</f>
        <v>#N/A</v>
      </c>
      <c r="AT464" s="1036">
        <f t="shared" si="30"/>
        <v>0</v>
      </c>
      <c r="AU464" s="599">
        <f t="shared" si="30"/>
        <v>0</v>
      </c>
      <c r="AV464" s="1030">
        <f>IFERROR(INDEX(V464:AG464,1,MATCH(Parametres!$B$3,V$1:AG$1,0)-1)*IF(OR(C464="L",C464="S",C464="I"),-1,1),"")</f>
        <v>0</v>
      </c>
      <c r="AW464" s="1030">
        <f t="shared" si="31"/>
        <v>0</v>
      </c>
      <c r="AX464" s="1030">
        <f>INDEX(V464:AG464,1,MATCH(Parametres!$B$3,V$1:AG$1,0))*IF(OR(C464="L",C464="S",C464="I"),-1,1)</f>
        <v>0</v>
      </c>
      <c r="AY464" s="598" t="s">
        <v>337</v>
      </c>
      <c r="AZ464" s="598" t="e">
        <f>+VLOOKUP($AJ464,Data_Validation!$A:$E,5,0)</f>
        <v>#N/A</v>
      </c>
    </row>
    <row r="465" spans="36:52" ht="15" customHeight="1">
      <c r="AJ465" s="1030">
        <f t="shared" si="28"/>
        <v>0</v>
      </c>
      <c r="AK465" s="1030">
        <f t="shared" si="28"/>
        <v>0</v>
      </c>
      <c r="AL465" s="1030">
        <f>IFERROR(INDEX(G465:R465,1,MATCH(Parametres!$B$3,G$1:R$1,0)-1)*IF(OR(F465="L",F465="S",F465="I"),-1,1),"")</f>
        <v>0</v>
      </c>
      <c r="AM465" s="1030">
        <f t="shared" si="29"/>
        <v>0</v>
      </c>
      <c r="AN465" s="1030">
        <f>INDEX(G465:R465,1,MATCH(Parametres!$B$3,G$1:R$1,0))*IF(OR(F465="L",F465="S",F465="I"),-1,1)</f>
        <v>0</v>
      </c>
      <c r="AO465" s="598" t="e">
        <f>+VLOOKUP($AJ465,Data_Validation!$A:$D,1,0)</f>
        <v>#N/A</v>
      </c>
      <c r="AP465" s="598" t="e">
        <f>+VLOOKUP($AJ465,Data_Validation!$A:$D,3,0)</f>
        <v>#N/A</v>
      </c>
      <c r="AQ465" s="598" t="e">
        <f>+VLOOKUP($AJ465,Data_Validation!$A:$D,4,0)</f>
        <v>#N/A</v>
      </c>
      <c r="AR465" s="598" t="s">
        <v>299</v>
      </c>
      <c r="AS465" s="598" t="e">
        <f>+VLOOKUP($AJ465,Data_Validation!$A:$E,5,0)</f>
        <v>#N/A</v>
      </c>
      <c r="AT465" s="1036">
        <f t="shared" si="30"/>
        <v>0</v>
      </c>
      <c r="AU465" s="599">
        <f t="shared" si="30"/>
        <v>0</v>
      </c>
      <c r="AV465" s="1030">
        <f>IFERROR(INDEX(V465:AG465,1,MATCH(Parametres!$B$3,V$1:AG$1,0)-1)*IF(OR(C465="L",C465="S",C465="I"),-1,1),"")</f>
        <v>0</v>
      </c>
      <c r="AW465" s="1030">
        <f t="shared" si="31"/>
        <v>0</v>
      </c>
      <c r="AX465" s="1030">
        <f>INDEX(V465:AG465,1,MATCH(Parametres!$B$3,V$1:AG$1,0))*IF(OR(C465="L",C465="S",C465="I"),-1,1)</f>
        <v>0</v>
      </c>
      <c r="AY465" s="598" t="s">
        <v>337</v>
      </c>
      <c r="AZ465" s="598" t="e">
        <f>+VLOOKUP($AJ465,Data_Validation!$A:$E,5,0)</f>
        <v>#N/A</v>
      </c>
    </row>
    <row r="466" spans="36:52" ht="15" customHeight="1">
      <c r="AJ466" s="1030">
        <f t="shared" si="28"/>
        <v>0</v>
      </c>
      <c r="AK466" s="1030">
        <f t="shared" si="28"/>
        <v>0</v>
      </c>
      <c r="AL466" s="1030">
        <f>IFERROR(INDEX(G466:R466,1,MATCH(Parametres!$B$3,G$1:R$1,0)-1)*IF(OR(F466="L",F466="S",F466="I"),-1,1),"")</f>
        <v>0</v>
      </c>
      <c r="AM466" s="1030">
        <f t="shared" si="29"/>
        <v>0</v>
      </c>
      <c r="AN466" s="1030">
        <f>INDEX(G466:R466,1,MATCH(Parametres!$B$3,G$1:R$1,0))*IF(OR(F466="L",F466="S",F466="I"),-1,1)</f>
        <v>0</v>
      </c>
      <c r="AO466" s="598" t="e">
        <f>+VLOOKUP($AJ466,Data_Validation!$A:$D,1,0)</f>
        <v>#N/A</v>
      </c>
      <c r="AP466" s="598" t="e">
        <f>+VLOOKUP($AJ466,Data_Validation!$A:$D,3,0)</f>
        <v>#N/A</v>
      </c>
      <c r="AQ466" s="598" t="e">
        <f>+VLOOKUP($AJ466,Data_Validation!$A:$D,4,0)</f>
        <v>#N/A</v>
      </c>
      <c r="AR466" s="598" t="s">
        <v>299</v>
      </c>
      <c r="AS466" s="598" t="e">
        <f>+VLOOKUP($AJ466,Data_Validation!$A:$E,5,0)</f>
        <v>#N/A</v>
      </c>
      <c r="AT466" s="1036">
        <f t="shared" si="30"/>
        <v>0</v>
      </c>
      <c r="AU466" s="599">
        <f t="shared" si="30"/>
        <v>0</v>
      </c>
      <c r="AV466" s="1030">
        <f>IFERROR(INDEX(V466:AG466,1,MATCH(Parametres!$B$3,V$1:AG$1,0)-1)*IF(OR(C466="L",C466="S",C466="I"),-1,1),"")</f>
        <v>0</v>
      </c>
      <c r="AW466" s="1030">
        <f t="shared" si="31"/>
        <v>0</v>
      </c>
      <c r="AX466" s="1030">
        <f>INDEX(V466:AG466,1,MATCH(Parametres!$B$3,V$1:AG$1,0))*IF(OR(C466="L",C466="S",C466="I"),-1,1)</f>
        <v>0</v>
      </c>
      <c r="AY466" s="598" t="s">
        <v>337</v>
      </c>
      <c r="AZ466" s="598" t="e">
        <f>+VLOOKUP($AJ466,Data_Validation!$A:$E,5,0)</f>
        <v>#N/A</v>
      </c>
    </row>
    <row r="467" spans="36:52" ht="15" customHeight="1">
      <c r="AJ467" s="1030">
        <f t="shared" si="28"/>
        <v>0</v>
      </c>
      <c r="AK467" s="1030">
        <f t="shared" si="28"/>
        <v>0</v>
      </c>
      <c r="AL467" s="1030">
        <f>IFERROR(INDEX(G467:R467,1,MATCH(Parametres!$B$3,G$1:R$1,0)-1)*IF(OR(F467="L",F467="S",F467="I"),-1,1),"")</f>
        <v>0</v>
      </c>
      <c r="AM467" s="1030">
        <f t="shared" si="29"/>
        <v>0</v>
      </c>
      <c r="AN467" s="1030">
        <f>INDEX(G467:R467,1,MATCH(Parametres!$B$3,G$1:R$1,0))*IF(OR(F467="L",F467="S",F467="I"),-1,1)</f>
        <v>0</v>
      </c>
      <c r="AO467" s="598" t="e">
        <f>+VLOOKUP($AJ467,Data_Validation!$A:$D,1,0)</f>
        <v>#N/A</v>
      </c>
      <c r="AP467" s="598" t="e">
        <f>+VLOOKUP($AJ467,Data_Validation!$A:$D,3,0)</f>
        <v>#N/A</v>
      </c>
      <c r="AQ467" s="598" t="e">
        <f>+VLOOKUP($AJ467,Data_Validation!$A:$D,4,0)</f>
        <v>#N/A</v>
      </c>
      <c r="AR467" s="598" t="s">
        <v>299</v>
      </c>
      <c r="AS467" s="598" t="e">
        <f>+VLOOKUP($AJ467,Data_Validation!$A:$E,5,0)</f>
        <v>#N/A</v>
      </c>
      <c r="AT467" s="1036">
        <f t="shared" si="30"/>
        <v>0</v>
      </c>
      <c r="AU467" s="599">
        <f t="shared" si="30"/>
        <v>0</v>
      </c>
      <c r="AV467" s="1030">
        <f>IFERROR(INDEX(V467:AG467,1,MATCH(Parametres!$B$3,V$1:AG$1,0)-1)*IF(OR(C467="L",C467="S",C467="I"),-1,1),"")</f>
        <v>0</v>
      </c>
      <c r="AW467" s="1030">
        <f t="shared" si="31"/>
        <v>0</v>
      </c>
      <c r="AX467" s="1030">
        <f>INDEX(V467:AG467,1,MATCH(Parametres!$B$3,V$1:AG$1,0))*IF(OR(C467="L",C467="S",C467="I"),-1,1)</f>
        <v>0</v>
      </c>
      <c r="AY467" s="598" t="s">
        <v>337</v>
      </c>
      <c r="AZ467" s="598" t="e">
        <f>+VLOOKUP($AJ467,Data_Validation!$A:$E,5,0)</f>
        <v>#N/A</v>
      </c>
    </row>
    <row r="468" spans="36:52" ht="15" customHeight="1">
      <c r="AJ468" s="1030">
        <f t="shared" ref="AJ468:AK531" si="32">C468</f>
        <v>0</v>
      </c>
      <c r="AK468" s="1030">
        <f t="shared" si="32"/>
        <v>0</v>
      </c>
      <c r="AL468" s="1030">
        <f>IFERROR(INDEX(G468:R468,1,MATCH(Parametres!$B$3,G$1:R$1,0)-1)*IF(OR(F468="L",F468="S",F468="I"),-1,1),"")</f>
        <v>0</v>
      </c>
      <c r="AM468" s="1030">
        <f t="shared" si="29"/>
        <v>0</v>
      </c>
      <c r="AN468" s="1030">
        <f>INDEX(G468:R468,1,MATCH(Parametres!$B$3,G$1:R$1,0))*IF(OR(F468="L",F468="S",F468="I"),-1,1)</f>
        <v>0</v>
      </c>
      <c r="AO468" s="598" t="e">
        <f>+VLOOKUP($AJ468,Data_Validation!$A:$D,1,0)</f>
        <v>#N/A</v>
      </c>
      <c r="AP468" s="598" t="e">
        <f>+VLOOKUP($AJ468,Data_Validation!$A:$D,3,0)</f>
        <v>#N/A</v>
      </c>
      <c r="AQ468" s="598" t="e">
        <f>+VLOOKUP($AJ468,Data_Validation!$A:$D,4,0)</f>
        <v>#N/A</v>
      </c>
      <c r="AR468" s="598" t="s">
        <v>299</v>
      </c>
      <c r="AS468" s="598" t="e">
        <f>+VLOOKUP($AJ468,Data_Validation!$A:$E,5,0)</f>
        <v>#N/A</v>
      </c>
      <c r="AT468" s="1036">
        <f t="shared" si="30"/>
        <v>0</v>
      </c>
      <c r="AU468" s="599">
        <f t="shared" si="30"/>
        <v>0</v>
      </c>
      <c r="AV468" s="1030">
        <f>IFERROR(INDEX(V468:AG468,1,MATCH(Parametres!$B$3,V$1:AG$1,0)-1)*IF(OR(C468="L",C468="S",C468="I"),-1,1),"")</f>
        <v>0</v>
      </c>
      <c r="AW468" s="1030">
        <f t="shared" si="31"/>
        <v>0</v>
      </c>
      <c r="AX468" s="1030">
        <f>INDEX(V468:AG468,1,MATCH(Parametres!$B$3,V$1:AG$1,0))*IF(OR(C468="L",C468="S",C468="I"),-1,1)</f>
        <v>0</v>
      </c>
      <c r="AY468" s="598" t="s">
        <v>337</v>
      </c>
      <c r="AZ468" s="598" t="e">
        <f>+VLOOKUP($AJ468,Data_Validation!$A:$E,5,0)</f>
        <v>#N/A</v>
      </c>
    </row>
    <row r="469" spans="36:52" ht="15" customHeight="1">
      <c r="AJ469" s="1030">
        <f t="shared" si="32"/>
        <v>0</v>
      </c>
      <c r="AK469" s="1030">
        <f t="shared" si="32"/>
        <v>0</v>
      </c>
      <c r="AL469" s="1030">
        <f>IFERROR(INDEX(G469:R469,1,MATCH(Parametres!$B$3,G$1:R$1,0)-1)*IF(OR(F469="L",F469="S",F469="I"),-1,1),"")</f>
        <v>0</v>
      </c>
      <c r="AM469" s="1030">
        <f t="shared" si="29"/>
        <v>0</v>
      </c>
      <c r="AN469" s="1030">
        <f>INDEX(G469:R469,1,MATCH(Parametres!$B$3,G$1:R$1,0))*IF(OR(F469="L",F469="S",F469="I"),-1,1)</f>
        <v>0</v>
      </c>
      <c r="AO469" s="598" t="e">
        <f>+VLOOKUP($AJ469,Data_Validation!$A:$D,1,0)</f>
        <v>#N/A</v>
      </c>
      <c r="AP469" s="598" t="e">
        <f>+VLOOKUP($AJ469,Data_Validation!$A:$D,3,0)</f>
        <v>#N/A</v>
      </c>
      <c r="AQ469" s="598" t="e">
        <f>+VLOOKUP($AJ469,Data_Validation!$A:$D,4,0)</f>
        <v>#N/A</v>
      </c>
      <c r="AR469" s="598" t="s">
        <v>299</v>
      </c>
      <c r="AS469" s="598" t="e">
        <f>+VLOOKUP($AJ469,Data_Validation!$A:$E,5,0)</f>
        <v>#N/A</v>
      </c>
      <c r="AT469" s="1036">
        <f t="shared" si="30"/>
        <v>0</v>
      </c>
      <c r="AU469" s="599">
        <f t="shared" si="30"/>
        <v>0</v>
      </c>
      <c r="AV469" s="1030">
        <f>IFERROR(INDEX(V469:AG469,1,MATCH(Parametres!$B$3,V$1:AG$1,0)-1)*IF(OR(C469="L",C469="S",C469="I"),-1,1),"")</f>
        <v>0</v>
      </c>
      <c r="AW469" s="1030">
        <f t="shared" si="31"/>
        <v>0</v>
      </c>
      <c r="AX469" s="1030">
        <f>INDEX(V469:AG469,1,MATCH(Parametres!$B$3,V$1:AG$1,0))*IF(OR(C469="L",C469="S",C469="I"),-1,1)</f>
        <v>0</v>
      </c>
      <c r="AY469" s="598" t="s">
        <v>337</v>
      </c>
      <c r="AZ469" s="598" t="e">
        <f>+VLOOKUP($AJ469,Data_Validation!$A:$E,5,0)</f>
        <v>#N/A</v>
      </c>
    </row>
    <row r="470" spans="36:52" ht="15" customHeight="1">
      <c r="AJ470" s="1030">
        <f t="shared" si="32"/>
        <v>0</v>
      </c>
      <c r="AK470" s="1030">
        <f t="shared" si="32"/>
        <v>0</v>
      </c>
      <c r="AL470" s="1030">
        <f>IFERROR(INDEX(G470:R470,1,MATCH(Parametres!$B$3,G$1:R$1,0)-1)*IF(OR(F470="L",F470="S",F470="I"),-1,1),"")</f>
        <v>0</v>
      </c>
      <c r="AM470" s="1030">
        <f t="shared" si="29"/>
        <v>0</v>
      </c>
      <c r="AN470" s="1030">
        <f>INDEX(G470:R470,1,MATCH(Parametres!$B$3,G$1:R$1,0))*IF(OR(F470="L",F470="S",F470="I"),-1,1)</f>
        <v>0</v>
      </c>
      <c r="AO470" s="598" t="e">
        <f>+VLOOKUP($AJ470,Data_Validation!$A:$D,1,0)</f>
        <v>#N/A</v>
      </c>
      <c r="AP470" s="598" t="e">
        <f>+VLOOKUP($AJ470,Data_Validation!$A:$D,3,0)</f>
        <v>#N/A</v>
      </c>
      <c r="AQ470" s="598" t="e">
        <f>+VLOOKUP($AJ470,Data_Validation!$A:$D,4,0)</f>
        <v>#N/A</v>
      </c>
      <c r="AR470" s="598" t="s">
        <v>299</v>
      </c>
      <c r="AS470" s="598" t="e">
        <f>+VLOOKUP($AJ470,Data_Validation!$A:$E,5,0)</f>
        <v>#N/A</v>
      </c>
      <c r="AT470" s="1036">
        <f t="shared" si="30"/>
        <v>0</v>
      </c>
      <c r="AU470" s="599">
        <f t="shared" si="30"/>
        <v>0</v>
      </c>
      <c r="AV470" s="1030">
        <f>IFERROR(INDEX(V470:AG470,1,MATCH(Parametres!$B$3,V$1:AG$1,0)-1)*IF(OR(C470="L",C470="S",C470="I"),-1,1),"")</f>
        <v>0</v>
      </c>
      <c r="AW470" s="1030">
        <f t="shared" si="31"/>
        <v>0</v>
      </c>
      <c r="AX470" s="1030">
        <f>INDEX(V470:AG470,1,MATCH(Parametres!$B$3,V$1:AG$1,0))*IF(OR(C470="L",C470="S",C470="I"),-1,1)</f>
        <v>0</v>
      </c>
      <c r="AY470" s="598" t="s">
        <v>337</v>
      </c>
      <c r="AZ470" s="598" t="e">
        <f>+VLOOKUP($AJ470,Data_Validation!$A:$E,5,0)</f>
        <v>#N/A</v>
      </c>
    </row>
    <row r="471" spans="36:52" ht="15" customHeight="1">
      <c r="AJ471" s="1030">
        <f t="shared" si="32"/>
        <v>0</v>
      </c>
      <c r="AK471" s="1030">
        <f t="shared" si="32"/>
        <v>0</v>
      </c>
      <c r="AL471" s="1030">
        <f>IFERROR(INDEX(G471:R471,1,MATCH(Parametres!$B$3,G$1:R$1,0)-1)*IF(OR(F471="L",F471="S",F471="I"),-1,1),"")</f>
        <v>0</v>
      </c>
      <c r="AM471" s="1030">
        <f t="shared" si="29"/>
        <v>0</v>
      </c>
      <c r="AN471" s="1030">
        <f>INDEX(G471:R471,1,MATCH(Parametres!$B$3,G$1:R$1,0))*IF(OR(F471="L",F471="S",F471="I"),-1,1)</f>
        <v>0</v>
      </c>
      <c r="AO471" s="598" t="e">
        <f>+VLOOKUP($AJ471,Data_Validation!$A:$D,1,0)</f>
        <v>#N/A</v>
      </c>
      <c r="AP471" s="598" t="e">
        <f>+VLOOKUP($AJ471,Data_Validation!$A:$D,3,0)</f>
        <v>#N/A</v>
      </c>
      <c r="AQ471" s="598" t="e">
        <f>+VLOOKUP($AJ471,Data_Validation!$A:$D,4,0)</f>
        <v>#N/A</v>
      </c>
      <c r="AR471" s="598" t="s">
        <v>299</v>
      </c>
      <c r="AS471" s="598" t="e">
        <f>+VLOOKUP($AJ471,Data_Validation!$A:$E,5,0)</f>
        <v>#N/A</v>
      </c>
      <c r="AT471" s="1036">
        <f t="shared" si="30"/>
        <v>0</v>
      </c>
      <c r="AU471" s="599">
        <f t="shared" si="30"/>
        <v>0</v>
      </c>
      <c r="AV471" s="1030">
        <f>IFERROR(INDEX(V471:AG471,1,MATCH(Parametres!$B$3,V$1:AG$1,0)-1)*IF(OR(C471="L",C471="S",C471="I"),-1,1),"")</f>
        <v>0</v>
      </c>
      <c r="AW471" s="1030">
        <f t="shared" si="31"/>
        <v>0</v>
      </c>
      <c r="AX471" s="1030">
        <f>INDEX(V471:AG471,1,MATCH(Parametres!$B$3,V$1:AG$1,0))*IF(OR(C471="L",C471="S",C471="I"),-1,1)</f>
        <v>0</v>
      </c>
      <c r="AY471" s="598" t="s">
        <v>337</v>
      </c>
      <c r="AZ471" s="598" t="e">
        <f>+VLOOKUP($AJ471,Data_Validation!$A:$E,5,0)</f>
        <v>#N/A</v>
      </c>
    </row>
    <row r="472" spans="36:52" ht="15" customHeight="1">
      <c r="AJ472" s="1030">
        <f t="shared" si="32"/>
        <v>0</v>
      </c>
      <c r="AK472" s="1030">
        <f t="shared" si="32"/>
        <v>0</v>
      </c>
      <c r="AL472" s="1030">
        <f>IFERROR(INDEX(G472:R472,1,MATCH(Parametres!$B$3,G$1:R$1,0)-1)*IF(OR(F472="L",F472="S",F472="I"),-1,1),"")</f>
        <v>0</v>
      </c>
      <c r="AM472" s="1030">
        <f t="shared" si="29"/>
        <v>0</v>
      </c>
      <c r="AN472" s="1030">
        <f>INDEX(G472:R472,1,MATCH(Parametres!$B$3,G$1:R$1,0))*IF(OR(F472="L",F472="S",F472="I"),-1,1)</f>
        <v>0</v>
      </c>
      <c r="AO472" s="598" t="e">
        <f>+VLOOKUP($AJ472,Data_Validation!$A:$D,1,0)</f>
        <v>#N/A</v>
      </c>
      <c r="AP472" s="598" t="e">
        <f>+VLOOKUP($AJ472,Data_Validation!$A:$D,3,0)</f>
        <v>#N/A</v>
      </c>
      <c r="AQ472" s="598" t="e">
        <f>+VLOOKUP($AJ472,Data_Validation!$A:$D,4,0)</f>
        <v>#N/A</v>
      </c>
      <c r="AR472" s="598" t="s">
        <v>299</v>
      </c>
      <c r="AS472" s="598" t="e">
        <f>+VLOOKUP($AJ472,Data_Validation!$A:$E,5,0)</f>
        <v>#N/A</v>
      </c>
      <c r="AT472" s="1036">
        <f t="shared" si="30"/>
        <v>0</v>
      </c>
      <c r="AU472" s="599">
        <f t="shared" si="30"/>
        <v>0</v>
      </c>
      <c r="AV472" s="1030">
        <f>IFERROR(INDEX(V472:AG472,1,MATCH(Parametres!$B$3,V$1:AG$1,0)-1)*IF(OR(C472="L",C472="S",C472="I"),-1,1),"")</f>
        <v>0</v>
      </c>
      <c r="AW472" s="1030">
        <f t="shared" si="31"/>
        <v>0</v>
      </c>
      <c r="AX472" s="1030">
        <f>INDEX(V472:AG472,1,MATCH(Parametres!$B$3,V$1:AG$1,0))*IF(OR(C472="L",C472="S",C472="I"),-1,1)</f>
        <v>0</v>
      </c>
      <c r="AY472" s="598" t="s">
        <v>337</v>
      </c>
      <c r="AZ472" s="598" t="e">
        <f>+VLOOKUP($AJ472,Data_Validation!$A:$E,5,0)</f>
        <v>#N/A</v>
      </c>
    </row>
    <row r="473" spans="36:52" ht="15" customHeight="1">
      <c r="AJ473" s="1030">
        <f t="shared" si="32"/>
        <v>0</v>
      </c>
      <c r="AK473" s="1030">
        <f t="shared" si="32"/>
        <v>0</v>
      </c>
      <c r="AL473" s="1030">
        <f>IFERROR(INDEX(G473:R473,1,MATCH(Parametres!$B$3,G$1:R$1,0)-1)*IF(OR(F473="L",F473="S",F473="I"),-1,1),"")</f>
        <v>0</v>
      </c>
      <c r="AM473" s="1030">
        <f t="shared" si="29"/>
        <v>0</v>
      </c>
      <c r="AN473" s="1030">
        <f>INDEX(G473:R473,1,MATCH(Parametres!$B$3,G$1:R$1,0))*IF(OR(F473="L",F473="S",F473="I"),-1,1)</f>
        <v>0</v>
      </c>
      <c r="AO473" s="598" t="e">
        <f>+VLOOKUP($AJ473,Data_Validation!$A:$D,1,0)</f>
        <v>#N/A</v>
      </c>
      <c r="AP473" s="598" t="e">
        <f>+VLOOKUP($AJ473,Data_Validation!$A:$D,3,0)</f>
        <v>#N/A</v>
      </c>
      <c r="AQ473" s="598" t="e">
        <f>+VLOOKUP($AJ473,Data_Validation!$A:$D,4,0)</f>
        <v>#N/A</v>
      </c>
      <c r="AR473" s="598" t="s">
        <v>299</v>
      </c>
      <c r="AS473" s="598" t="e">
        <f>+VLOOKUP($AJ473,Data_Validation!$A:$E,5,0)</f>
        <v>#N/A</v>
      </c>
      <c r="AT473" s="1036">
        <f t="shared" si="30"/>
        <v>0</v>
      </c>
      <c r="AU473" s="599">
        <f t="shared" si="30"/>
        <v>0</v>
      </c>
      <c r="AV473" s="1030">
        <f>IFERROR(INDEX(V473:AG473,1,MATCH(Parametres!$B$3,V$1:AG$1,0)-1)*IF(OR(C473="L",C473="S",C473="I"),-1,1),"")</f>
        <v>0</v>
      </c>
      <c r="AW473" s="1030">
        <f t="shared" si="31"/>
        <v>0</v>
      </c>
      <c r="AX473" s="1030">
        <f>INDEX(V473:AG473,1,MATCH(Parametres!$B$3,V$1:AG$1,0))*IF(OR(C473="L",C473="S",C473="I"),-1,1)</f>
        <v>0</v>
      </c>
      <c r="AY473" s="598" t="s">
        <v>337</v>
      </c>
      <c r="AZ473" s="598" t="e">
        <f>+VLOOKUP($AJ473,Data_Validation!$A:$E,5,0)</f>
        <v>#N/A</v>
      </c>
    </row>
    <row r="474" spans="36:52" ht="15" customHeight="1">
      <c r="AJ474" s="1030">
        <f t="shared" si="32"/>
        <v>0</v>
      </c>
      <c r="AK474" s="1030">
        <f t="shared" si="32"/>
        <v>0</v>
      </c>
      <c r="AL474" s="1030">
        <f>IFERROR(INDEX(G474:R474,1,MATCH(Parametres!$B$3,G$1:R$1,0)-1)*IF(OR(F474="L",F474="S",F474="I"),-1,1),"")</f>
        <v>0</v>
      </c>
      <c r="AM474" s="1030">
        <f t="shared" si="29"/>
        <v>0</v>
      </c>
      <c r="AN474" s="1030">
        <f>INDEX(G474:R474,1,MATCH(Parametres!$B$3,G$1:R$1,0))*IF(OR(F474="L",F474="S",F474="I"),-1,1)</f>
        <v>0</v>
      </c>
      <c r="AO474" s="598" t="e">
        <f>+VLOOKUP($AJ474,Data_Validation!$A:$D,1,0)</f>
        <v>#N/A</v>
      </c>
      <c r="AP474" s="598" t="e">
        <f>+VLOOKUP($AJ474,Data_Validation!$A:$D,3,0)</f>
        <v>#N/A</v>
      </c>
      <c r="AQ474" s="598" t="e">
        <f>+VLOOKUP($AJ474,Data_Validation!$A:$D,4,0)</f>
        <v>#N/A</v>
      </c>
      <c r="AR474" s="598" t="s">
        <v>299</v>
      </c>
      <c r="AS474" s="598" t="e">
        <f>+VLOOKUP($AJ474,Data_Validation!$A:$E,5,0)</f>
        <v>#N/A</v>
      </c>
      <c r="AT474" s="1036">
        <f t="shared" si="30"/>
        <v>0</v>
      </c>
      <c r="AU474" s="599">
        <f t="shared" si="30"/>
        <v>0</v>
      </c>
      <c r="AV474" s="1030">
        <f>IFERROR(INDEX(V474:AG474,1,MATCH(Parametres!$B$3,V$1:AG$1,0)-1)*IF(OR(C474="L",C474="S",C474="I"),-1,1),"")</f>
        <v>0</v>
      </c>
      <c r="AW474" s="1030">
        <f t="shared" si="31"/>
        <v>0</v>
      </c>
      <c r="AX474" s="1030">
        <f>INDEX(V474:AG474,1,MATCH(Parametres!$B$3,V$1:AG$1,0))*IF(OR(C474="L",C474="S",C474="I"),-1,1)</f>
        <v>0</v>
      </c>
      <c r="AY474" s="598" t="s">
        <v>337</v>
      </c>
      <c r="AZ474" s="598" t="e">
        <f>+VLOOKUP($AJ474,Data_Validation!$A:$E,5,0)</f>
        <v>#N/A</v>
      </c>
    </row>
    <row r="475" spans="36:52" ht="15" customHeight="1">
      <c r="AJ475" s="1030">
        <f t="shared" si="32"/>
        <v>0</v>
      </c>
      <c r="AK475" s="1030">
        <f t="shared" si="32"/>
        <v>0</v>
      </c>
      <c r="AL475" s="1030">
        <f>IFERROR(INDEX(G475:R475,1,MATCH(Parametres!$B$3,G$1:R$1,0)-1)*IF(OR(F475="L",F475="S",F475="I"),-1,1),"")</f>
        <v>0</v>
      </c>
      <c r="AM475" s="1030">
        <f t="shared" si="29"/>
        <v>0</v>
      </c>
      <c r="AN475" s="1030">
        <f>INDEX(G475:R475,1,MATCH(Parametres!$B$3,G$1:R$1,0))*IF(OR(F475="L",F475="S",F475="I"),-1,1)</f>
        <v>0</v>
      </c>
      <c r="AO475" s="598" t="e">
        <f>+VLOOKUP($AJ475,Data_Validation!$A:$D,1,0)</f>
        <v>#N/A</v>
      </c>
      <c r="AP475" s="598" t="e">
        <f>+VLOOKUP($AJ475,Data_Validation!$A:$D,3,0)</f>
        <v>#N/A</v>
      </c>
      <c r="AQ475" s="598" t="e">
        <f>+VLOOKUP($AJ475,Data_Validation!$A:$D,4,0)</f>
        <v>#N/A</v>
      </c>
      <c r="AR475" s="598" t="s">
        <v>299</v>
      </c>
      <c r="AS475" s="598" t="e">
        <f>+VLOOKUP($AJ475,Data_Validation!$A:$E,5,0)</f>
        <v>#N/A</v>
      </c>
      <c r="AT475" s="1036">
        <f t="shared" si="30"/>
        <v>0</v>
      </c>
      <c r="AU475" s="599">
        <f t="shared" si="30"/>
        <v>0</v>
      </c>
      <c r="AV475" s="1030">
        <f>IFERROR(INDEX(V475:AG475,1,MATCH(Parametres!$B$3,V$1:AG$1,0)-1)*IF(OR(C475="L",C475="S",C475="I"),-1,1),"")</f>
        <v>0</v>
      </c>
      <c r="AW475" s="1030">
        <f t="shared" si="31"/>
        <v>0</v>
      </c>
      <c r="AX475" s="1030">
        <f>INDEX(V475:AG475,1,MATCH(Parametres!$B$3,V$1:AG$1,0))*IF(OR(C475="L",C475="S",C475="I"),-1,1)</f>
        <v>0</v>
      </c>
      <c r="AY475" s="598" t="s">
        <v>337</v>
      </c>
      <c r="AZ475" s="598" t="e">
        <f>+VLOOKUP($AJ475,Data_Validation!$A:$E,5,0)</f>
        <v>#N/A</v>
      </c>
    </row>
    <row r="476" spans="36:52" ht="15" customHeight="1">
      <c r="AJ476" s="1030">
        <f t="shared" si="32"/>
        <v>0</v>
      </c>
      <c r="AK476" s="1030">
        <f t="shared" si="32"/>
        <v>0</v>
      </c>
      <c r="AL476" s="1030">
        <f>IFERROR(INDEX(G476:R476,1,MATCH(Parametres!$B$3,G$1:R$1,0)-1)*IF(OR(F476="L",F476="S",F476="I"),-1,1),"")</f>
        <v>0</v>
      </c>
      <c r="AM476" s="1030">
        <f t="shared" si="29"/>
        <v>0</v>
      </c>
      <c r="AN476" s="1030">
        <f>INDEX(G476:R476,1,MATCH(Parametres!$B$3,G$1:R$1,0))*IF(OR(F476="L",F476="S",F476="I"),-1,1)</f>
        <v>0</v>
      </c>
      <c r="AO476" s="598" t="e">
        <f>+VLOOKUP($AJ476,Data_Validation!$A:$D,1,0)</f>
        <v>#N/A</v>
      </c>
      <c r="AP476" s="598" t="e">
        <f>+VLOOKUP($AJ476,Data_Validation!$A:$D,3,0)</f>
        <v>#N/A</v>
      </c>
      <c r="AQ476" s="598" t="e">
        <f>+VLOOKUP($AJ476,Data_Validation!$A:$D,4,0)</f>
        <v>#N/A</v>
      </c>
      <c r="AR476" s="598" t="s">
        <v>299</v>
      </c>
      <c r="AS476" s="598" t="e">
        <f>+VLOOKUP($AJ476,Data_Validation!$A:$E,5,0)</f>
        <v>#N/A</v>
      </c>
      <c r="AT476" s="1036">
        <f t="shared" si="30"/>
        <v>0</v>
      </c>
      <c r="AU476" s="599">
        <f t="shared" si="30"/>
        <v>0</v>
      </c>
      <c r="AV476" s="1030">
        <f>IFERROR(INDEX(V476:AG476,1,MATCH(Parametres!$B$3,V$1:AG$1,0)-1)*IF(OR(C476="L",C476="S",C476="I"),-1,1),"")</f>
        <v>0</v>
      </c>
      <c r="AW476" s="1030">
        <f t="shared" si="31"/>
        <v>0</v>
      </c>
      <c r="AX476" s="1030">
        <f>INDEX(V476:AG476,1,MATCH(Parametres!$B$3,V$1:AG$1,0))*IF(OR(C476="L",C476="S",C476="I"),-1,1)</f>
        <v>0</v>
      </c>
      <c r="AY476" s="598" t="s">
        <v>337</v>
      </c>
      <c r="AZ476" s="598" t="e">
        <f>+VLOOKUP($AJ476,Data_Validation!$A:$E,5,0)</f>
        <v>#N/A</v>
      </c>
    </row>
    <row r="477" spans="36:52" ht="15" customHeight="1">
      <c r="AJ477" s="1030">
        <f t="shared" si="32"/>
        <v>0</v>
      </c>
      <c r="AK477" s="1030">
        <f t="shared" si="32"/>
        <v>0</v>
      </c>
      <c r="AL477" s="1030">
        <f>IFERROR(INDEX(G477:R477,1,MATCH(Parametres!$B$3,G$1:R$1,0)-1)*IF(OR(F477="L",F477="S",F477="I"),-1,1),"")</f>
        <v>0</v>
      </c>
      <c r="AM477" s="1030">
        <f t="shared" si="29"/>
        <v>0</v>
      </c>
      <c r="AN477" s="1030">
        <f>INDEX(G477:R477,1,MATCH(Parametres!$B$3,G$1:R$1,0))*IF(OR(F477="L",F477="S",F477="I"),-1,1)</f>
        <v>0</v>
      </c>
      <c r="AO477" s="598" t="e">
        <f>+VLOOKUP($AJ477,Data_Validation!$A:$D,1,0)</f>
        <v>#N/A</v>
      </c>
      <c r="AP477" s="598" t="e">
        <f>+VLOOKUP($AJ477,Data_Validation!$A:$D,3,0)</f>
        <v>#N/A</v>
      </c>
      <c r="AQ477" s="598" t="e">
        <f>+VLOOKUP($AJ477,Data_Validation!$A:$D,4,0)</f>
        <v>#N/A</v>
      </c>
      <c r="AR477" s="598" t="s">
        <v>299</v>
      </c>
      <c r="AS477" s="598" t="e">
        <f>+VLOOKUP($AJ477,Data_Validation!$A:$E,5,0)</f>
        <v>#N/A</v>
      </c>
      <c r="AT477" s="1036">
        <f t="shared" si="30"/>
        <v>0</v>
      </c>
      <c r="AU477" s="599">
        <f t="shared" si="30"/>
        <v>0</v>
      </c>
      <c r="AV477" s="1030">
        <f>IFERROR(INDEX(V477:AG477,1,MATCH(Parametres!$B$3,V$1:AG$1,0)-1)*IF(OR(C477="L",C477="S",C477="I"),-1,1),"")</f>
        <v>0</v>
      </c>
      <c r="AW477" s="1030">
        <f t="shared" si="31"/>
        <v>0</v>
      </c>
      <c r="AX477" s="1030">
        <f>INDEX(V477:AG477,1,MATCH(Parametres!$B$3,V$1:AG$1,0))*IF(OR(C477="L",C477="S",C477="I"),-1,1)</f>
        <v>0</v>
      </c>
      <c r="AY477" s="598" t="s">
        <v>337</v>
      </c>
      <c r="AZ477" s="598" t="e">
        <f>+VLOOKUP($AJ477,Data_Validation!$A:$E,5,0)</f>
        <v>#N/A</v>
      </c>
    </row>
    <row r="478" spans="36:52" ht="15" customHeight="1">
      <c r="AJ478" s="1030">
        <f t="shared" si="32"/>
        <v>0</v>
      </c>
      <c r="AK478" s="1030">
        <f t="shared" si="32"/>
        <v>0</v>
      </c>
      <c r="AL478" s="1030">
        <f>IFERROR(INDEX(G478:R478,1,MATCH(Parametres!$B$3,G$1:R$1,0)-1)*IF(OR(F478="L",F478="S",F478="I"),-1,1),"")</f>
        <v>0</v>
      </c>
      <c r="AM478" s="1030">
        <f t="shared" si="29"/>
        <v>0</v>
      </c>
      <c r="AN478" s="1030">
        <f>INDEX(G478:R478,1,MATCH(Parametres!$B$3,G$1:R$1,0))*IF(OR(F478="L",F478="S",F478="I"),-1,1)</f>
        <v>0</v>
      </c>
      <c r="AO478" s="598" t="e">
        <f>+VLOOKUP($AJ478,Data_Validation!$A:$D,1,0)</f>
        <v>#N/A</v>
      </c>
      <c r="AP478" s="598" t="e">
        <f>+VLOOKUP($AJ478,Data_Validation!$A:$D,3,0)</f>
        <v>#N/A</v>
      </c>
      <c r="AQ478" s="598" t="e">
        <f>+VLOOKUP($AJ478,Data_Validation!$A:$D,4,0)</f>
        <v>#N/A</v>
      </c>
      <c r="AR478" s="598" t="s">
        <v>299</v>
      </c>
      <c r="AS478" s="598" t="e">
        <f>+VLOOKUP($AJ478,Data_Validation!$A:$E,5,0)</f>
        <v>#N/A</v>
      </c>
      <c r="AT478" s="1036">
        <f t="shared" si="30"/>
        <v>0</v>
      </c>
      <c r="AU478" s="599">
        <f t="shared" si="30"/>
        <v>0</v>
      </c>
      <c r="AV478" s="1030">
        <f>IFERROR(INDEX(V478:AG478,1,MATCH(Parametres!$B$3,V$1:AG$1,0)-1)*IF(OR(C478="L",C478="S",C478="I"),-1,1),"")</f>
        <v>0</v>
      </c>
      <c r="AW478" s="1030">
        <f t="shared" si="31"/>
        <v>0</v>
      </c>
      <c r="AX478" s="1030">
        <f>INDEX(V478:AG478,1,MATCH(Parametres!$B$3,V$1:AG$1,0))*IF(OR(C478="L",C478="S",C478="I"),-1,1)</f>
        <v>0</v>
      </c>
      <c r="AY478" s="598" t="s">
        <v>337</v>
      </c>
      <c r="AZ478" s="598" t="e">
        <f>+VLOOKUP($AJ478,Data_Validation!$A:$E,5,0)</f>
        <v>#N/A</v>
      </c>
    </row>
    <row r="479" spans="36:52" ht="15" customHeight="1">
      <c r="AJ479" s="1030">
        <f t="shared" si="32"/>
        <v>0</v>
      </c>
      <c r="AK479" s="1030">
        <f t="shared" si="32"/>
        <v>0</v>
      </c>
      <c r="AL479" s="1030">
        <f>IFERROR(INDEX(G479:R479,1,MATCH(Parametres!$B$3,G$1:R$1,0)-1)*IF(OR(F479="L",F479="S",F479="I"),-1,1),"")</f>
        <v>0</v>
      </c>
      <c r="AM479" s="1030">
        <f t="shared" si="29"/>
        <v>0</v>
      </c>
      <c r="AN479" s="1030">
        <f>INDEX(G479:R479,1,MATCH(Parametres!$B$3,G$1:R$1,0))*IF(OR(F479="L",F479="S",F479="I"),-1,1)</f>
        <v>0</v>
      </c>
      <c r="AO479" s="598" t="e">
        <f>+VLOOKUP($AJ479,Data_Validation!$A:$D,1,0)</f>
        <v>#N/A</v>
      </c>
      <c r="AP479" s="598" t="e">
        <f>+VLOOKUP($AJ479,Data_Validation!$A:$D,3,0)</f>
        <v>#N/A</v>
      </c>
      <c r="AQ479" s="598" t="e">
        <f>+VLOOKUP($AJ479,Data_Validation!$A:$D,4,0)</f>
        <v>#N/A</v>
      </c>
      <c r="AR479" s="598" t="s">
        <v>299</v>
      </c>
      <c r="AS479" s="598" t="e">
        <f>+VLOOKUP($AJ479,Data_Validation!$A:$E,5,0)</f>
        <v>#N/A</v>
      </c>
      <c r="AT479" s="1036">
        <f t="shared" si="30"/>
        <v>0</v>
      </c>
      <c r="AU479" s="599">
        <f t="shared" si="30"/>
        <v>0</v>
      </c>
      <c r="AV479" s="1030">
        <f>IFERROR(INDEX(V479:AG479,1,MATCH(Parametres!$B$3,V$1:AG$1,0)-1)*IF(OR(C479="L",C479="S",C479="I"),-1,1),"")</f>
        <v>0</v>
      </c>
      <c r="AW479" s="1030">
        <f t="shared" si="31"/>
        <v>0</v>
      </c>
      <c r="AX479" s="1030">
        <f>INDEX(V479:AG479,1,MATCH(Parametres!$B$3,V$1:AG$1,0))*IF(OR(C479="L",C479="S",C479="I"),-1,1)</f>
        <v>0</v>
      </c>
      <c r="AY479" s="598" t="s">
        <v>337</v>
      </c>
      <c r="AZ479" s="598" t="e">
        <f>+VLOOKUP($AJ479,Data_Validation!$A:$E,5,0)</f>
        <v>#N/A</v>
      </c>
    </row>
    <row r="480" spans="36:52" ht="15" customHeight="1">
      <c r="AJ480" s="1030">
        <f t="shared" si="32"/>
        <v>0</v>
      </c>
      <c r="AK480" s="1030">
        <f t="shared" si="32"/>
        <v>0</v>
      </c>
      <c r="AL480" s="1030">
        <f>IFERROR(INDEX(G480:R480,1,MATCH(Parametres!$B$3,G$1:R$1,0)-1)*IF(OR(F480="L",F480="S",F480="I"),-1,1),"")</f>
        <v>0</v>
      </c>
      <c r="AM480" s="1030">
        <f t="shared" si="29"/>
        <v>0</v>
      </c>
      <c r="AN480" s="1030">
        <f>INDEX(G480:R480,1,MATCH(Parametres!$B$3,G$1:R$1,0))*IF(OR(F480="L",F480="S",F480="I"),-1,1)</f>
        <v>0</v>
      </c>
      <c r="AO480" s="598" t="e">
        <f>+VLOOKUP($AJ480,Data_Validation!$A:$D,1,0)</f>
        <v>#N/A</v>
      </c>
      <c r="AP480" s="598" t="e">
        <f>+VLOOKUP($AJ480,Data_Validation!$A:$D,3,0)</f>
        <v>#N/A</v>
      </c>
      <c r="AQ480" s="598" t="e">
        <f>+VLOOKUP($AJ480,Data_Validation!$A:$D,4,0)</f>
        <v>#N/A</v>
      </c>
      <c r="AR480" s="598" t="s">
        <v>299</v>
      </c>
      <c r="AS480" s="598" t="e">
        <f>+VLOOKUP($AJ480,Data_Validation!$A:$E,5,0)</f>
        <v>#N/A</v>
      </c>
      <c r="AT480" s="1036">
        <f t="shared" si="30"/>
        <v>0</v>
      </c>
      <c r="AU480" s="599">
        <f t="shared" si="30"/>
        <v>0</v>
      </c>
      <c r="AV480" s="1030">
        <f>IFERROR(INDEX(V480:AG480,1,MATCH(Parametres!$B$3,V$1:AG$1,0)-1)*IF(OR(C480="L",C480="S",C480="I"),-1,1),"")</f>
        <v>0</v>
      </c>
      <c r="AW480" s="1030">
        <f t="shared" si="31"/>
        <v>0</v>
      </c>
      <c r="AX480" s="1030">
        <f>INDEX(V480:AG480,1,MATCH(Parametres!$B$3,V$1:AG$1,0))*IF(OR(C480="L",C480="S",C480="I"),-1,1)</f>
        <v>0</v>
      </c>
      <c r="AY480" s="598" t="s">
        <v>337</v>
      </c>
      <c r="AZ480" s="598" t="e">
        <f>+VLOOKUP($AJ480,Data_Validation!$A:$E,5,0)</f>
        <v>#N/A</v>
      </c>
    </row>
    <row r="481" spans="36:52" ht="15" customHeight="1">
      <c r="AJ481" s="1030">
        <f t="shared" si="32"/>
        <v>0</v>
      </c>
      <c r="AK481" s="1030">
        <f t="shared" si="32"/>
        <v>0</v>
      </c>
      <c r="AL481" s="1030">
        <f>IFERROR(INDEX(G481:R481,1,MATCH(Parametres!$B$3,G$1:R$1,0)-1)*IF(OR(F481="L",F481="S",F481="I"),-1,1),"")</f>
        <v>0</v>
      </c>
      <c r="AM481" s="1030">
        <f t="shared" si="29"/>
        <v>0</v>
      </c>
      <c r="AN481" s="1030">
        <f>INDEX(G481:R481,1,MATCH(Parametres!$B$3,G$1:R$1,0))*IF(OR(F481="L",F481="S",F481="I"),-1,1)</f>
        <v>0</v>
      </c>
      <c r="AO481" s="598" t="e">
        <f>+VLOOKUP($AJ481,Data_Validation!$A:$D,1,0)</f>
        <v>#N/A</v>
      </c>
      <c r="AP481" s="598" t="e">
        <f>+VLOOKUP($AJ481,Data_Validation!$A:$D,3,0)</f>
        <v>#N/A</v>
      </c>
      <c r="AQ481" s="598" t="e">
        <f>+VLOOKUP($AJ481,Data_Validation!$A:$D,4,0)</f>
        <v>#N/A</v>
      </c>
      <c r="AR481" s="598" t="s">
        <v>299</v>
      </c>
      <c r="AS481" s="598" t="e">
        <f>+VLOOKUP($AJ481,Data_Validation!$A:$E,5,0)</f>
        <v>#N/A</v>
      </c>
      <c r="AT481" s="1036">
        <f t="shared" si="30"/>
        <v>0</v>
      </c>
      <c r="AU481" s="599">
        <f t="shared" si="30"/>
        <v>0</v>
      </c>
      <c r="AV481" s="1030">
        <f>IFERROR(INDEX(V481:AG481,1,MATCH(Parametres!$B$3,V$1:AG$1,0)-1)*IF(OR(C481="L",C481="S",C481="I"),-1,1),"")</f>
        <v>0</v>
      </c>
      <c r="AW481" s="1030">
        <f t="shared" si="31"/>
        <v>0</v>
      </c>
      <c r="AX481" s="1030">
        <f>INDEX(V481:AG481,1,MATCH(Parametres!$B$3,V$1:AG$1,0))*IF(OR(C481="L",C481="S",C481="I"),-1,1)</f>
        <v>0</v>
      </c>
      <c r="AY481" s="598" t="s">
        <v>337</v>
      </c>
      <c r="AZ481" s="598" t="e">
        <f>+VLOOKUP($AJ481,Data_Validation!$A:$E,5,0)</f>
        <v>#N/A</v>
      </c>
    </row>
    <row r="482" spans="36:52" ht="15" customHeight="1">
      <c r="AJ482" s="1030">
        <f t="shared" si="32"/>
        <v>0</v>
      </c>
      <c r="AK482" s="1030">
        <f t="shared" si="32"/>
        <v>0</v>
      </c>
      <c r="AL482" s="1030">
        <f>IFERROR(INDEX(G482:R482,1,MATCH(Parametres!$B$3,G$1:R$1,0)-1)*IF(OR(F482="L",F482="S",F482="I"),-1,1),"")</f>
        <v>0</v>
      </c>
      <c r="AM482" s="1030">
        <f t="shared" si="29"/>
        <v>0</v>
      </c>
      <c r="AN482" s="1030">
        <f>INDEX(G482:R482,1,MATCH(Parametres!$B$3,G$1:R$1,0))*IF(OR(F482="L",F482="S",F482="I"),-1,1)</f>
        <v>0</v>
      </c>
      <c r="AO482" s="598" t="e">
        <f>+VLOOKUP($AJ482,Data_Validation!$A:$D,1,0)</f>
        <v>#N/A</v>
      </c>
      <c r="AP482" s="598" t="e">
        <f>+VLOOKUP($AJ482,Data_Validation!$A:$D,3,0)</f>
        <v>#N/A</v>
      </c>
      <c r="AQ482" s="598" t="e">
        <f>+VLOOKUP($AJ482,Data_Validation!$A:$D,4,0)</f>
        <v>#N/A</v>
      </c>
      <c r="AR482" s="598" t="s">
        <v>299</v>
      </c>
      <c r="AS482" s="598" t="e">
        <f>+VLOOKUP($AJ482,Data_Validation!$A:$E,5,0)</f>
        <v>#N/A</v>
      </c>
      <c r="AT482" s="1036">
        <f t="shared" si="30"/>
        <v>0</v>
      </c>
      <c r="AU482" s="599">
        <f t="shared" si="30"/>
        <v>0</v>
      </c>
      <c r="AV482" s="1030">
        <f>IFERROR(INDEX(V482:AG482,1,MATCH(Parametres!$B$3,V$1:AG$1,0)-1)*IF(OR(C482="L",C482="S",C482="I"),-1,1),"")</f>
        <v>0</v>
      </c>
      <c r="AW482" s="1030">
        <f t="shared" si="31"/>
        <v>0</v>
      </c>
      <c r="AX482" s="1030">
        <f>INDEX(V482:AG482,1,MATCH(Parametres!$B$3,V$1:AG$1,0))*IF(OR(C482="L",C482="S",C482="I"),-1,1)</f>
        <v>0</v>
      </c>
      <c r="AY482" s="598" t="s">
        <v>337</v>
      </c>
      <c r="AZ482" s="598" t="e">
        <f>+VLOOKUP($AJ482,Data_Validation!$A:$E,5,0)</f>
        <v>#N/A</v>
      </c>
    </row>
    <row r="483" spans="36:52" ht="15" customHeight="1">
      <c r="AJ483" s="1030">
        <f t="shared" si="32"/>
        <v>0</v>
      </c>
      <c r="AK483" s="1030">
        <f t="shared" si="32"/>
        <v>0</v>
      </c>
      <c r="AL483" s="1030">
        <f>IFERROR(INDEX(G483:R483,1,MATCH(Parametres!$B$3,G$1:R$1,0)-1)*IF(OR(F483="L",F483="S",F483="I"),-1,1),"")</f>
        <v>0</v>
      </c>
      <c r="AM483" s="1030">
        <f t="shared" si="29"/>
        <v>0</v>
      </c>
      <c r="AN483" s="1030">
        <f>INDEX(G483:R483,1,MATCH(Parametres!$B$3,G$1:R$1,0))*IF(OR(F483="L",F483="S",F483="I"),-1,1)</f>
        <v>0</v>
      </c>
      <c r="AO483" s="598" t="e">
        <f>+VLOOKUP($AJ483,Data_Validation!$A:$D,1,0)</f>
        <v>#N/A</v>
      </c>
      <c r="AP483" s="598" t="e">
        <f>+VLOOKUP($AJ483,Data_Validation!$A:$D,3,0)</f>
        <v>#N/A</v>
      </c>
      <c r="AQ483" s="598" t="e">
        <f>+VLOOKUP($AJ483,Data_Validation!$A:$D,4,0)</f>
        <v>#N/A</v>
      </c>
      <c r="AR483" s="598" t="s">
        <v>299</v>
      </c>
      <c r="AS483" s="598" t="e">
        <f>+VLOOKUP($AJ483,Data_Validation!$A:$E,5,0)</f>
        <v>#N/A</v>
      </c>
      <c r="AT483" s="1036">
        <f t="shared" si="30"/>
        <v>0</v>
      </c>
      <c r="AU483" s="599">
        <f t="shared" si="30"/>
        <v>0</v>
      </c>
      <c r="AV483" s="1030">
        <f>IFERROR(INDEX(V483:AG483,1,MATCH(Parametres!$B$3,V$1:AG$1,0)-1)*IF(OR(C483="L",C483="S",C483="I"),-1,1),"")</f>
        <v>0</v>
      </c>
      <c r="AW483" s="1030">
        <f t="shared" si="31"/>
        <v>0</v>
      </c>
      <c r="AX483" s="1030">
        <f>INDEX(V483:AG483,1,MATCH(Parametres!$B$3,V$1:AG$1,0))*IF(OR(C483="L",C483="S",C483="I"),-1,1)</f>
        <v>0</v>
      </c>
      <c r="AY483" s="598" t="s">
        <v>337</v>
      </c>
      <c r="AZ483" s="598" t="e">
        <f>+VLOOKUP($AJ483,Data_Validation!$A:$E,5,0)</f>
        <v>#N/A</v>
      </c>
    </row>
    <row r="484" spans="36:52" ht="15" customHeight="1">
      <c r="AJ484" s="1030">
        <f t="shared" si="32"/>
        <v>0</v>
      </c>
      <c r="AK484" s="1030">
        <f t="shared" si="32"/>
        <v>0</v>
      </c>
      <c r="AL484" s="1030">
        <f>IFERROR(INDEX(G484:R484,1,MATCH(Parametres!$B$3,G$1:R$1,0)-1)*IF(OR(F484="L",F484="S",F484="I"),-1,1),"")</f>
        <v>0</v>
      </c>
      <c r="AM484" s="1030">
        <f t="shared" si="29"/>
        <v>0</v>
      </c>
      <c r="AN484" s="1030">
        <f>INDEX(G484:R484,1,MATCH(Parametres!$B$3,G$1:R$1,0))*IF(OR(F484="L",F484="S",F484="I"),-1,1)</f>
        <v>0</v>
      </c>
      <c r="AO484" s="598" t="e">
        <f>+VLOOKUP($AJ484,Data_Validation!$A:$D,1,0)</f>
        <v>#N/A</v>
      </c>
      <c r="AP484" s="598" t="e">
        <f>+VLOOKUP($AJ484,Data_Validation!$A:$D,3,0)</f>
        <v>#N/A</v>
      </c>
      <c r="AQ484" s="598" t="e">
        <f>+VLOOKUP($AJ484,Data_Validation!$A:$D,4,0)</f>
        <v>#N/A</v>
      </c>
      <c r="AR484" s="598" t="s">
        <v>299</v>
      </c>
      <c r="AS484" s="598" t="e">
        <f>+VLOOKUP($AJ484,Data_Validation!$A:$E,5,0)</f>
        <v>#N/A</v>
      </c>
      <c r="AT484" s="1036">
        <f t="shared" si="30"/>
        <v>0</v>
      </c>
      <c r="AU484" s="599">
        <f t="shared" si="30"/>
        <v>0</v>
      </c>
      <c r="AV484" s="1030">
        <f>IFERROR(INDEX(V484:AG484,1,MATCH(Parametres!$B$3,V$1:AG$1,0)-1)*IF(OR(C484="L",C484="S",C484="I"),-1,1),"")</f>
        <v>0</v>
      </c>
      <c r="AW484" s="1030">
        <f t="shared" si="31"/>
        <v>0</v>
      </c>
      <c r="AX484" s="1030">
        <f>INDEX(V484:AG484,1,MATCH(Parametres!$B$3,V$1:AG$1,0))*IF(OR(C484="L",C484="S",C484="I"),-1,1)</f>
        <v>0</v>
      </c>
      <c r="AY484" s="598" t="s">
        <v>337</v>
      </c>
      <c r="AZ484" s="598" t="e">
        <f>+VLOOKUP($AJ484,Data_Validation!$A:$E,5,0)</f>
        <v>#N/A</v>
      </c>
    </row>
    <row r="485" spans="36:52" ht="15" customHeight="1">
      <c r="AJ485" s="1030">
        <f t="shared" si="32"/>
        <v>0</v>
      </c>
      <c r="AK485" s="1030">
        <f t="shared" si="32"/>
        <v>0</v>
      </c>
      <c r="AL485" s="1030">
        <f>IFERROR(INDEX(G485:R485,1,MATCH(Parametres!$B$3,G$1:R$1,0)-1)*IF(OR(F485="L",F485="S",F485="I"),-1,1),"")</f>
        <v>0</v>
      </c>
      <c r="AM485" s="1030">
        <f t="shared" si="29"/>
        <v>0</v>
      </c>
      <c r="AN485" s="1030">
        <f>INDEX(G485:R485,1,MATCH(Parametres!$B$3,G$1:R$1,0))*IF(OR(F485="L",F485="S",F485="I"),-1,1)</f>
        <v>0</v>
      </c>
      <c r="AO485" s="598" t="e">
        <f>+VLOOKUP($AJ485,Data_Validation!$A:$D,1,0)</f>
        <v>#N/A</v>
      </c>
      <c r="AP485" s="598" t="e">
        <f>+VLOOKUP($AJ485,Data_Validation!$A:$D,3,0)</f>
        <v>#N/A</v>
      </c>
      <c r="AQ485" s="598" t="e">
        <f>+VLOOKUP($AJ485,Data_Validation!$A:$D,4,0)</f>
        <v>#N/A</v>
      </c>
      <c r="AR485" s="598" t="s">
        <v>299</v>
      </c>
      <c r="AS485" s="598" t="e">
        <f>+VLOOKUP($AJ485,Data_Validation!$A:$E,5,0)</f>
        <v>#N/A</v>
      </c>
      <c r="AT485" s="1036">
        <f t="shared" si="30"/>
        <v>0</v>
      </c>
      <c r="AU485" s="599">
        <f t="shared" si="30"/>
        <v>0</v>
      </c>
      <c r="AV485" s="1030">
        <f>IFERROR(INDEX(V485:AG485,1,MATCH(Parametres!$B$3,V$1:AG$1,0)-1)*IF(OR(C485="L",C485="S",C485="I"),-1,1),"")</f>
        <v>0</v>
      </c>
      <c r="AW485" s="1030">
        <f t="shared" si="31"/>
        <v>0</v>
      </c>
      <c r="AX485" s="1030">
        <f>INDEX(V485:AG485,1,MATCH(Parametres!$B$3,V$1:AG$1,0))*IF(OR(C485="L",C485="S",C485="I"),-1,1)</f>
        <v>0</v>
      </c>
      <c r="AY485" s="598" t="s">
        <v>337</v>
      </c>
      <c r="AZ485" s="598" t="e">
        <f>+VLOOKUP($AJ485,Data_Validation!$A:$E,5,0)</f>
        <v>#N/A</v>
      </c>
    </row>
    <row r="486" spans="36:52" ht="15" customHeight="1">
      <c r="AJ486" s="1030">
        <f t="shared" si="32"/>
        <v>0</v>
      </c>
      <c r="AK486" s="1030">
        <f t="shared" si="32"/>
        <v>0</v>
      </c>
      <c r="AL486" s="1030">
        <f>IFERROR(INDEX(G486:R486,1,MATCH(Parametres!$B$3,G$1:R$1,0)-1)*IF(OR(F486="L",F486="S",F486="I"),-1,1),"")</f>
        <v>0</v>
      </c>
      <c r="AM486" s="1030">
        <f t="shared" si="29"/>
        <v>0</v>
      </c>
      <c r="AN486" s="1030">
        <f>INDEX(G486:R486,1,MATCH(Parametres!$B$3,G$1:R$1,0))*IF(OR(F486="L",F486="S",F486="I"),-1,1)</f>
        <v>0</v>
      </c>
      <c r="AO486" s="598" t="e">
        <f>+VLOOKUP($AJ486,Data_Validation!$A:$D,1,0)</f>
        <v>#N/A</v>
      </c>
      <c r="AP486" s="598" t="e">
        <f>+VLOOKUP($AJ486,Data_Validation!$A:$D,3,0)</f>
        <v>#N/A</v>
      </c>
      <c r="AQ486" s="598" t="e">
        <f>+VLOOKUP($AJ486,Data_Validation!$A:$D,4,0)</f>
        <v>#N/A</v>
      </c>
      <c r="AR486" s="598" t="s">
        <v>299</v>
      </c>
      <c r="AS486" s="598" t="e">
        <f>+VLOOKUP($AJ486,Data_Validation!$A:$E,5,0)</f>
        <v>#N/A</v>
      </c>
      <c r="AT486" s="1036">
        <f t="shared" si="30"/>
        <v>0</v>
      </c>
      <c r="AU486" s="599">
        <f t="shared" si="30"/>
        <v>0</v>
      </c>
      <c r="AV486" s="1030">
        <f>IFERROR(INDEX(V486:AG486,1,MATCH(Parametres!$B$3,V$1:AG$1,0)-1)*IF(OR(C486="L",C486="S",C486="I"),-1,1),"")</f>
        <v>0</v>
      </c>
      <c r="AW486" s="1030">
        <f t="shared" si="31"/>
        <v>0</v>
      </c>
      <c r="AX486" s="1030">
        <f>INDEX(V486:AG486,1,MATCH(Parametres!$B$3,V$1:AG$1,0))*IF(OR(C486="L",C486="S",C486="I"),-1,1)</f>
        <v>0</v>
      </c>
      <c r="AY486" s="598" t="s">
        <v>337</v>
      </c>
      <c r="AZ486" s="598" t="e">
        <f>+VLOOKUP($AJ486,Data_Validation!$A:$E,5,0)</f>
        <v>#N/A</v>
      </c>
    </row>
    <row r="487" spans="36:52" ht="15" customHeight="1">
      <c r="AJ487" s="1030">
        <f t="shared" si="32"/>
        <v>0</v>
      </c>
      <c r="AK487" s="1030">
        <f t="shared" si="32"/>
        <v>0</v>
      </c>
      <c r="AL487" s="1030">
        <f>IFERROR(INDEX(G487:R487,1,MATCH(Parametres!$B$3,G$1:R$1,0)-1)*IF(OR(F487="L",F487="S",F487="I"),-1,1),"")</f>
        <v>0</v>
      </c>
      <c r="AM487" s="1030">
        <f t="shared" si="29"/>
        <v>0</v>
      </c>
      <c r="AN487" s="1030">
        <f>INDEX(G487:R487,1,MATCH(Parametres!$B$3,G$1:R$1,0))*IF(OR(F487="L",F487="S",F487="I"),-1,1)</f>
        <v>0</v>
      </c>
      <c r="AO487" s="598" t="e">
        <f>+VLOOKUP($AJ487,Data_Validation!$A:$D,1,0)</f>
        <v>#N/A</v>
      </c>
      <c r="AP487" s="598" t="e">
        <f>+VLOOKUP($AJ487,Data_Validation!$A:$D,3,0)</f>
        <v>#N/A</v>
      </c>
      <c r="AQ487" s="598" t="e">
        <f>+VLOOKUP($AJ487,Data_Validation!$A:$D,4,0)</f>
        <v>#N/A</v>
      </c>
      <c r="AR487" s="598" t="s">
        <v>299</v>
      </c>
      <c r="AS487" s="598" t="e">
        <f>+VLOOKUP($AJ487,Data_Validation!$A:$E,5,0)</f>
        <v>#N/A</v>
      </c>
      <c r="AT487" s="1036">
        <f t="shared" si="30"/>
        <v>0</v>
      </c>
      <c r="AU487" s="599">
        <f t="shared" si="30"/>
        <v>0</v>
      </c>
      <c r="AV487" s="1030">
        <f>IFERROR(INDEX(V487:AG487,1,MATCH(Parametres!$B$3,V$1:AG$1,0)-1)*IF(OR(C487="L",C487="S",C487="I"),-1,1),"")</f>
        <v>0</v>
      </c>
      <c r="AW487" s="1030">
        <f t="shared" si="31"/>
        <v>0</v>
      </c>
      <c r="AX487" s="1030">
        <f>INDEX(V487:AG487,1,MATCH(Parametres!$B$3,V$1:AG$1,0))*IF(OR(C487="L",C487="S",C487="I"),-1,1)</f>
        <v>0</v>
      </c>
      <c r="AY487" s="598" t="s">
        <v>337</v>
      </c>
      <c r="AZ487" s="598" t="e">
        <f>+VLOOKUP($AJ487,Data_Validation!$A:$E,5,0)</f>
        <v>#N/A</v>
      </c>
    </row>
    <row r="488" spans="36:52" ht="15" customHeight="1">
      <c r="AJ488" s="1030">
        <f t="shared" si="32"/>
        <v>0</v>
      </c>
      <c r="AK488" s="1030">
        <f t="shared" si="32"/>
        <v>0</v>
      </c>
      <c r="AL488" s="1030">
        <f>IFERROR(INDEX(G488:R488,1,MATCH(Parametres!$B$3,G$1:R$1,0)-1)*IF(OR(F488="L",F488="S",F488="I"),-1,1),"")</f>
        <v>0</v>
      </c>
      <c r="AM488" s="1030">
        <f t="shared" si="29"/>
        <v>0</v>
      </c>
      <c r="AN488" s="1030">
        <f>INDEX(G488:R488,1,MATCH(Parametres!$B$3,G$1:R$1,0))*IF(OR(F488="L",F488="S",F488="I"),-1,1)</f>
        <v>0</v>
      </c>
      <c r="AO488" s="598" t="e">
        <f>+VLOOKUP($AJ488,Data_Validation!$A:$D,1,0)</f>
        <v>#N/A</v>
      </c>
      <c r="AP488" s="598" t="e">
        <f>+VLOOKUP($AJ488,Data_Validation!$A:$D,3,0)</f>
        <v>#N/A</v>
      </c>
      <c r="AQ488" s="598" t="e">
        <f>+VLOOKUP($AJ488,Data_Validation!$A:$D,4,0)</f>
        <v>#N/A</v>
      </c>
      <c r="AR488" s="598" t="s">
        <v>299</v>
      </c>
      <c r="AS488" s="598" t="e">
        <f>+VLOOKUP($AJ488,Data_Validation!$A:$E,5,0)</f>
        <v>#N/A</v>
      </c>
      <c r="AT488" s="1036">
        <f t="shared" si="30"/>
        <v>0</v>
      </c>
      <c r="AU488" s="599">
        <f t="shared" si="30"/>
        <v>0</v>
      </c>
      <c r="AV488" s="1030">
        <f>IFERROR(INDEX(V488:AG488,1,MATCH(Parametres!$B$3,V$1:AG$1,0)-1)*IF(OR(C488="L",C488="S",C488="I"),-1,1),"")</f>
        <v>0</v>
      </c>
      <c r="AW488" s="1030">
        <f t="shared" si="31"/>
        <v>0</v>
      </c>
      <c r="AX488" s="1030">
        <f>INDEX(V488:AG488,1,MATCH(Parametres!$B$3,V$1:AG$1,0))*IF(OR(C488="L",C488="S",C488="I"),-1,1)</f>
        <v>0</v>
      </c>
      <c r="AY488" s="598" t="s">
        <v>337</v>
      </c>
      <c r="AZ488" s="598" t="e">
        <f>+VLOOKUP($AJ488,Data_Validation!$A:$E,5,0)</f>
        <v>#N/A</v>
      </c>
    </row>
    <row r="489" spans="36:52" ht="15" customHeight="1">
      <c r="AJ489" s="1030">
        <f t="shared" si="32"/>
        <v>0</v>
      </c>
      <c r="AK489" s="1030">
        <f t="shared" si="32"/>
        <v>0</v>
      </c>
      <c r="AL489" s="1030">
        <f>IFERROR(INDEX(G489:R489,1,MATCH(Parametres!$B$3,G$1:R$1,0)-1)*IF(OR(F489="L",F489="S",F489="I"),-1,1),"")</f>
        <v>0</v>
      </c>
      <c r="AM489" s="1030">
        <f t="shared" si="29"/>
        <v>0</v>
      </c>
      <c r="AN489" s="1030">
        <f>INDEX(G489:R489,1,MATCH(Parametres!$B$3,G$1:R$1,0))*IF(OR(F489="L",F489="S",F489="I"),-1,1)</f>
        <v>0</v>
      </c>
      <c r="AO489" s="598" t="e">
        <f>+VLOOKUP($AJ489,Data_Validation!$A:$D,1,0)</f>
        <v>#N/A</v>
      </c>
      <c r="AP489" s="598" t="e">
        <f>+VLOOKUP($AJ489,Data_Validation!$A:$D,3,0)</f>
        <v>#N/A</v>
      </c>
      <c r="AQ489" s="598" t="e">
        <f>+VLOOKUP($AJ489,Data_Validation!$A:$D,4,0)</f>
        <v>#N/A</v>
      </c>
      <c r="AR489" s="598" t="s">
        <v>299</v>
      </c>
      <c r="AS489" s="598" t="e">
        <f>+VLOOKUP($AJ489,Data_Validation!$A:$E,5,0)</f>
        <v>#N/A</v>
      </c>
      <c r="AT489" s="1036">
        <f t="shared" si="30"/>
        <v>0</v>
      </c>
      <c r="AU489" s="599">
        <f t="shared" si="30"/>
        <v>0</v>
      </c>
      <c r="AV489" s="1030">
        <f>IFERROR(INDEX(V489:AG489,1,MATCH(Parametres!$B$3,V$1:AG$1,0)-1)*IF(OR(C489="L",C489="S",C489="I"),-1,1),"")</f>
        <v>0</v>
      </c>
      <c r="AW489" s="1030">
        <f t="shared" si="31"/>
        <v>0</v>
      </c>
      <c r="AX489" s="1030">
        <f>INDEX(V489:AG489,1,MATCH(Parametres!$B$3,V$1:AG$1,0))*IF(OR(C489="L",C489="S",C489="I"),-1,1)</f>
        <v>0</v>
      </c>
      <c r="AY489" s="598" t="s">
        <v>337</v>
      </c>
      <c r="AZ489" s="598" t="e">
        <f>+VLOOKUP($AJ489,Data_Validation!$A:$E,5,0)</f>
        <v>#N/A</v>
      </c>
    </row>
    <row r="490" spans="36:52" ht="15" customHeight="1">
      <c r="AJ490" s="1030">
        <f t="shared" si="32"/>
        <v>0</v>
      </c>
      <c r="AK490" s="1030">
        <f t="shared" si="32"/>
        <v>0</v>
      </c>
      <c r="AL490" s="1030">
        <f>IFERROR(INDEX(G490:R490,1,MATCH(Parametres!$B$3,G$1:R$1,0)-1)*IF(OR(F490="L",F490="S",F490="I"),-1,1),"")</f>
        <v>0</v>
      </c>
      <c r="AM490" s="1030">
        <f t="shared" si="29"/>
        <v>0</v>
      </c>
      <c r="AN490" s="1030">
        <f>INDEX(G490:R490,1,MATCH(Parametres!$B$3,G$1:R$1,0))*IF(OR(F490="L",F490="S",F490="I"),-1,1)</f>
        <v>0</v>
      </c>
      <c r="AO490" s="598" t="e">
        <f>+VLOOKUP($AJ490,Data_Validation!$A:$D,1,0)</f>
        <v>#N/A</v>
      </c>
      <c r="AP490" s="598" t="e">
        <f>+VLOOKUP($AJ490,Data_Validation!$A:$D,3,0)</f>
        <v>#N/A</v>
      </c>
      <c r="AQ490" s="598" t="e">
        <f>+VLOOKUP($AJ490,Data_Validation!$A:$D,4,0)</f>
        <v>#N/A</v>
      </c>
      <c r="AR490" s="598" t="s">
        <v>299</v>
      </c>
      <c r="AS490" s="598" t="e">
        <f>+VLOOKUP($AJ490,Data_Validation!$A:$E,5,0)</f>
        <v>#N/A</v>
      </c>
      <c r="AT490" s="1036">
        <f t="shared" si="30"/>
        <v>0</v>
      </c>
      <c r="AU490" s="599">
        <f t="shared" si="30"/>
        <v>0</v>
      </c>
      <c r="AV490" s="1030">
        <f>IFERROR(INDEX(V490:AG490,1,MATCH(Parametres!$B$3,V$1:AG$1,0)-1)*IF(OR(C490="L",C490="S",C490="I"),-1,1),"")</f>
        <v>0</v>
      </c>
      <c r="AW490" s="1030">
        <f t="shared" si="31"/>
        <v>0</v>
      </c>
      <c r="AX490" s="1030">
        <f>INDEX(V490:AG490,1,MATCH(Parametres!$B$3,V$1:AG$1,0))*IF(OR(C490="L",C490="S",C490="I"),-1,1)</f>
        <v>0</v>
      </c>
      <c r="AY490" s="598" t="s">
        <v>337</v>
      </c>
      <c r="AZ490" s="598" t="e">
        <f>+VLOOKUP($AJ490,Data_Validation!$A:$E,5,0)</f>
        <v>#N/A</v>
      </c>
    </row>
    <row r="491" spans="36:52" ht="15" customHeight="1">
      <c r="AJ491" s="1030">
        <f t="shared" si="32"/>
        <v>0</v>
      </c>
      <c r="AK491" s="1030">
        <f t="shared" si="32"/>
        <v>0</v>
      </c>
      <c r="AL491" s="1030">
        <f>IFERROR(INDEX(G491:R491,1,MATCH(Parametres!$B$3,G$1:R$1,0)-1)*IF(OR(F491="L",F491="S",F491="I"),-1,1),"")</f>
        <v>0</v>
      </c>
      <c r="AM491" s="1030">
        <f t="shared" si="29"/>
        <v>0</v>
      </c>
      <c r="AN491" s="1030">
        <f>INDEX(G491:R491,1,MATCH(Parametres!$B$3,G$1:R$1,0))*IF(OR(F491="L",F491="S",F491="I"),-1,1)</f>
        <v>0</v>
      </c>
      <c r="AO491" s="598" t="e">
        <f>+VLOOKUP($AJ491,Data_Validation!$A:$D,1,0)</f>
        <v>#N/A</v>
      </c>
      <c r="AP491" s="598" t="e">
        <f>+VLOOKUP($AJ491,Data_Validation!$A:$D,3,0)</f>
        <v>#N/A</v>
      </c>
      <c r="AQ491" s="598" t="e">
        <f>+VLOOKUP($AJ491,Data_Validation!$A:$D,4,0)</f>
        <v>#N/A</v>
      </c>
      <c r="AR491" s="598" t="s">
        <v>299</v>
      </c>
      <c r="AS491" s="598" t="e">
        <f>+VLOOKUP($AJ491,Data_Validation!$A:$E,5,0)</f>
        <v>#N/A</v>
      </c>
      <c r="AT491" s="1036">
        <f t="shared" si="30"/>
        <v>0</v>
      </c>
      <c r="AU491" s="599">
        <f t="shared" si="30"/>
        <v>0</v>
      </c>
      <c r="AV491" s="1030">
        <f>IFERROR(INDEX(V491:AG491,1,MATCH(Parametres!$B$3,V$1:AG$1,0)-1)*IF(OR(C491="L",C491="S",C491="I"),-1,1),"")</f>
        <v>0</v>
      </c>
      <c r="AW491" s="1030">
        <f t="shared" si="31"/>
        <v>0</v>
      </c>
      <c r="AX491" s="1030">
        <f>INDEX(V491:AG491,1,MATCH(Parametres!$B$3,V$1:AG$1,0))*IF(OR(C491="L",C491="S",C491="I"),-1,1)</f>
        <v>0</v>
      </c>
      <c r="AY491" s="598" t="s">
        <v>337</v>
      </c>
      <c r="AZ491" s="598" t="e">
        <f>+VLOOKUP($AJ491,Data_Validation!$A:$E,5,0)</f>
        <v>#N/A</v>
      </c>
    </row>
    <row r="492" spans="36:52" ht="15" customHeight="1">
      <c r="AJ492" s="1030">
        <f t="shared" si="32"/>
        <v>0</v>
      </c>
      <c r="AK492" s="1030">
        <f t="shared" si="32"/>
        <v>0</v>
      </c>
      <c r="AL492" s="1030">
        <f>IFERROR(INDEX(G492:R492,1,MATCH(Parametres!$B$3,G$1:R$1,0)-1)*IF(OR(F492="L",F492="S",F492="I"),-1,1),"")</f>
        <v>0</v>
      </c>
      <c r="AM492" s="1030">
        <f t="shared" si="29"/>
        <v>0</v>
      </c>
      <c r="AN492" s="1030">
        <f>INDEX(G492:R492,1,MATCH(Parametres!$B$3,G$1:R$1,0))*IF(OR(F492="L",F492="S",F492="I"),-1,1)</f>
        <v>0</v>
      </c>
      <c r="AO492" s="598" t="e">
        <f>+VLOOKUP($AJ492,Data_Validation!$A:$D,1,0)</f>
        <v>#N/A</v>
      </c>
      <c r="AP492" s="598" t="e">
        <f>+VLOOKUP($AJ492,Data_Validation!$A:$D,3,0)</f>
        <v>#N/A</v>
      </c>
      <c r="AQ492" s="598" t="e">
        <f>+VLOOKUP($AJ492,Data_Validation!$A:$D,4,0)</f>
        <v>#N/A</v>
      </c>
      <c r="AR492" s="598" t="s">
        <v>299</v>
      </c>
      <c r="AS492" s="598" t="e">
        <f>+VLOOKUP($AJ492,Data_Validation!$A:$E,5,0)</f>
        <v>#N/A</v>
      </c>
      <c r="AT492" s="1036">
        <f t="shared" si="30"/>
        <v>0</v>
      </c>
      <c r="AU492" s="599">
        <f t="shared" si="30"/>
        <v>0</v>
      </c>
      <c r="AV492" s="1030">
        <f>IFERROR(INDEX(V492:AG492,1,MATCH(Parametres!$B$3,V$1:AG$1,0)-1)*IF(OR(C492="L",C492="S",C492="I"),-1,1),"")</f>
        <v>0</v>
      </c>
      <c r="AW492" s="1030">
        <f t="shared" si="31"/>
        <v>0</v>
      </c>
      <c r="AX492" s="1030">
        <f>INDEX(V492:AG492,1,MATCH(Parametres!$B$3,V$1:AG$1,0))*IF(OR(C492="L",C492="S",C492="I"),-1,1)</f>
        <v>0</v>
      </c>
      <c r="AY492" s="598" t="s">
        <v>337</v>
      </c>
      <c r="AZ492" s="598" t="e">
        <f>+VLOOKUP($AJ492,Data_Validation!$A:$E,5,0)</f>
        <v>#N/A</v>
      </c>
    </row>
    <row r="493" spans="36:52" ht="15" customHeight="1">
      <c r="AJ493" s="1030">
        <f t="shared" si="32"/>
        <v>0</v>
      </c>
      <c r="AK493" s="1030">
        <f t="shared" si="32"/>
        <v>0</v>
      </c>
      <c r="AL493" s="1030">
        <f>IFERROR(INDEX(G493:R493,1,MATCH(Parametres!$B$3,G$1:R$1,0)-1)*IF(OR(F493="L",F493="S",F493="I"),-1,1),"")</f>
        <v>0</v>
      </c>
      <c r="AM493" s="1030">
        <f t="shared" si="29"/>
        <v>0</v>
      </c>
      <c r="AN493" s="1030">
        <f>INDEX(G493:R493,1,MATCH(Parametres!$B$3,G$1:R$1,0))*IF(OR(F493="L",F493="S",F493="I"),-1,1)</f>
        <v>0</v>
      </c>
      <c r="AO493" s="598" t="e">
        <f>+VLOOKUP($AJ493,Data_Validation!$A:$D,1,0)</f>
        <v>#N/A</v>
      </c>
      <c r="AP493" s="598" t="e">
        <f>+VLOOKUP($AJ493,Data_Validation!$A:$D,3,0)</f>
        <v>#N/A</v>
      </c>
      <c r="AQ493" s="598" t="e">
        <f>+VLOOKUP($AJ493,Data_Validation!$A:$D,4,0)</f>
        <v>#N/A</v>
      </c>
      <c r="AR493" s="598" t="s">
        <v>299</v>
      </c>
      <c r="AS493" s="598" t="e">
        <f>+VLOOKUP($AJ493,Data_Validation!$A:$E,5,0)</f>
        <v>#N/A</v>
      </c>
      <c r="AT493" s="1036">
        <f t="shared" si="30"/>
        <v>0</v>
      </c>
      <c r="AU493" s="599">
        <f t="shared" si="30"/>
        <v>0</v>
      </c>
      <c r="AV493" s="1030">
        <f>IFERROR(INDEX(V493:AG493,1,MATCH(Parametres!$B$3,V$1:AG$1,0)-1)*IF(OR(C493="L",C493="S",C493="I"),-1,1),"")</f>
        <v>0</v>
      </c>
      <c r="AW493" s="1030">
        <f t="shared" si="31"/>
        <v>0</v>
      </c>
      <c r="AX493" s="1030">
        <f>INDEX(V493:AG493,1,MATCH(Parametres!$B$3,V$1:AG$1,0))*IF(OR(C493="L",C493="S",C493="I"),-1,1)</f>
        <v>0</v>
      </c>
      <c r="AY493" s="598" t="s">
        <v>337</v>
      </c>
      <c r="AZ493" s="598" t="e">
        <f>+VLOOKUP($AJ493,Data_Validation!$A:$E,5,0)</f>
        <v>#N/A</v>
      </c>
    </row>
    <row r="494" spans="36:52" ht="15" customHeight="1">
      <c r="AJ494" s="1030">
        <f t="shared" si="32"/>
        <v>0</v>
      </c>
      <c r="AK494" s="1030">
        <f t="shared" si="32"/>
        <v>0</v>
      </c>
      <c r="AL494" s="1030">
        <f>IFERROR(INDEX(G494:R494,1,MATCH(Parametres!$B$3,G$1:R$1,0)-1)*IF(OR(F494="L",F494="S",F494="I"),-1,1),"")</f>
        <v>0</v>
      </c>
      <c r="AM494" s="1030">
        <f t="shared" si="29"/>
        <v>0</v>
      </c>
      <c r="AN494" s="1030">
        <f>INDEX(G494:R494,1,MATCH(Parametres!$B$3,G$1:R$1,0))*IF(OR(F494="L",F494="S",F494="I"),-1,1)</f>
        <v>0</v>
      </c>
      <c r="AO494" s="598" t="e">
        <f>+VLOOKUP($AJ494,Data_Validation!$A:$D,1,0)</f>
        <v>#N/A</v>
      </c>
      <c r="AP494" s="598" t="e">
        <f>+VLOOKUP($AJ494,Data_Validation!$A:$D,3,0)</f>
        <v>#N/A</v>
      </c>
      <c r="AQ494" s="598" t="e">
        <f>+VLOOKUP($AJ494,Data_Validation!$A:$D,4,0)</f>
        <v>#N/A</v>
      </c>
      <c r="AR494" s="598" t="s">
        <v>299</v>
      </c>
      <c r="AS494" s="598" t="e">
        <f>+VLOOKUP($AJ494,Data_Validation!$A:$E,5,0)</f>
        <v>#N/A</v>
      </c>
      <c r="AT494" s="1036">
        <f t="shared" si="30"/>
        <v>0</v>
      </c>
      <c r="AU494" s="599">
        <f t="shared" si="30"/>
        <v>0</v>
      </c>
      <c r="AV494" s="1030">
        <f>IFERROR(INDEX(V494:AG494,1,MATCH(Parametres!$B$3,V$1:AG$1,0)-1)*IF(OR(C494="L",C494="S",C494="I"),-1,1),"")</f>
        <v>0</v>
      </c>
      <c r="AW494" s="1030">
        <f t="shared" si="31"/>
        <v>0</v>
      </c>
      <c r="AX494" s="1030">
        <f>INDEX(V494:AG494,1,MATCH(Parametres!$B$3,V$1:AG$1,0))*IF(OR(C494="L",C494="S",C494="I"),-1,1)</f>
        <v>0</v>
      </c>
      <c r="AY494" s="598" t="s">
        <v>337</v>
      </c>
      <c r="AZ494" s="598" t="e">
        <f>+VLOOKUP($AJ494,Data_Validation!$A:$E,5,0)</f>
        <v>#N/A</v>
      </c>
    </row>
    <row r="495" spans="36:52" ht="15" customHeight="1">
      <c r="AJ495" s="1030">
        <f t="shared" si="32"/>
        <v>0</v>
      </c>
      <c r="AK495" s="1030">
        <f t="shared" si="32"/>
        <v>0</v>
      </c>
      <c r="AL495" s="1030">
        <f>IFERROR(INDEX(G495:R495,1,MATCH(Parametres!$B$3,G$1:R$1,0)-1)*IF(OR(F495="L",F495="S",F495="I"),-1,1),"")</f>
        <v>0</v>
      </c>
      <c r="AM495" s="1030">
        <f t="shared" si="29"/>
        <v>0</v>
      </c>
      <c r="AN495" s="1030">
        <f>INDEX(G495:R495,1,MATCH(Parametres!$B$3,G$1:R$1,0))*IF(OR(F495="L",F495="S",F495="I"),-1,1)</f>
        <v>0</v>
      </c>
      <c r="AO495" s="598" t="e">
        <f>+VLOOKUP($AJ495,Data_Validation!$A:$D,1,0)</f>
        <v>#N/A</v>
      </c>
      <c r="AP495" s="598" t="e">
        <f>+VLOOKUP($AJ495,Data_Validation!$A:$D,3,0)</f>
        <v>#N/A</v>
      </c>
      <c r="AQ495" s="598" t="e">
        <f>+VLOOKUP($AJ495,Data_Validation!$A:$D,4,0)</f>
        <v>#N/A</v>
      </c>
      <c r="AR495" s="598" t="s">
        <v>299</v>
      </c>
      <c r="AS495" s="598" t="e">
        <f>+VLOOKUP($AJ495,Data_Validation!$A:$E,5,0)</f>
        <v>#N/A</v>
      </c>
      <c r="AT495" s="1036">
        <f t="shared" si="30"/>
        <v>0</v>
      </c>
      <c r="AU495" s="599">
        <f t="shared" si="30"/>
        <v>0</v>
      </c>
      <c r="AV495" s="1030">
        <f>IFERROR(INDEX(V495:AG495,1,MATCH(Parametres!$B$3,V$1:AG$1,0)-1)*IF(OR(C495="L",C495="S",C495="I"),-1,1),"")</f>
        <v>0</v>
      </c>
      <c r="AW495" s="1030">
        <f t="shared" si="31"/>
        <v>0</v>
      </c>
      <c r="AX495" s="1030">
        <f>INDEX(V495:AG495,1,MATCH(Parametres!$B$3,V$1:AG$1,0))*IF(OR(C495="L",C495="S",C495="I"),-1,1)</f>
        <v>0</v>
      </c>
      <c r="AY495" s="598" t="s">
        <v>337</v>
      </c>
      <c r="AZ495" s="598" t="e">
        <f>+VLOOKUP($AJ495,Data_Validation!$A:$E,5,0)</f>
        <v>#N/A</v>
      </c>
    </row>
    <row r="496" spans="36:52" ht="15" customHeight="1">
      <c r="AJ496" s="1030">
        <f t="shared" si="32"/>
        <v>0</v>
      </c>
      <c r="AK496" s="1030">
        <f t="shared" si="32"/>
        <v>0</v>
      </c>
      <c r="AL496" s="1030">
        <f>IFERROR(INDEX(G496:R496,1,MATCH(Parametres!$B$3,G$1:R$1,0)-1)*IF(OR(F496="L",F496="S",F496="I"),-1,1),"")</f>
        <v>0</v>
      </c>
      <c r="AM496" s="1030">
        <f t="shared" si="29"/>
        <v>0</v>
      </c>
      <c r="AN496" s="1030">
        <f>INDEX(G496:R496,1,MATCH(Parametres!$B$3,G$1:R$1,0))*IF(OR(F496="L",F496="S",F496="I"),-1,1)</f>
        <v>0</v>
      </c>
      <c r="AO496" s="598" t="e">
        <f>+VLOOKUP($AJ496,Data_Validation!$A:$D,1,0)</f>
        <v>#N/A</v>
      </c>
      <c r="AP496" s="598" t="e">
        <f>+VLOOKUP($AJ496,Data_Validation!$A:$D,3,0)</f>
        <v>#N/A</v>
      </c>
      <c r="AQ496" s="598" t="e">
        <f>+VLOOKUP($AJ496,Data_Validation!$A:$D,4,0)</f>
        <v>#N/A</v>
      </c>
      <c r="AR496" s="598" t="s">
        <v>299</v>
      </c>
      <c r="AS496" s="598" t="e">
        <f>+VLOOKUP($AJ496,Data_Validation!$A:$E,5,0)</f>
        <v>#N/A</v>
      </c>
      <c r="AT496" s="1036">
        <f t="shared" si="30"/>
        <v>0</v>
      </c>
      <c r="AU496" s="599">
        <f t="shared" si="30"/>
        <v>0</v>
      </c>
      <c r="AV496" s="1030">
        <f>IFERROR(INDEX(V496:AG496,1,MATCH(Parametres!$B$3,V$1:AG$1,0)-1)*IF(OR(C496="L",C496="S",C496="I"),-1,1),"")</f>
        <v>0</v>
      </c>
      <c r="AW496" s="1030">
        <f t="shared" si="31"/>
        <v>0</v>
      </c>
      <c r="AX496" s="1030">
        <f>INDEX(V496:AG496,1,MATCH(Parametres!$B$3,V$1:AG$1,0))*IF(OR(C496="L",C496="S",C496="I"),-1,1)</f>
        <v>0</v>
      </c>
      <c r="AY496" s="598" t="s">
        <v>337</v>
      </c>
      <c r="AZ496" s="598" t="e">
        <f>+VLOOKUP($AJ496,Data_Validation!$A:$E,5,0)</f>
        <v>#N/A</v>
      </c>
    </row>
    <row r="497" spans="36:52" ht="15" customHeight="1">
      <c r="AJ497" s="1030">
        <f t="shared" si="32"/>
        <v>0</v>
      </c>
      <c r="AK497" s="1030">
        <f t="shared" si="32"/>
        <v>0</v>
      </c>
      <c r="AL497" s="1030">
        <f>IFERROR(INDEX(G497:R497,1,MATCH(Parametres!$B$3,G$1:R$1,0)-1)*IF(OR(F497="L",F497="S",F497="I"),-1,1),"")</f>
        <v>0</v>
      </c>
      <c r="AM497" s="1030">
        <f t="shared" si="29"/>
        <v>0</v>
      </c>
      <c r="AN497" s="1030">
        <f>INDEX(G497:R497,1,MATCH(Parametres!$B$3,G$1:R$1,0))*IF(OR(F497="L",F497="S",F497="I"),-1,1)</f>
        <v>0</v>
      </c>
      <c r="AO497" s="598" t="e">
        <f>+VLOOKUP($AJ497,Data_Validation!$A:$D,1,0)</f>
        <v>#N/A</v>
      </c>
      <c r="AP497" s="598" t="e">
        <f>+VLOOKUP($AJ497,Data_Validation!$A:$D,3,0)</f>
        <v>#N/A</v>
      </c>
      <c r="AQ497" s="598" t="e">
        <f>+VLOOKUP($AJ497,Data_Validation!$A:$D,4,0)</f>
        <v>#N/A</v>
      </c>
      <c r="AR497" s="598" t="s">
        <v>299</v>
      </c>
      <c r="AS497" s="598" t="e">
        <f>+VLOOKUP($AJ497,Data_Validation!$A:$E,5,0)</f>
        <v>#N/A</v>
      </c>
      <c r="AT497" s="1036">
        <f t="shared" si="30"/>
        <v>0</v>
      </c>
      <c r="AU497" s="599">
        <f t="shared" si="30"/>
        <v>0</v>
      </c>
      <c r="AV497" s="1030">
        <f>IFERROR(INDEX(V497:AG497,1,MATCH(Parametres!$B$3,V$1:AG$1,0)-1)*IF(OR(C497="L",C497="S",C497="I"),-1,1),"")</f>
        <v>0</v>
      </c>
      <c r="AW497" s="1030">
        <f t="shared" si="31"/>
        <v>0</v>
      </c>
      <c r="AX497" s="1030">
        <f>INDEX(V497:AG497,1,MATCH(Parametres!$B$3,V$1:AG$1,0))*IF(OR(C497="L",C497="S",C497="I"),-1,1)</f>
        <v>0</v>
      </c>
      <c r="AY497" s="598" t="s">
        <v>337</v>
      </c>
      <c r="AZ497" s="598" t="e">
        <f>+VLOOKUP($AJ497,Data_Validation!$A:$E,5,0)</f>
        <v>#N/A</v>
      </c>
    </row>
    <row r="498" spans="36:52" ht="15" customHeight="1">
      <c r="AJ498" s="1030">
        <f t="shared" si="32"/>
        <v>0</v>
      </c>
      <c r="AK498" s="1030">
        <f t="shared" si="32"/>
        <v>0</v>
      </c>
      <c r="AL498" s="1030">
        <f>IFERROR(INDEX(G498:R498,1,MATCH(Parametres!$B$3,G$1:R$1,0)-1)*IF(OR(F498="L",F498="S",F498="I"),-1,1),"")</f>
        <v>0</v>
      </c>
      <c r="AM498" s="1030">
        <f t="shared" si="29"/>
        <v>0</v>
      </c>
      <c r="AN498" s="1030">
        <f>INDEX(G498:R498,1,MATCH(Parametres!$B$3,G$1:R$1,0))*IF(OR(F498="L",F498="S",F498="I"),-1,1)</f>
        <v>0</v>
      </c>
      <c r="AO498" s="598" t="e">
        <f>+VLOOKUP($AJ498,Data_Validation!$A:$D,1,0)</f>
        <v>#N/A</v>
      </c>
      <c r="AP498" s="598" t="e">
        <f>+VLOOKUP($AJ498,Data_Validation!$A:$D,3,0)</f>
        <v>#N/A</v>
      </c>
      <c r="AQ498" s="598" t="e">
        <f>+VLOOKUP($AJ498,Data_Validation!$A:$D,4,0)</f>
        <v>#N/A</v>
      </c>
      <c r="AR498" s="598" t="s">
        <v>299</v>
      </c>
      <c r="AS498" s="598" t="e">
        <f>+VLOOKUP($AJ498,Data_Validation!$A:$E,5,0)</f>
        <v>#N/A</v>
      </c>
      <c r="AT498" s="1036">
        <f t="shared" si="30"/>
        <v>0</v>
      </c>
      <c r="AU498" s="599">
        <f t="shared" si="30"/>
        <v>0</v>
      </c>
      <c r="AV498" s="1030">
        <f>IFERROR(INDEX(V498:AG498,1,MATCH(Parametres!$B$3,V$1:AG$1,0)-1)*IF(OR(C498="L",C498="S",C498="I"),-1,1),"")</f>
        <v>0</v>
      </c>
      <c r="AW498" s="1030">
        <f t="shared" si="31"/>
        <v>0</v>
      </c>
      <c r="AX498" s="1030">
        <f>INDEX(V498:AG498,1,MATCH(Parametres!$B$3,V$1:AG$1,0))*IF(OR(C498="L",C498="S",C498="I"),-1,1)</f>
        <v>0</v>
      </c>
      <c r="AY498" s="598" t="s">
        <v>337</v>
      </c>
      <c r="AZ498" s="598" t="e">
        <f>+VLOOKUP($AJ498,Data_Validation!$A:$E,5,0)</f>
        <v>#N/A</v>
      </c>
    </row>
    <row r="499" spans="36:52" ht="15" customHeight="1">
      <c r="AJ499" s="1030">
        <f t="shared" si="32"/>
        <v>0</v>
      </c>
      <c r="AK499" s="1030">
        <f t="shared" si="32"/>
        <v>0</v>
      </c>
      <c r="AL499" s="1030">
        <f>IFERROR(INDEX(G499:R499,1,MATCH(Parametres!$B$3,G$1:R$1,0)-1)*IF(OR(F499="L",F499="S",F499="I"),-1,1),"")</f>
        <v>0</v>
      </c>
      <c r="AM499" s="1030">
        <f t="shared" si="29"/>
        <v>0</v>
      </c>
      <c r="AN499" s="1030">
        <f>INDEX(G499:R499,1,MATCH(Parametres!$B$3,G$1:R$1,0))*IF(OR(F499="L",F499="S",F499="I"),-1,1)</f>
        <v>0</v>
      </c>
      <c r="AO499" s="598" t="e">
        <f>+VLOOKUP($AJ499,Data_Validation!$A:$D,1,0)</f>
        <v>#N/A</v>
      </c>
      <c r="AP499" s="598" t="e">
        <f>+VLOOKUP($AJ499,Data_Validation!$A:$D,3,0)</f>
        <v>#N/A</v>
      </c>
      <c r="AQ499" s="598" t="e">
        <f>+VLOOKUP($AJ499,Data_Validation!$A:$D,4,0)</f>
        <v>#N/A</v>
      </c>
      <c r="AR499" s="598" t="s">
        <v>299</v>
      </c>
      <c r="AS499" s="598" t="e">
        <f>+VLOOKUP($AJ499,Data_Validation!$A:$E,5,0)</f>
        <v>#N/A</v>
      </c>
      <c r="AT499" s="1036">
        <f t="shared" si="30"/>
        <v>0</v>
      </c>
      <c r="AU499" s="599">
        <f t="shared" si="30"/>
        <v>0</v>
      </c>
      <c r="AV499" s="1030">
        <f>IFERROR(INDEX(V499:AG499,1,MATCH(Parametres!$B$3,V$1:AG$1,0)-1)*IF(OR(C499="L",C499="S",C499="I"),-1,1),"")</f>
        <v>0</v>
      </c>
      <c r="AW499" s="1030">
        <f t="shared" si="31"/>
        <v>0</v>
      </c>
      <c r="AX499" s="1030">
        <f>INDEX(V499:AG499,1,MATCH(Parametres!$B$3,V$1:AG$1,0))*IF(OR(C499="L",C499="S",C499="I"),-1,1)</f>
        <v>0</v>
      </c>
      <c r="AY499" s="598" t="s">
        <v>337</v>
      </c>
      <c r="AZ499" s="598" t="e">
        <f>+VLOOKUP($AJ499,Data_Validation!$A:$E,5,0)</f>
        <v>#N/A</v>
      </c>
    </row>
    <row r="500" spans="36:52" ht="15" customHeight="1">
      <c r="AJ500" s="1030">
        <f t="shared" si="32"/>
        <v>0</v>
      </c>
      <c r="AK500" s="1030">
        <f t="shared" si="32"/>
        <v>0</v>
      </c>
      <c r="AL500" s="1030">
        <f>IFERROR(INDEX(G500:R500,1,MATCH(Parametres!$B$3,G$1:R$1,0)-1)*IF(OR(F500="L",F500="S",F500="I"),-1,1),"")</f>
        <v>0</v>
      </c>
      <c r="AM500" s="1030">
        <f t="shared" si="29"/>
        <v>0</v>
      </c>
      <c r="AN500" s="1030">
        <f>INDEX(G500:R500,1,MATCH(Parametres!$B$3,G$1:R$1,0))*IF(OR(F500="L",F500="S",F500="I"),-1,1)</f>
        <v>0</v>
      </c>
      <c r="AO500" s="598" t="e">
        <f>+VLOOKUP($AJ500,Data_Validation!$A:$D,1,0)</f>
        <v>#N/A</v>
      </c>
      <c r="AP500" s="598" t="e">
        <f>+VLOOKUP($AJ500,Data_Validation!$A:$D,3,0)</f>
        <v>#N/A</v>
      </c>
      <c r="AQ500" s="598" t="e">
        <f>+VLOOKUP($AJ500,Data_Validation!$A:$D,4,0)</f>
        <v>#N/A</v>
      </c>
      <c r="AR500" s="598" t="s">
        <v>299</v>
      </c>
      <c r="AS500" s="598" t="e">
        <f>+VLOOKUP($AJ500,Data_Validation!$A:$E,5,0)</f>
        <v>#N/A</v>
      </c>
      <c r="AT500" s="1036">
        <f t="shared" si="30"/>
        <v>0</v>
      </c>
      <c r="AU500" s="599">
        <f t="shared" si="30"/>
        <v>0</v>
      </c>
      <c r="AV500" s="1030">
        <f>IFERROR(INDEX(V500:AG500,1,MATCH(Parametres!$B$3,V$1:AG$1,0)-1)*IF(OR(C500="L",C500="S",C500="I"),-1,1),"")</f>
        <v>0</v>
      </c>
      <c r="AW500" s="1030">
        <f t="shared" si="31"/>
        <v>0</v>
      </c>
      <c r="AX500" s="1030">
        <f>INDEX(V500:AG500,1,MATCH(Parametres!$B$3,V$1:AG$1,0))*IF(OR(C500="L",C500="S",C500="I"),-1,1)</f>
        <v>0</v>
      </c>
      <c r="AY500" s="598" t="s">
        <v>337</v>
      </c>
      <c r="AZ500" s="598" t="e">
        <f>+VLOOKUP($AJ500,Data_Validation!$A:$E,5,0)</f>
        <v>#N/A</v>
      </c>
    </row>
    <row r="501" spans="36:52" ht="15" customHeight="1">
      <c r="AJ501" s="1030">
        <f t="shared" si="32"/>
        <v>0</v>
      </c>
      <c r="AK501" s="1030">
        <f t="shared" si="32"/>
        <v>0</v>
      </c>
      <c r="AL501" s="1030">
        <f>IFERROR(INDEX(G501:R501,1,MATCH(Parametres!$B$3,G$1:R$1,0)-1)*IF(OR(F501="L",F501="S",F501="I"),-1,1),"")</f>
        <v>0</v>
      </c>
      <c r="AM501" s="1030">
        <f t="shared" si="29"/>
        <v>0</v>
      </c>
      <c r="AN501" s="1030">
        <f>INDEX(G501:R501,1,MATCH(Parametres!$B$3,G$1:R$1,0))*IF(OR(F501="L",F501="S",F501="I"),-1,1)</f>
        <v>0</v>
      </c>
      <c r="AO501" s="598" t="e">
        <f>+VLOOKUP($AJ501,Data_Validation!$A:$D,1,0)</f>
        <v>#N/A</v>
      </c>
      <c r="AP501" s="598" t="e">
        <f>+VLOOKUP($AJ501,Data_Validation!$A:$D,3,0)</f>
        <v>#N/A</v>
      </c>
      <c r="AQ501" s="598" t="e">
        <f>+VLOOKUP($AJ501,Data_Validation!$A:$D,4,0)</f>
        <v>#N/A</v>
      </c>
      <c r="AR501" s="598" t="s">
        <v>299</v>
      </c>
      <c r="AS501" s="598" t="e">
        <f>+VLOOKUP($AJ501,Data_Validation!$A:$E,5,0)</f>
        <v>#N/A</v>
      </c>
      <c r="AT501" s="1036">
        <f t="shared" si="30"/>
        <v>0</v>
      </c>
      <c r="AU501" s="599">
        <f t="shared" si="30"/>
        <v>0</v>
      </c>
      <c r="AV501" s="1030">
        <f>IFERROR(INDEX(V501:AG501,1,MATCH(Parametres!$B$3,V$1:AG$1,0)-1)*IF(OR(C501="L",C501="S",C501="I"),-1,1),"")</f>
        <v>0</v>
      </c>
      <c r="AW501" s="1030">
        <f t="shared" si="31"/>
        <v>0</v>
      </c>
      <c r="AX501" s="1030">
        <f>INDEX(V501:AG501,1,MATCH(Parametres!$B$3,V$1:AG$1,0))*IF(OR(C501="L",C501="S",C501="I"),-1,1)</f>
        <v>0</v>
      </c>
      <c r="AY501" s="598" t="s">
        <v>337</v>
      </c>
      <c r="AZ501" s="598" t="e">
        <f>+VLOOKUP($AJ501,Data_Validation!$A:$E,5,0)</f>
        <v>#N/A</v>
      </c>
    </row>
    <row r="502" spans="36:52" ht="15" customHeight="1">
      <c r="AJ502" s="1030">
        <f t="shared" si="32"/>
        <v>0</v>
      </c>
      <c r="AK502" s="1030">
        <f t="shared" si="32"/>
        <v>0</v>
      </c>
      <c r="AL502" s="1030">
        <f>IFERROR(INDEX(G502:R502,1,MATCH(Parametres!$B$3,G$1:R$1,0)-1)*IF(OR(F502="L",F502="S",F502="I"),-1,1),"")</f>
        <v>0</v>
      </c>
      <c r="AM502" s="1030">
        <f t="shared" si="29"/>
        <v>0</v>
      </c>
      <c r="AN502" s="1030">
        <f>INDEX(G502:R502,1,MATCH(Parametres!$B$3,G$1:R$1,0))*IF(OR(F502="L",F502="S",F502="I"),-1,1)</f>
        <v>0</v>
      </c>
      <c r="AO502" s="598" t="e">
        <f>+VLOOKUP($AJ502,Data_Validation!$A:$D,1,0)</f>
        <v>#N/A</v>
      </c>
      <c r="AP502" s="598" t="e">
        <f>+VLOOKUP($AJ502,Data_Validation!$A:$D,3,0)</f>
        <v>#N/A</v>
      </c>
      <c r="AQ502" s="598" t="e">
        <f>+VLOOKUP($AJ502,Data_Validation!$A:$D,4,0)</f>
        <v>#N/A</v>
      </c>
      <c r="AR502" s="598" t="s">
        <v>299</v>
      </c>
      <c r="AS502" s="598" t="e">
        <f>+VLOOKUP($AJ502,Data_Validation!$A:$E,5,0)</f>
        <v>#N/A</v>
      </c>
      <c r="AT502" s="1036">
        <f t="shared" si="30"/>
        <v>0</v>
      </c>
      <c r="AU502" s="599">
        <f t="shared" si="30"/>
        <v>0</v>
      </c>
      <c r="AV502" s="1030">
        <f>IFERROR(INDEX(V502:AG502,1,MATCH(Parametres!$B$3,V$1:AG$1,0)-1)*IF(OR(C502="L",C502="S",C502="I"),-1,1),"")</f>
        <v>0</v>
      </c>
      <c r="AW502" s="1030">
        <f t="shared" si="31"/>
        <v>0</v>
      </c>
      <c r="AX502" s="1030">
        <f>INDEX(V502:AG502,1,MATCH(Parametres!$B$3,V$1:AG$1,0))*IF(OR(C502="L",C502="S",C502="I"),-1,1)</f>
        <v>0</v>
      </c>
      <c r="AY502" s="598" t="s">
        <v>337</v>
      </c>
      <c r="AZ502" s="598" t="e">
        <f>+VLOOKUP($AJ502,Data_Validation!$A:$E,5,0)</f>
        <v>#N/A</v>
      </c>
    </row>
    <row r="503" spans="36:52" ht="15" customHeight="1">
      <c r="AJ503" s="1030">
        <f t="shared" si="32"/>
        <v>0</v>
      </c>
      <c r="AK503" s="1030">
        <f t="shared" si="32"/>
        <v>0</v>
      </c>
      <c r="AL503" s="1030">
        <f>IFERROR(INDEX(G503:R503,1,MATCH(Parametres!$B$3,G$1:R$1,0)-1)*IF(OR(F503="L",F503="S",F503="I"),-1,1),"")</f>
        <v>0</v>
      </c>
      <c r="AM503" s="1030">
        <f t="shared" si="29"/>
        <v>0</v>
      </c>
      <c r="AN503" s="1030">
        <f>INDEX(G503:R503,1,MATCH(Parametres!$B$3,G$1:R$1,0))*IF(OR(F503="L",F503="S",F503="I"),-1,1)</f>
        <v>0</v>
      </c>
      <c r="AO503" s="598" t="e">
        <f>+VLOOKUP($AJ503,Data_Validation!$A:$D,1,0)</f>
        <v>#N/A</v>
      </c>
      <c r="AP503" s="598" t="e">
        <f>+VLOOKUP($AJ503,Data_Validation!$A:$D,3,0)</f>
        <v>#N/A</v>
      </c>
      <c r="AQ503" s="598" t="e">
        <f>+VLOOKUP($AJ503,Data_Validation!$A:$D,4,0)</f>
        <v>#N/A</v>
      </c>
      <c r="AR503" s="598" t="s">
        <v>299</v>
      </c>
      <c r="AS503" s="598" t="e">
        <f>+VLOOKUP($AJ503,Data_Validation!$A:$E,5,0)</f>
        <v>#N/A</v>
      </c>
      <c r="AT503" s="1036">
        <f t="shared" si="30"/>
        <v>0</v>
      </c>
      <c r="AU503" s="599">
        <f t="shared" si="30"/>
        <v>0</v>
      </c>
      <c r="AV503" s="1030">
        <f>IFERROR(INDEX(V503:AG503,1,MATCH(Parametres!$B$3,V$1:AG$1,0)-1)*IF(OR(C503="L",C503="S",C503="I"),-1,1),"")</f>
        <v>0</v>
      </c>
      <c r="AW503" s="1030">
        <f t="shared" si="31"/>
        <v>0</v>
      </c>
      <c r="AX503" s="1030">
        <f>INDEX(V503:AG503,1,MATCH(Parametres!$B$3,V$1:AG$1,0))*IF(OR(C503="L",C503="S",C503="I"),-1,1)</f>
        <v>0</v>
      </c>
      <c r="AY503" s="598" t="s">
        <v>337</v>
      </c>
      <c r="AZ503" s="598" t="e">
        <f>+VLOOKUP($AJ503,Data_Validation!$A:$E,5,0)</f>
        <v>#N/A</v>
      </c>
    </row>
    <row r="504" spans="36:52" ht="15" customHeight="1">
      <c r="AJ504" s="1030">
        <f t="shared" si="32"/>
        <v>0</v>
      </c>
      <c r="AK504" s="1030">
        <f t="shared" si="32"/>
        <v>0</v>
      </c>
      <c r="AL504" s="1030">
        <f>IFERROR(INDEX(G504:R504,1,MATCH(Parametres!$B$3,G$1:R$1,0)-1)*IF(OR(F504="L",F504="S",F504="I"),-1,1),"")</f>
        <v>0</v>
      </c>
      <c r="AM504" s="1030">
        <f t="shared" si="29"/>
        <v>0</v>
      </c>
      <c r="AN504" s="1030">
        <f>INDEX(G504:R504,1,MATCH(Parametres!$B$3,G$1:R$1,0))*IF(OR(F504="L",F504="S",F504="I"),-1,1)</f>
        <v>0</v>
      </c>
      <c r="AO504" s="598" t="e">
        <f>+VLOOKUP($AJ504,Data_Validation!$A:$D,1,0)</f>
        <v>#N/A</v>
      </c>
      <c r="AP504" s="598" t="e">
        <f>+VLOOKUP($AJ504,Data_Validation!$A:$D,3,0)</f>
        <v>#N/A</v>
      </c>
      <c r="AQ504" s="598" t="e">
        <f>+VLOOKUP($AJ504,Data_Validation!$A:$D,4,0)</f>
        <v>#N/A</v>
      </c>
      <c r="AR504" s="598" t="s">
        <v>299</v>
      </c>
      <c r="AS504" s="598" t="e">
        <f>+VLOOKUP($AJ504,Data_Validation!$A:$E,5,0)</f>
        <v>#N/A</v>
      </c>
      <c r="AT504" s="1036">
        <f t="shared" si="30"/>
        <v>0</v>
      </c>
      <c r="AU504" s="599">
        <f t="shared" si="30"/>
        <v>0</v>
      </c>
      <c r="AV504" s="1030">
        <f>IFERROR(INDEX(V504:AG504,1,MATCH(Parametres!$B$3,V$1:AG$1,0)-1)*IF(OR(C504="L",C504="S",C504="I"),-1,1),"")</f>
        <v>0</v>
      </c>
      <c r="AW504" s="1030">
        <f t="shared" si="31"/>
        <v>0</v>
      </c>
      <c r="AX504" s="1030">
        <f>INDEX(V504:AG504,1,MATCH(Parametres!$B$3,V$1:AG$1,0))*IF(OR(C504="L",C504="S",C504="I"),-1,1)</f>
        <v>0</v>
      </c>
      <c r="AY504" s="598" t="s">
        <v>337</v>
      </c>
      <c r="AZ504" s="598" t="e">
        <f>+VLOOKUP($AJ504,Data_Validation!$A:$E,5,0)</f>
        <v>#N/A</v>
      </c>
    </row>
    <row r="505" spans="36:52" ht="15" customHeight="1">
      <c r="AJ505" s="1030">
        <f t="shared" si="32"/>
        <v>0</v>
      </c>
      <c r="AK505" s="1030">
        <f t="shared" si="32"/>
        <v>0</v>
      </c>
      <c r="AL505" s="1030">
        <f>IFERROR(INDEX(G505:R505,1,MATCH(Parametres!$B$3,G$1:R$1,0)-1)*IF(OR(F505="L",F505="S",F505="I"),-1,1),"")</f>
        <v>0</v>
      </c>
      <c r="AM505" s="1030">
        <f t="shared" si="29"/>
        <v>0</v>
      </c>
      <c r="AN505" s="1030">
        <f>INDEX(G505:R505,1,MATCH(Parametres!$B$3,G$1:R$1,0))*IF(OR(F505="L",F505="S",F505="I"),-1,1)</f>
        <v>0</v>
      </c>
      <c r="AO505" s="598" t="e">
        <f>+VLOOKUP($AJ505,Data_Validation!$A:$D,1,0)</f>
        <v>#N/A</v>
      </c>
      <c r="AP505" s="598" t="e">
        <f>+VLOOKUP($AJ505,Data_Validation!$A:$D,3,0)</f>
        <v>#N/A</v>
      </c>
      <c r="AQ505" s="598" t="e">
        <f>+VLOOKUP($AJ505,Data_Validation!$A:$D,4,0)</f>
        <v>#N/A</v>
      </c>
      <c r="AR505" s="598" t="s">
        <v>299</v>
      </c>
      <c r="AS505" s="598" t="e">
        <f>+VLOOKUP($AJ505,Data_Validation!$A:$E,5,0)</f>
        <v>#N/A</v>
      </c>
      <c r="AT505" s="1036">
        <f t="shared" si="30"/>
        <v>0</v>
      </c>
      <c r="AU505" s="599">
        <f t="shared" si="30"/>
        <v>0</v>
      </c>
      <c r="AV505" s="1030">
        <f>IFERROR(INDEX(V505:AG505,1,MATCH(Parametres!$B$3,V$1:AG$1,0)-1)*IF(OR(C505="L",C505="S",C505="I"),-1,1),"")</f>
        <v>0</v>
      </c>
      <c r="AW505" s="1030">
        <f t="shared" si="31"/>
        <v>0</v>
      </c>
      <c r="AX505" s="1030">
        <f>INDEX(V505:AG505,1,MATCH(Parametres!$B$3,V$1:AG$1,0))*IF(OR(C505="L",C505="S",C505="I"),-1,1)</f>
        <v>0</v>
      </c>
      <c r="AY505" s="598" t="s">
        <v>337</v>
      </c>
      <c r="AZ505" s="598" t="e">
        <f>+VLOOKUP($AJ505,Data_Validation!$A:$E,5,0)</f>
        <v>#N/A</v>
      </c>
    </row>
    <row r="506" spans="36:52" ht="15" customHeight="1">
      <c r="AJ506" s="1030">
        <f t="shared" si="32"/>
        <v>0</v>
      </c>
      <c r="AK506" s="1030">
        <f t="shared" si="32"/>
        <v>0</v>
      </c>
      <c r="AL506" s="1030">
        <f>IFERROR(INDEX(G506:R506,1,MATCH(Parametres!$B$3,G$1:R$1,0)-1)*IF(OR(F506="L",F506="S",F506="I"),-1,1),"")</f>
        <v>0</v>
      </c>
      <c r="AM506" s="1030">
        <f t="shared" si="29"/>
        <v>0</v>
      </c>
      <c r="AN506" s="1030">
        <f>INDEX(G506:R506,1,MATCH(Parametres!$B$3,G$1:R$1,0))*IF(OR(F506="L",F506="S",F506="I"),-1,1)</f>
        <v>0</v>
      </c>
      <c r="AO506" s="598" t="e">
        <f>+VLOOKUP($AJ506,Data_Validation!$A:$D,1,0)</f>
        <v>#N/A</v>
      </c>
      <c r="AP506" s="598" t="e">
        <f>+VLOOKUP($AJ506,Data_Validation!$A:$D,3,0)</f>
        <v>#N/A</v>
      </c>
      <c r="AQ506" s="598" t="e">
        <f>+VLOOKUP($AJ506,Data_Validation!$A:$D,4,0)</f>
        <v>#N/A</v>
      </c>
      <c r="AR506" s="598" t="s">
        <v>299</v>
      </c>
      <c r="AS506" s="598" t="e">
        <f>+VLOOKUP($AJ506,Data_Validation!$A:$E,5,0)</f>
        <v>#N/A</v>
      </c>
      <c r="AT506" s="1036">
        <f t="shared" si="30"/>
        <v>0</v>
      </c>
      <c r="AU506" s="599">
        <f t="shared" si="30"/>
        <v>0</v>
      </c>
      <c r="AV506" s="1030">
        <f>IFERROR(INDEX(V506:AG506,1,MATCH(Parametres!$B$3,V$1:AG$1,0)-1)*IF(OR(C506="L",C506="S",C506="I"),-1,1),"")</f>
        <v>0</v>
      </c>
      <c r="AW506" s="1030">
        <f t="shared" si="31"/>
        <v>0</v>
      </c>
      <c r="AX506" s="1030">
        <f>INDEX(V506:AG506,1,MATCH(Parametres!$B$3,V$1:AG$1,0))*IF(OR(C506="L",C506="S",C506="I"),-1,1)</f>
        <v>0</v>
      </c>
      <c r="AY506" s="598" t="s">
        <v>337</v>
      </c>
      <c r="AZ506" s="598" t="e">
        <f>+VLOOKUP($AJ506,Data_Validation!$A:$E,5,0)</f>
        <v>#N/A</v>
      </c>
    </row>
    <row r="507" spans="36:52" ht="15" customHeight="1">
      <c r="AJ507" s="1030">
        <f t="shared" si="32"/>
        <v>0</v>
      </c>
      <c r="AK507" s="1030">
        <f t="shared" si="32"/>
        <v>0</v>
      </c>
      <c r="AL507" s="1030">
        <f>IFERROR(INDEX(G507:R507,1,MATCH(Parametres!$B$3,G$1:R$1,0)-1)*IF(OR(F507="L",F507="S",F507="I"),-1,1),"")</f>
        <v>0</v>
      </c>
      <c r="AM507" s="1030">
        <f t="shared" si="29"/>
        <v>0</v>
      </c>
      <c r="AN507" s="1030">
        <f>INDEX(G507:R507,1,MATCH(Parametres!$B$3,G$1:R$1,0))*IF(OR(F507="L",F507="S",F507="I"),-1,1)</f>
        <v>0</v>
      </c>
      <c r="AO507" s="598" t="e">
        <f>+VLOOKUP($AJ507,Data_Validation!$A:$D,1,0)</f>
        <v>#N/A</v>
      </c>
      <c r="AP507" s="598" t="e">
        <f>+VLOOKUP($AJ507,Data_Validation!$A:$D,3,0)</f>
        <v>#N/A</v>
      </c>
      <c r="AQ507" s="598" t="e">
        <f>+VLOOKUP($AJ507,Data_Validation!$A:$D,4,0)</f>
        <v>#N/A</v>
      </c>
      <c r="AR507" s="598" t="s">
        <v>299</v>
      </c>
      <c r="AS507" s="598" t="e">
        <f>+VLOOKUP($AJ507,Data_Validation!$A:$E,5,0)</f>
        <v>#N/A</v>
      </c>
      <c r="AT507" s="1036">
        <f t="shared" si="30"/>
        <v>0</v>
      </c>
      <c r="AU507" s="599">
        <f t="shared" si="30"/>
        <v>0</v>
      </c>
      <c r="AV507" s="1030">
        <f>IFERROR(INDEX(V507:AG507,1,MATCH(Parametres!$B$3,V$1:AG$1,0)-1)*IF(OR(C507="L",C507="S",C507="I"),-1,1),"")</f>
        <v>0</v>
      </c>
      <c r="AW507" s="1030">
        <f t="shared" si="31"/>
        <v>0</v>
      </c>
      <c r="AX507" s="1030">
        <f>INDEX(V507:AG507,1,MATCH(Parametres!$B$3,V$1:AG$1,0))*IF(OR(C507="L",C507="S",C507="I"),-1,1)</f>
        <v>0</v>
      </c>
      <c r="AY507" s="598" t="s">
        <v>337</v>
      </c>
      <c r="AZ507" s="598" t="e">
        <f>+VLOOKUP($AJ507,Data_Validation!$A:$E,5,0)</f>
        <v>#N/A</v>
      </c>
    </row>
    <row r="508" spans="36:52" ht="15" customHeight="1">
      <c r="AJ508" s="1030">
        <f t="shared" si="32"/>
        <v>0</v>
      </c>
      <c r="AK508" s="1030">
        <f t="shared" si="32"/>
        <v>0</v>
      </c>
      <c r="AL508" s="1030">
        <f>IFERROR(INDEX(G508:R508,1,MATCH(Parametres!$B$3,G$1:R$1,0)-1)*IF(OR(F508="L",F508="S",F508="I"),-1,1),"")</f>
        <v>0</v>
      </c>
      <c r="AM508" s="1030">
        <f t="shared" si="29"/>
        <v>0</v>
      </c>
      <c r="AN508" s="1030">
        <f>INDEX(G508:R508,1,MATCH(Parametres!$B$3,G$1:R$1,0))*IF(OR(F508="L",F508="S",F508="I"),-1,1)</f>
        <v>0</v>
      </c>
      <c r="AO508" s="598" t="e">
        <f>+VLOOKUP($AJ508,Data_Validation!$A:$D,1,0)</f>
        <v>#N/A</v>
      </c>
      <c r="AP508" s="598" t="e">
        <f>+VLOOKUP($AJ508,Data_Validation!$A:$D,3,0)</f>
        <v>#N/A</v>
      </c>
      <c r="AQ508" s="598" t="e">
        <f>+VLOOKUP($AJ508,Data_Validation!$A:$D,4,0)</f>
        <v>#N/A</v>
      </c>
      <c r="AR508" s="598" t="s">
        <v>299</v>
      </c>
      <c r="AS508" s="598" t="e">
        <f>+VLOOKUP($AJ508,Data_Validation!$A:$E,5,0)</f>
        <v>#N/A</v>
      </c>
      <c r="AT508" s="1036">
        <f t="shared" si="30"/>
        <v>0</v>
      </c>
      <c r="AU508" s="599">
        <f t="shared" si="30"/>
        <v>0</v>
      </c>
      <c r="AV508" s="1030">
        <f>IFERROR(INDEX(V508:AG508,1,MATCH(Parametres!$B$3,V$1:AG$1,0)-1)*IF(OR(C508="L",C508="S",C508="I"),-1,1),"")</f>
        <v>0</v>
      </c>
      <c r="AW508" s="1030">
        <f t="shared" si="31"/>
        <v>0</v>
      </c>
      <c r="AX508" s="1030">
        <f>INDEX(V508:AG508,1,MATCH(Parametres!$B$3,V$1:AG$1,0))*IF(OR(C508="L",C508="S",C508="I"),-1,1)</f>
        <v>0</v>
      </c>
      <c r="AY508" s="598" t="s">
        <v>337</v>
      </c>
      <c r="AZ508" s="598" t="e">
        <f>+VLOOKUP($AJ508,Data_Validation!$A:$E,5,0)</f>
        <v>#N/A</v>
      </c>
    </row>
    <row r="509" spans="36:52" ht="15" customHeight="1">
      <c r="AJ509" s="1030">
        <f t="shared" si="32"/>
        <v>0</v>
      </c>
      <c r="AK509" s="1030">
        <f t="shared" si="32"/>
        <v>0</v>
      </c>
      <c r="AL509" s="1030">
        <f>IFERROR(INDEX(G509:R509,1,MATCH(Parametres!$B$3,G$1:R$1,0)-1)*IF(OR(F509="L",F509="S",F509="I"),-1,1),"")</f>
        <v>0</v>
      </c>
      <c r="AM509" s="1030">
        <f t="shared" si="29"/>
        <v>0</v>
      </c>
      <c r="AN509" s="1030">
        <f>INDEX(G509:R509,1,MATCH(Parametres!$B$3,G$1:R$1,0))*IF(OR(F509="L",F509="S",F509="I"),-1,1)</f>
        <v>0</v>
      </c>
      <c r="AO509" s="598" t="e">
        <f>+VLOOKUP($AJ509,Data_Validation!$A:$D,1,0)</f>
        <v>#N/A</v>
      </c>
      <c r="AP509" s="598" t="e">
        <f>+VLOOKUP($AJ509,Data_Validation!$A:$D,3,0)</f>
        <v>#N/A</v>
      </c>
      <c r="AQ509" s="598" t="e">
        <f>+VLOOKUP($AJ509,Data_Validation!$A:$D,4,0)</f>
        <v>#N/A</v>
      </c>
      <c r="AR509" s="598" t="s">
        <v>299</v>
      </c>
      <c r="AS509" s="598" t="e">
        <f>+VLOOKUP($AJ509,Data_Validation!$A:$E,5,0)</f>
        <v>#N/A</v>
      </c>
      <c r="AT509" s="1036">
        <f t="shared" si="30"/>
        <v>0</v>
      </c>
      <c r="AU509" s="599">
        <f t="shared" si="30"/>
        <v>0</v>
      </c>
      <c r="AV509" s="1030">
        <f>IFERROR(INDEX(V509:AG509,1,MATCH(Parametres!$B$3,V$1:AG$1,0)-1)*IF(OR(C509="L",C509="S",C509="I"),-1,1),"")</f>
        <v>0</v>
      </c>
      <c r="AW509" s="1030">
        <f t="shared" si="31"/>
        <v>0</v>
      </c>
      <c r="AX509" s="1030">
        <f>INDEX(V509:AG509,1,MATCH(Parametres!$B$3,V$1:AG$1,0))*IF(OR(C509="L",C509="S",C509="I"),-1,1)</f>
        <v>0</v>
      </c>
      <c r="AY509" s="598" t="s">
        <v>337</v>
      </c>
      <c r="AZ509" s="598" t="e">
        <f>+VLOOKUP($AJ509,Data_Validation!$A:$E,5,0)</f>
        <v>#N/A</v>
      </c>
    </row>
    <row r="510" spans="36:52" ht="15" customHeight="1">
      <c r="AJ510" s="1030">
        <f t="shared" si="32"/>
        <v>0</v>
      </c>
      <c r="AK510" s="1030">
        <f t="shared" si="32"/>
        <v>0</v>
      </c>
      <c r="AL510" s="1030">
        <f>IFERROR(INDEX(G510:R510,1,MATCH(Parametres!$B$3,G$1:R$1,0)-1)*IF(OR(F510="L",F510="S",F510="I"),-1,1),"")</f>
        <v>0</v>
      </c>
      <c r="AM510" s="1030">
        <f t="shared" si="29"/>
        <v>0</v>
      </c>
      <c r="AN510" s="1030">
        <f>INDEX(G510:R510,1,MATCH(Parametres!$B$3,G$1:R$1,0))*IF(OR(F510="L",F510="S",F510="I"),-1,1)</f>
        <v>0</v>
      </c>
      <c r="AO510" s="598" t="e">
        <f>+VLOOKUP($AJ510,Data_Validation!$A:$D,1,0)</f>
        <v>#N/A</v>
      </c>
      <c r="AP510" s="598" t="e">
        <f>+VLOOKUP($AJ510,Data_Validation!$A:$D,3,0)</f>
        <v>#N/A</v>
      </c>
      <c r="AQ510" s="598" t="e">
        <f>+VLOOKUP($AJ510,Data_Validation!$A:$D,4,0)</f>
        <v>#N/A</v>
      </c>
      <c r="AR510" s="598" t="s">
        <v>299</v>
      </c>
      <c r="AS510" s="598" t="e">
        <f>+VLOOKUP($AJ510,Data_Validation!$A:$E,5,0)</f>
        <v>#N/A</v>
      </c>
      <c r="AT510" s="1036">
        <f t="shared" si="30"/>
        <v>0</v>
      </c>
      <c r="AU510" s="599">
        <f t="shared" si="30"/>
        <v>0</v>
      </c>
      <c r="AV510" s="1030">
        <f>IFERROR(INDEX(V510:AG510,1,MATCH(Parametres!$B$3,V$1:AG$1,0)-1)*IF(OR(C510="L",C510="S",C510="I"),-1,1),"")</f>
        <v>0</v>
      </c>
      <c r="AW510" s="1030">
        <f t="shared" si="31"/>
        <v>0</v>
      </c>
      <c r="AX510" s="1030">
        <f>INDEX(V510:AG510,1,MATCH(Parametres!$B$3,V$1:AG$1,0))*IF(OR(C510="L",C510="S",C510="I"),-1,1)</f>
        <v>0</v>
      </c>
      <c r="AY510" s="598" t="s">
        <v>337</v>
      </c>
      <c r="AZ510" s="598" t="e">
        <f>+VLOOKUP($AJ510,Data_Validation!$A:$E,5,0)</f>
        <v>#N/A</v>
      </c>
    </row>
    <row r="511" spans="36:52" ht="15" customHeight="1">
      <c r="AJ511" s="1030">
        <f t="shared" si="32"/>
        <v>0</v>
      </c>
      <c r="AK511" s="1030">
        <f t="shared" si="32"/>
        <v>0</v>
      </c>
      <c r="AL511" s="1030">
        <f>IFERROR(INDEX(G511:R511,1,MATCH(Parametres!$B$3,G$1:R$1,0)-1)*IF(OR(F511="L",F511="S",F511="I"),-1,1),"")</f>
        <v>0</v>
      </c>
      <c r="AM511" s="1030">
        <f t="shared" si="29"/>
        <v>0</v>
      </c>
      <c r="AN511" s="1030">
        <f>INDEX(G511:R511,1,MATCH(Parametres!$B$3,G$1:R$1,0))*IF(OR(F511="L",F511="S",F511="I"),-1,1)</f>
        <v>0</v>
      </c>
      <c r="AO511" s="598" t="e">
        <f>+VLOOKUP($AJ511,Data_Validation!$A:$D,1,0)</f>
        <v>#N/A</v>
      </c>
      <c r="AP511" s="598" t="e">
        <f>+VLOOKUP($AJ511,Data_Validation!$A:$D,3,0)</f>
        <v>#N/A</v>
      </c>
      <c r="AQ511" s="598" t="e">
        <f>+VLOOKUP($AJ511,Data_Validation!$A:$D,4,0)</f>
        <v>#N/A</v>
      </c>
      <c r="AR511" s="598" t="s">
        <v>299</v>
      </c>
      <c r="AS511" s="598" t="e">
        <f>+VLOOKUP($AJ511,Data_Validation!$A:$E,5,0)</f>
        <v>#N/A</v>
      </c>
      <c r="AT511" s="1036">
        <f t="shared" si="30"/>
        <v>0</v>
      </c>
      <c r="AU511" s="599">
        <f t="shared" si="30"/>
        <v>0</v>
      </c>
      <c r="AV511" s="1030">
        <f>IFERROR(INDEX(V511:AG511,1,MATCH(Parametres!$B$3,V$1:AG$1,0)-1)*IF(OR(C511="L",C511="S",C511="I"),-1,1),"")</f>
        <v>0</v>
      </c>
      <c r="AW511" s="1030">
        <f t="shared" si="31"/>
        <v>0</v>
      </c>
      <c r="AX511" s="1030">
        <f>INDEX(V511:AG511,1,MATCH(Parametres!$B$3,V$1:AG$1,0))*IF(OR(C511="L",C511="S",C511="I"),-1,1)</f>
        <v>0</v>
      </c>
      <c r="AY511" s="598" t="s">
        <v>337</v>
      </c>
      <c r="AZ511" s="598" t="e">
        <f>+VLOOKUP($AJ511,Data_Validation!$A:$E,5,0)</f>
        <v>#N/A</v>
      </c>
    </row>
    <row r="512" spans="36:52" ht="15" customHeight="1">
      <c r="AJ512" s="1030">
        <f t="shared" si="32"/>
        <v>0</v>
      </c>
      <c r="AK512" s="1030">
        <f t="shared" si="32"/>
        <v>0</v>
      </c>
      <c r="AL512" s="1030">
        <f>IFERROR(INDEX(G512:R512,1,MATCH(Parametres!$B$3,G$1:R$1,0)-1)*IF(OR(F512="L",F512="S",F512="I"),-1,1),"")</f>
        <v>0</v>
      </c>
      <c r="AM512" s="1030">
        <f t="shared" si="29"/>
        <v>0</v>
      </c>
      <c r="AN512" s="1030">
        <f>INDEX(G512:R512,1,MATCH(Parametres!$B$3,G$1:R$1,0))*IF(OR(F512="L",F512="S",F512="I"),-1,1)</f>
        <v>0</v>
      </c>
      <c r="AO512" s="598" t="e">
        <f>+VLOOKUP($AJ512,Data_Validation!$A:$D,1,0)</f>
        <v>#N/A</v>
      </c>
      <c r="AP512" s="598" t="e">
        <f>+VLOOKUP($AJ512,Data_Validation!$A:$D,3,0)</f>
        <v>#N/A</v>
      </c>
      <c r="AQ512" s="598" t="e">
        <f>+VLOOKUP($AJ512,Data_Validation!$A:$D,4,0)</f>
        <v>#N/A</v>
      </c>
      <c r="AR512" s="598" t="s">
        <v>299</v>
      </c>
      <c r="AS512" s="598" t="e">
        <f>+VLOOKUP($AJ512,Data_Validation!$A:$E,5,0)</f>
        <v>#N/A</v>
      </c>
      <c r="AT512" s="1036">
        <f t="shared" si="30"/>
        <v>0</v>
      </c>
      <c r="AU512" s="599">
        <f t="shared" si="30"/>
        <v>0</v>
      </c>
      <c r="AV512" s="1030">
        <f>IFERROR(INDEX(V512:AG512,1,MATCH(Parametres!$B$3,V$1:AG$1,0)-1)*IF(OR(C512="L",C512="S",C512="I"),-1,1),"")</f>
        <v>0</v>
      </c>
      <c r="AW512" s="1030">
        <f t="shared" si="31"/>
        <v>0</v>
      </c>
      <c r="AX512" s="1030">
        <f>INDEX(V512:AG512,1,MATCH(Parametres!$B$3,V$1:AG$1,0))*IF(OR(C512="L",C512="S",C512="I"),-1,1)</f>
        <v>0</v>
      </c>
      <c r="AY512" s="598" t="s">
        <v>337</v>
      </c>
      <c r="AZ512" s="598" t="e">
        <f>+VLOOKUP($AJ512,Data_Validation!$A:$E,5,0)</f>
        <v>#N/A</v>
      </c>
    </row>
    <row r="513" spans="36:52" ht="15" customHeight="1">
      <c r="AJ513" s="1030">
        <f t="shared" si="32"/>
        <v>0</v>
      </c>
      <c r="AK513" s="1030">
        <f t="shared" si="32"/>
        <v>0</v>
      </c>
      <c r="AL513" s="1030">
        <f>IFERROR(INDEX(G513:R513,1,MATCH(Parametres!$B$3,G$1:R$1,0)-1)*IF(OR(F513="L",F513="S",F513="I"),-1,1),"")</f>
        <v>0</v>
      </c>
      <c r="AM513" s="1030">
        <f t="shared" si="29"/>
        <v>0</v>
      </c>
      <c r="AN513" s="1030">
        <f>INDEX(G513:R513,1,MATCH(Parametres!$B$3,G$1:R$1,0))*IF(OR(F513="L",F513="S",F513="I"),-1,1)</f>
        <v>0</v>
      </c>
      <c r="AO513" s="598" t="e">
        <f>+VLOOKUP($AJ513,Data_Validation!$A:$D,1,0)</f>
        <v>#N/A</v>
      </c>
      <c r="AP513" s="598" t="e">
        <f>+VLOOKUP($AJ513,Data_Validation!$A:$D,3,0)</f>
        <v>#N/A</v>
      </c>
      <c r="AQ513" s="598" t="e">
        <f>+VLOOKUP($AJ513,Data_Validation!$A:$D,4,0)</f>
        <v>#N/A</v>
      </c>
      <c r="AR513" s="598" t="s">
        <v>299</v>
      </c>
      <c r="AS513" s="598" t="e">
        <f>+VLOOKUP($AJ513,Data_Validation!$A:$E,5,0)</f>
        <v>#N/A</v>
      </c>
      <c r="AT513" s="1036">
        <f t="shared" si="30"/>
        <v>0</v>
      </c>
      <c r="AU513" s="599">
        <f t="shared" si="30"/>
        <v>0</v>
      </c>
      <c r="AV513" s="1030">
        <f>IFERROR(INDEX(V513:AG513,1,MATCH(Parametres!$B$3,V$1:AG$1,0)-1)*IF(OR(C513="L",C513="S",C513="I"),-1,1),"")</f>
        <v>0</v>
      </c>
      <c r="AW513" s="1030">
        <f t="shared" si="31"/>
        <v>0</v>
      </c>
      <c r="AX513" s="1030">
        <f>INDEX(V513:AG513,1,MATCH(Parametres!$B$3,V$1:AG$1,0))*IF(OR(C513="L",C513="S",C513="I"),-1,1)</f>
        <v>0</v>
      </c>
      <c r="AY513" s="598" t="s">
        <v>337</v>
      </c>
      <c r="AZ513" s="598" t="e">
        <f>+VLOOKUP($AJ513,Data_Validation!$A:$E,5,0)</f>
        <v>#N/A</v>
      </c>
    </row>
    <row r="514" spans="36:52" ht="15" customHeight="1">
      <c r="AJ514" s="1030">
        <f t="shared" si="32"/>
        <v>0</v>
      </c>
      <c r="AK514" s="1030">
        <f t="shared" si="32"/>
        <v>0</v>
      </c>
      <c r="AL514" s="1030">
        <f>IFERROR(INDEX(G514:R514,1,MATCH(Parametres!$B$3,G$1:R$1,0)-1)*IF(OR(F514="L",F514="S",F514="I"),-1,1),"")</f>
        <v>0</v>
      </c>
      <c r="AM514" s="1030">
        <f t="shared" si="29"/>
        <v>0</v>
      </c>
      <c r="AN514" s="1030">
        <f>INDEX(G514:R514,1,MATCH(Parametres!$B$3,G$1:R$1,0))*IF(OR(F514="L",F514="S",F514="I"),-1,1)</f>
        <v>0</v>
      </c>
      <c r="AO514" s="598" t="e">
        <f>+VLOOKUP($AJ514,Data_Validation!$A:$D,1,0)</f>
        <v>#N/A</v>
      </c>
      <c r="AP514" s="598" t="e">
        <f>+VLOOKUP($AJ514,Data_Validation!$A:$D,3,0)</f>
        <v>#N/A</v>
      </c>
      <c r="AQ514" s="598" t="e">
        <f>+VLOOKUP($AJ514,Data_Validation!$A:$D,4,0)</f>
        <v>#N/A</v>
      </c>
      <c r="AR514" s="598" t="s">
        <v>299</v>
      </c>
      <c r="AS514" s="598" t="e">
        <f>+VLOOKUP($AJ514,Data_Validation!$A:$E,5,0)</f>
        <v>#N/A</v>
      </c>
      <c r="AT514" s="1036">
        <f t="shared" si="30"/>
        <v>0</v>
      </c>
      <c r="AU514" s="599">
        <f t="shared" si="30"/>
        <v>0</v>
      </c>
      <c r="AV514" s="1030">
        <f>IFERROR(INDEX(V514:AG514,1,MATCH(Parametres!$B$3,V$1:AG$1,0)-1)*IF(OR(C514="L",C514="S",C514="I"),-1,1),"")</f>
        <v>0</v>
      </c>
      <c r="AW514" s="1030">
        <f t="shared" si="31"/>
        <v>0</v>
      </c>
      <c r="AX514" s="1030">
        <f>INDEX(V514:AG514,1,MATCH(Parametres!$B$3,V$1:AG$1,0))*IF(OR(C514="L",C514="S",C514="I"),-1,1)</f>
        <v>0</v>
      </c>
      <c r="AY514" s="598" t="s">
        <v>337</v>
      </c>
      <c r="AZ514" s="598" t="e">
        <f>+VLOOKUP($AJ514,Data_Validation!$A:$E,5,0)</f>
        <v>#N/A</v>
      </c>
    </row>
    <row r="515" spans="36:52" ht="15" customHeight="1">
      <c r="AJ515" s="1030">
        <f t="shared" si="32"/>
        <v>0</v>
      </c>
      <c r="AK515" s="1030">
        <f t="shared" si="32"/>
        <v>0</v>
      </c>
      <c r="AL515" s="1030">
        <f>IFERROR(INDEX(G515:R515,1,MATCH(Parametres!$B$3,G$1:R$1,0)-1)*IF(OR(F515="L",F515="S",F515="I"),-1,1),"")</f>
        <v>0</v>
      </c>
      <c r="AM515" s="1030">
        <f t="shared" si="29"/>
        <v>0</v>
      </c>
      <c r="AN515" s="1030">
        <f>INDEX(G515:R515,1,MATCH(Parametres!$B$3,G$1:R$1,0))*IF(OR(F515="L",F515="S",F515="I"),-1,1)</f>
        <v>0</v>
      </c>
      <c r="AO515" s="598" t="e">
        <f>+VLOOKUP($AJ515,Data_Validation!$A:$D,1,0)</f>
        <v>#N/A</v>
      </c>
      <c r="AP515" s="598" t="e">
        <f>+VLOOKUP($AJ515,Data_Validation!$A:$D,3,0)</f>
        <v>#N/A</v>
      </c>
      <c r="AQ515" s="598" t="e">
        <f>+VLOOKUP($AJ515,Data_Validation!$A:$D,4,0)</f>
        <v>#N/A</v>
      </c>
      <c r="AR515" s="598" t="s">
        <v>299</v>
      </c>
      <c r="AS515" s="598" t="e">
        <f>+VLOOKUP($AJ515,Data_Validation!$A:$E,5,0)</f>
        <v>#N/A</v>
      </c>
      <c r="AT515" s="1036">
        <f t="shared" si="30"/>
        <v>0</v>
      </c>
      <c r="AU515" s="599">
        <f t="shared" si="30"/>
        <v>0</v>
      </c>
      <c r="AV515" s="1030">
        <f>IFERROR(INDEX(V515:AG515,1,MATCH(Parametres!$B$3,V$1:AG$1,0)-1)*IF(OR(C515="L",C515="S",C515="I"),-1,1),"")</f>
        <v>0</v>
      </c>
      <c r="AW515" s="1030">
        <f t="shared" si="31"/>
        <v>0</v>
      </c>
      <c r="AX515" s="1030">
        <f>INDEX(V515:AG515,1,MATCH(Parametres!$B$3,V$1:AG$1,0))*IF(OR(C515="L",C515="S",C515="I"),-1,1)</f>
        <v>0</v>
      </c>
      <c r="AY515" s="598" t="s">
        <v>337</v>
      </c>
      <c r="AZ515" s="598" t="e">
        <f>+VLOOKUP($AJ515,Data_Validation!$A:$E,5,0)</f>
        <v>#N/A</v>
      </c>
    </row>
    <row r="516" spans="36:52" ht="15" customHeight="1">
      <c r="AJ516" s="1030">
        <f t="shared" si="32"/>
        <v>0</v>
      </c>
      <c r="AK516" s="1030">
        <f t="shared" si="32"/>
        <v>0</v>
      </c>
      <c r="AL516" s="1030">
        <f>IFERROR(INDEX(G516:R516,1,MATCH(Parametres!$B$3,G$1:R$1,0)-1)*IF(OR(F516="L",F516="S",F516="I"),-1,1),"")</f>
        <v>0</v>
      </c>
      <c r="AM516" s="1030">
        <f t="shared" ref="AM516:AM579" si="33">AN516-N(AL516)</f>
        <v>0</v>
      </c>
      <c r="AN516" s="1030">
        <f>INDEX(G516:R516,1,MATCH(Parametres!$B$3,G$1:R$1,0))*IF(OR(F516="L",F516="S",F516="I"),-1,1)</f>
        <v>0</v>
      </c>
      <c r="AO516" s="598" t="e">
        <f>+VLOOKUP($AJ516,Data_Validation!$A:$D,1,0)</f>
        <v>#N/A</v>
      </c>
      <c r="AP516" s="598" t="e">
        <f>+VLOOKUP($AJ516,Data_Validation!$A:$D,3,0)</f>
        <v>#N/A</v>
      </c>
      <c r="AQ516" s="598" t="e">
        <f>+VLOOKUP($AJ516,Data_Validation!$A:$D,4,0)</f>
        <v>#N/A</v>
      </c>
      <c r="AR516" s="598" t="s">
        <v>299</v>
      </c>
      <c r="AS516" s="598" t="e">
        <f>+VLOOKUP($AJ516,Data_Validation!$A:$E,5,0)</f>
        <v>#N/A</v>
      </c>
      <c r="AT516" s="1036">
        <f t="shared" ref="AT516:AU579" si="34">C516</f>
        <v>0</v>
      </c>
      <c r="AU516" s="599">
        <f t="shared" si="34"/>
        <v>0</v>
      </c>
      <c r="AV516" s="1030">
        <f>IFERROR(INDEX(V516:AG516,1,MATCH(Parametres!$B$3,V$1:AG$1,0)-1)*IF(OR(C516="L",C516="S",C516="I"),-1,1),"")</f>
        <v>0</v>
      </c>
      <c r="AW516" s="1030">
        <f t="shared" ref="AW516:AW579" si="35">AX516-AV516</f>
        <v>0</v>
      </c>
      <c r="AX516" s="1030">
        <f>INDEX(V516:AG516,1,MATCH(Parametres!$B$3,V$1:AG$1,0))*IF(OR(C516="L",C516="S",C516="I"),-1,1)</f>
        <v>0</v>
      </c>
      <c r="AY516" s="598" t="s">
        <v>337</v>
      </c>
      <c r="AZ516" s="598" t="e">
        <f>+VLOOKUP($AJ516,Data_Validation!$A:$E,5,0)</f>
        <v>#N/A</v>
      </c>
    </row>
    <row r="517" spans="36:52" ht="15" customHeight="1">
      <c r="AJ517" s="1030">
        <f t="shared" si="32"/>
        <v>0</v>
      </c>
      <c r="AK517" s="1030">
        <f t="shared" si="32"/>
        <v>0</v>
      </c>
      <c r="AL517" s="1030">
        <f>IFERROR(INDEX(G517:R517,1,MATCH(Parametres!$B$3,G$1:R$1,0)-1)*IF(OR(F517="L",F517="S",F517="I"),-1,1),"")</f>
        <v>0</v>
      </c>
      <c r="AM517" s="1030">
        <f t="shared" si="33"/>
        <v>0</v>
      </c>
      <c r="AN517" s="1030">
        <f>INDEX(G517:R517,1,MATCH(Parametres!$B$3,G$1:R$1,0))*IF(OR(F517="L",F517="S",F517="I"),-1,1)</f>
        <v>0</v>
      </c>
      <c r="AO517" s="598" t="e">
        <f>+VLOOKUP($AJ517,Data_Validation!$A:$D,1,0)</f>
        <v>#N/A</v>
      </c>
      <c r="AP517" s="598" t="e">
        <f>+VLOOKUP($AJ517,Data_Validation!$A:$D,3,0)</f>
        <v>#N/A</v>
      </c>
      <c r="AQ517" s="598" t="e">
        <f>+VLOOKUP($AJ517,Data_Validation!$A:$D,4,0)</f>
        <v>#N/A</v>
      </c>
      <c r="AR517" s="598" t="s">
        <v>299</v>
      </c>
      <c r="AS517" s="598" t="e">
        <f>+VLOOKUP($AJ517,Data_Validation!$A:$E,5,0)</f>
        <v>#N/A</v>
      </c>
      <c r="AT517" s="1036">
        <f t="shared" si="34"/>
        <v>0</v>
      </c>
      <c r="AU517" s="599">
        <f t="shared" si="34"/>
        <v>0</v>
      </c>
      <c r="AV517" s="1030">
        <f>IFERROR(INDEX(V517:AG517,1,MATCH(Parametres!$B$3,V$1:AG$1,0)-1)*IF(OR(C517="L",C517="S",C517="I"),-1,1),"")</f>
        <v>0</v>
      </c>
      <c r="AW517" s="1030">
        <f t="shared" si="35"/>
        <v>0</v>
      </c>
      <c r="AX517" s="1030">
        <f>INDEX(V517:AG517,1,MATCH(Parametres!$B$3,V$1:AG$1,0))*IF(OR(C517="L",C517="S",C517="I"),-1,1)</f>
        <v>0</v>
      </c>
      <c r="AY517" s="598" t="s">
        <v>337</v>
      </c>
      <c r="AZ517" s="598" t="e">
        <f>+VLOOKUP($AJ517,Data_Validation!$A:$E,5,0)</f>
        <v>#N/A</v>
      </c>
    </row>
    <row r="518" spans="36:52" ht="15" customHeight="1">
      <c r="AJ518" s="1030">
        <f t="shared" si="32"/>
        <v>0</v>
      </c>
      <c r="AK518" s="1030">
        <f t="shared" si="32"/>
        <v>0</v>
      </c>
      <c r="AL518" s="1030">
        <f>IFERROR(INDEX(G518:R518,1,MATCH(Parametres!$B$3,G$1:R$1,0)-1)*IF(OR(F518="L",F518="S",F518="I"),-1,1),"")</f>
        <v>0</v>
      </c>
      <c r="AM518" s="1030">
        <f t="shared" si="33"/>
        <v>0</v>
      </c>
      <c r="AN518" s="1030">
        <f>INDEX(G518:R518,1,MATCH(Parametres!$B$3,G$1:R$1,0))*IF(OR(F518="L",F518="S",F518="I"),-1,1)</f>
        <v>0</v>
      </c>
      <c r="AO518" s="598" t="e">
        <f>+VLOOKUP($AJ518,Data_Validation!$A:$D,1,0)</f>
        <v>#N/A</v>
      </c>
      <c r="AP518" s="598" t="e">
        <f>+VLOOKUP($AJ518,Data_Validation!$A:$D,3,0)</f>
        <v>#N/A</v>
      </c>
      <c r="AQ518" s="598" t="e">
        <f>+VLOOKUP($AJ518,Data_Validation!$A:$D,4,0)</f>
        <v>#N/A</v>
      </c>
      <c r="AR518" s="598" t="s">
        <v>299</v>
      </c>
      <c r="AS518" s="598" t="e">
        <f>+VLOOKUP($AJ518,Data_Validation!$A:$E,5,0)</f>
        <v>#N/A</v>
      </c>
      <c r="AT518" s="1036">
        <f t="shared" si="34"/>
        <v>0</v>
      </c>
      <c r="AU518" s="599">
        <f t="shared" si="34"/>
        <v>0</v>
      </c>
      <c r="AV518" s="1030">
        <f>IFERROR(INDEX(V518:AG518,1,MATCH(Parametres!$B$3,V$1:AG$1,0)-1)*IF(OR(C518="L",C518="S",C518="I"),-1,1),"")</f>
        <v>0</v>
      </c>
      <c r="AW518" s="1030">
        <f t="shared" si="35"/>
        <v>0</v>
      </c>
      <c r="AX518" s="1030">
        <f>INDEX(V518:AG518,1,MATCH(Parametres!$B$3,V$1:AG$1,0))*IF(OR(C518="L",C518="S",C518="I"),-1,1)</f>
        <v>0</v>
      </c>
      <c r="AY518" s="598" t="s">
        <v>337</v>
      </c>
      <c r="AZ518" s="598" t="e">
        <f>+VLOOKUP($AJ518,Data_Validation!$A:$E,5,0)</f>
        <v>#N/A</v>
      </c>
    </row>
    <row r="519" spans="36:52" ht="15" customHeight="1">
      <c r="AJ519" s="1030">
        <f t="shared" si="32"/>
        <v>0</v>
      </c>
      <c r="AK519" s="1030">
        <f t="shared" si="32"/>
        <v>0</v>
      </c>
      <c r="AL519" s="1030">
        <f>IFERROR(INDEX(G519:R519,1,MATCH(Parametres!$B$3,G$1:R$1,0)-1)*IF(OR(F519="L",F519="S",F519="I"),-1,1),"")</f>
        <v>0</v>
      </c>
      <c r="AM519" s="1030">
        <f t="shared" si="33"/>
        <v>0</v>
      </c>
      <c r="AN519" s="1030">
        <f>INDEX(G519:R519,1,MATCH(Parametres!$B$3,G$1:R$1,0))*IF(OR(F519="L",F519="S",F519="I"),-1,1)</f>
        <v>0</v>
      </c>
      <c r="AO519" s="598" t="e">
        <f>+VLOOKUP($AJ519,Data_Validation!$A:$D,1,0)</f>
        <v>#N/A</v>
      </c>
      <c r="AP519" s="598" t="e">
        <f>+VLOOKUP($AJ519,Data_Validation!$A:$D,3,0)</f>
        <v>#N/A</v>
      </c>
      <c r="AQ519" s="598" t="e">
        <f>+VLOOKUP($AJ519,Data_Validation!$A:$D,4,0)</f>
        <v>#N/A</v>
      </c>
      <c r="AR519" s="598" t="s">
        <v>299</v>
      </c>
      <c r="AS519" s="598" t="e">
        <f>+VLOOKUP($AJ519,Data_Validation!$A:$E,5,0)</f>
        <v>#N/A</v>
      </c>
      <c r="AT519" s="1036">
        <f t="shared" si="34"/>
        <v>0</v>
      </c>
      <c r="AU519" s="599">
        <f t="shared" si="34"/>
        <v>0</v>
      </c>
      <c r="AV519" s="1030">
        <f>IFERROR(INDEX(V519:AG519,1,MATCH(Parametres!$B$3,V$1:AG$1,0)-1)*IF(OR(C519="L",C519="S",C519="I"),-1,1),"")</f>
        <v>0</v>
      </c>
      <c r="AW519" s="1030">
        <f t="shared" si="35"/>
        <v>0</v>
      </c>
      <c r="AX519" s="1030">
        <f>INDEX(V519:AG519,1,MATCH(Parametres!$B$3,V$1:AG$1,0))*IF(OR(C519="L",C519="S",C519="I"),-1,1)</f>
        <v>0</v>
      </c>
      <c r="AY519" s="598" t="s">
        <v>337</v>
      </c>
      <c r="AZ519" s="598" t="e">
        <f>+VLOOKUP($AJ519,Data_Validation!$A:$E,5,0)</f>
        <v>#N/A</v>
      </c>
    </row>
    <row r="520" spans="36:52" ht="15" customHeight="1">
      <c r="AJ520" s="1030">
        <f t="shared" si="32"/>
        <v>0</v>
      </c>
      <c r="AK520" s="1030">
        <f t="shared" si="32"/>
        <v>0</v>
      </c>
      <c r="AL520" s="1030">
        <f>IFERROR(INDEX(G520:R520,1,MATCH(Parametres!$B$3,G$1:R$1,0)-1)*IF(OR(F520="L",F520="S",F520="I"),-1,1),"")</f>
        <v>0</v>
      </c>
      <c r="AM520" s="1030">
        <f t="shared" si="33"/>
        <v>0</v>
      </c>
      <c r="AN520" s="1030">
        <f>INDEX(G520:R520,1,MATCH(Parametres!$B$3,G$1:R$1,0))*IF(OR(F520="L",F520="S",F520="I"),-1,1)</f>
        <v>0</v>
      </c>
      <c r="AO520" s="598" t="e">
        <f>+VLOOKUP($AJ520,Data_Validation!$A:$D,1,0)</f>
        <v>#N/A</v>
      </c>
      <c r="AP520" s="598" t="e">
        <f>+VLOOKUP($AJ520,Data_Validation!$A:$D,3,0)</f>
        <v>#N/A</v>
      </c>
      <c r="AQ520" s="598" t="e">
        <f>+VLOOKUP($AJ520,Data_Validation!$A:$D,4,0)</f>
        <v>#N/A</v>
      </c>
      <c r="AR520" s="598" t="s">
        <v>299</v>
      </c>
      <c r="AS520" s="598" t="e">
        <f>+VLOOKUP($AJ520,Data_Validation!$A:$E,5,0)</f>
        <v>#N/A</v>
      </c>
      <c r="AT520" s="1036">
        <f t="shared" si="34"/>
        <v>0</v>
      </c>
      <c r="AU520" s="599">
        <f t="shared" si="34"/>
        <v>0</v>
      </c>
      <c r="AV520" s="1030">
        <f>IFERROR(INDEX(V520:AG520,1,MATCH(Parametres!$B$3,V$1:AG$1,0)-1)*IF(OR(C520="L",C520="S",C520="I"),-1,1),"")</f>
        <v>0</v>
      </c>
      <c r="AW520" s="1030">
        <f t="shared" si="35"/>
        <v>0</v>
      </c>
      <c r="AX520" s="1030">
        <f>INDEX(V520:AG520,1,MATCH(Parametres!$B$3,V$1:AG$1,0))*IF(OR(C520="L",C520="S",C520="I"),-1,1)</f>
        <v>0</v>
      </c>
      <c r="AY520" s="598" t="s">
        <v>337</v>
      </c>
      <c r="AZ520" s="598" t="e">
        <f>+VLOOKUP($AJ520,Data_Validation!$A:$E,5,0)</f>
        <v>#N/A</v>
      </c>
    </row>
    <row r="521" spans="36:52" ht="15" customHeight="1">
      <c r="AJ521" s="1030">
        <f t="shared" si="32"/>
        <v>0</v>
      </c>
      <c r="AK521" s="1030">
        <f t="shared" si="32"/>
        <v>0</v>
      </c>
      <c r="AL521" s="1030">
        <f>IFERROR(INDEX(G521:R521,1,MATCH(Parametres!$B$3,G$1:R$1,0)-1)*IF(OR(F521="L",F521="S",F521="I"),-1,1),"")</f>
        <v>0</v>
      </c>
      <c r="AM521" s="1030">
        <f t="shared" si="33"/>
        <v>0</v>
      </c>
      <c r="AN521" s="1030">
        <f>INDEX(G521:R521,1,MATCH(Parametres!$B$3,G$1:R$1,0))*IF(OR(F521="L",F521="S",F521="I"),-1,1)</f>
        <v>0</v>
      </c>
      <c r="AO521" s="598" t="e">
        <f>+VLOOKUP($AJ521,Data_Validation!$A:$D,1,0)</f>
        <v>#N/A</v>
      </c>
      <c r="AP521" s="598" t="e">
        <f>+VLOOKUP($AJ521,Data_Validation!$A:$D,3,0)</f>
        <v>#N/A</v>
      </c>
      <c r="AQ521" s="598" t="e">
        <f>+VLOOKUP($AJ521,Data_Validation!$A:$D,4,0)</f>
        <v>#N/A</v>
      </c>
      <c r="AR521" s="598" t="s">
        <v>299</v>
      </c>
      <c r="AS521" s="598" t="e">
        <f>+VLOOKUP($AJ521,Data_Validation!$A:$E,5,0)</f>
        <v>#N/A</v>
      </c>
      <c r="AT521" s="1036">
        <f t="shared" si="34"/>
        <v>0</v>
      </c>
      <c r="AU521" s="599">
        <f t="shared" si="34"/>
        <v>0</v>
      </c>
      <c r="AV521" s="1030">
        <f>IFERROR(INDEX(V521:AG521,1,MATCH(Parametres!$B$3,V$1:AG$1,0)-1)*IF(OR(C521="L",C521="S",C521="I"),-1,1),"")</f>
        <v>0</v>
      </c>
      <c r="AW521" s="1030">
        <f t="shared" si="35"/>
        <v>0</v>
      </c>
      <c r="AX521" s="1030">
        <f>INDEX(V521:AG521,1,MATCH(Parametres!$B$3,V$1:AG$1,0))*IF(OR(C521="L",C521="S",C521="I"),-1,1)</f>
        <v>0</v>
      </c>
      <c r="AY521" s="598" t="s">
        <v>337</v>
      </c>
      <c r="AZ521" s="598" t="e">
        <f>+VLOOKUP($AJ521,Data_Validation!$A:$E,5,0)</f>
        <v>#N/A</v>
      </c>
    </row>
    <row r="522" spans="36:52" ht="15" customHeight="1">
      <c r="AJ522" s="1030">
        <f t="shared" si="32"/>
        <v>0</v>
      </c>
      <c r="AK522" s="1030">
        <f t="shared" si="32"/>
        <v>0</v>
      </c>
      <c r="AL522" s="1030">
        <f>IFERROR(INDEX(G522:R522,1,MATCH(Parametres!$B$3,G$1:R$1,0)-1)*IF(OR(F522="L",F522="S",F522="I"),-1,1),"")</f>
        <v>0</v>
      </c>
      <c r="AM522" s="1030">
        <f t="shared" si="33"/>
        <v>0</v>
      </c>
      <c r="AN522" s="1030">
        <f>INDEX(G522:R522,1,MATCH(Parametres!$B$3,G$1:R$1,0))*IF(OR(F522="L",F522="S",F522="I"),-1,1)</f>
        <v>0</v>
      </c>
      <c r="AO522" s="598" t="e">
        <f>+VLOOKUP($AJ522,Data_Validation!$A:$D,1,0)</f>
        <v>#N/A</v>
      </c>
      <c r="AP522" s="598" t="e">
        <f>+VLOOKUP($AJ522,Data_Validation!$A:$D,3,0)</f>
        <v>#N/A</v>
      </c>
      <c r="AQ522" s="598" t="e">
        <f>+VLOOKUP($AJ522,Data_Validation!$A:$D,4,0)</f>
        <v>#N/A</v>
      </c>
      <c r="AR522" s="598" t="s">
        <v>299</v>
      </c>
      <c r="AS522" s="598" t="e">
        <f>+VLOOKUP($AJ522,Data_Validation!$A:$E,5,0)</f>
        <v>#N/A</v>
      </c>
      <c r="AT522" s="1036">
        <f t="shared" si="34"/>
        <v>0</v>
      </c>
      <c r="AU522" s="599">
        <f t="shared" si="34"/>
        <v>0</v>
      </c>
      <c r="AV522" s="1030">
        <f>IFERROR(INDEX(V522:AG522,1,MATCH(Parametres!$B$3,V$1:AG$1,0)-1)*IF(OR(C522="L",C522="S",C522="I"),-1,1),"")</f>
        <v>0</v>
      </c>
      <c r="AW522" s="1030">
        <f t="shared" si="35"/>
        <v>0</v>
      </c>
      <c r="AX522" s="1030">
        <f>INDEX(V522:AG522,1,MATCH(Parametres!$B$3,V$1:AG$1,0))*IF(OR(C522="L",C522="S",C522="I"),-1,1)</f>
        <v>0</v>
      </c>
      <c r="AY522" s="598" t="s">
        <v>337</v>
      </c>
      <c r="AZ522" s="598" t="e">
        <f>+VLOOKUP($AJ522,Data_Validation!$A:$E,5,0)</f>
        <v>#N/A</v>
      </c>
    </row>
    <row r="523" spans="36:52" ht="15" customHeight="1">
      <c r="AJ523" s="1030">
        <f t="shared" si="32"/>
        <v>0</v>
      </c>
      <c r="AK523" s="1030">
        <f t="shared" si="32"/>
        <v>0</v>
      </c>
      <c r="AL523" s="1030">
        <f>IFERROR(INDEX(G523:R523,1,MATCH(Parametres!$B$3,G$1:R$1,0)-1)*IF(OR(F523="L",F523="S",F523="I"),-1,1),"")</f>
        <v>0</v>
      </c>
      <c r="AM523" s="1030">
        <f t="shared" si="33"/>
        <v>0</v>
      </c>
      <c r="AN523" s="1030">
        <f>INDEX(G523:R523,1,MATCH(Parametres!$B$3,G$1:R$1,0))*IF(OR(F523="L",F523="S",F523="I"),-1,1)</f>
        <v>0</v>
      </c>
      <c r="AO523" s="598" t="e">
        <f>+VLOOKUP($AJ523,Data_Validation!$A:$D,1,0)</f>
        <v>#N/A</v>
      </c>
      <c r="AP523" s="598" t="e">
        <f>+VLOOKUP($AJ523,Data_Validation!$A:$D,3,0)</f>
        <v>#N/A</v>
      </c>
      <c r="AQ523" s="598" t="e">
        <f>+VLOOKUP($AJ523,Data_Validation!$A:$D,4,0)</f>
        <v>#N/A</v>
      </c>
      <c r="AR523" s="598" t="s">
        <v>299</v>
      </c>
      <c r="AS523" s="598" t="e">
        <f>+VLOOKUP($AJ523,Data_Validation!$A:$E,5,0)</f>
        <v>#N/A</v>
      </c>
      <c r="AT523" s="1036">
        <f t="shared" si="34"/>
        <v>0</v>
      </c>
      <c r="AU523" s="599">
        <f t="shared" si="34"/>
        <v>0</v>
      </c>
      <c r="AV523" s="1030">
        <f>IFERROR(INDEX(V523:AG523,1,MATCH(Parametres!$B$3,V$1:AG$1,0)-1)*IF(OR(C523="L",C523="S",C523="I"),-1,1),"")</f>
        <v>0</v>
      </c>
      <c r="AW523" s="1030">
        <f t="shared" si="35"/>
        <v>0</v>
      </c>
      <c r="AX523" s="1030">
        <f>INDEX(V523:AG523,1,MATCH(Parametres!$B$3,V$1:AG$1,0))*IF(OR(C523="L",C523="S",C523="I"),-1,1)</f>
        <v>0</v>
      </c>
      <c r="AY523" s="598" t="s">
        <v>337</v>
      </c>
      <c r="AZ523" s="598" t="e">
        <f>+VLOOKUP($AJ523,Data_Validation!$A:$E,5,0)</f>
        <v>#N/A</v>
      </c>
    </row>
    <row r="524" spans="36:52" ht="15" customHeight="1">
      <c r="AJ524" s="1030">
        <f t="shared" si="32"/>
        <v>0</v>
      </c>
      <c r="AK524" s="1030">
        <f t="shared" si="32"/>
        <v>0</v>
      </c>
      <c r="AL524" s="1030">
        <f>IFERROR(INDEX(G524:R524,1,MATCH(Parametres!$B$3,G$1:R$1,0)-1)*IF(OR(F524="L",F524="S",F524="I"),-1,1),"")</f>
        <v>0</v>
      </c>
      <c r="AM524" s="1030">
        <f t="shared" si="33"/>
        <v>0</v>
      </c>
      <c r="AN524" s="1030">
        <f>INDEX(G524:R524,1,MATCH(Parametres!$B$3,G$1:R$1,0))*IF(OR(F524="L",F524="S",F524="I"),-1,1)</f>
        <v>0</v>
      </c>
      <c r="AO524" s="598" t="e">
        <f>+VLOOKUP($AJ524,Data_Validation!$A:$D,1,0)</f>
        <v>#N/A</v>
      </c>
      <c r="AP524" s="598" t="e">
        <f>+VLOOKUP($AJ524,Data_Validation!$A:$D,3,0)</f>
        <v>#N/A</v>
      </c>
      <c r="AQ524" s="598" t="e">
        <f>+VLOOKUP($AJ524,Data_Validation!$A:$D,4,0)</f>
        <v>#N/A</v>
      </c>
      <c r="AR524" s="598" t="s">
        <v>299</v>
      </c>
      <c r="AS524" s="598" t="e">
        <f>+VLOOKUP($AJ524,Data_Validation!$A:$E,5,0)</f>
        <v>#N/A</v>
      </c>
      <c r="AT524" s="1036">
        <f t="shared" si="34"/>
        <v>0</v>
      </c>
      <c r="AU524" s="599">
        <f t="shared" si="34"/>
        <v>0</v>
      </c>
      <c r="AV524" s="1030">
        <f>IFERROR(INDEX(V524:AG524,1,MATCH(Parametres!$B$3,V$1:AG$1,0)-1)*IF(OR(C524="L",C524="S",C524="I"),-1,1),"")</f>
        <v>0</v>
      </c>
      <c r="AW524" s="1030">
        <f t="shared" si="35"/>
        <v>0</v>
      </c>
      <c r="AX524" s="1030">
        <f>INDEX(V524:AG524,1,MATCH(Parametres!$B$3,V$1:AG$1,0))*IF(OR(C524="L",C524="S",C524="I"),-1,1)</f>
        <v>0</v>
      </c>
      <c r="AY524" s="598" t="s">
        <v>337</v>
      </c>
      <c r="AZ524" s="598" t="e">
        <f>+VLOOKUP($AJ524,Data_Validation!$A:$E,5,0)</f>
        <v>#N/A</v>
      </c>
    </row>
    <row r="525" spans="36:52" ht="15" customHeight="1">
      <c r="AJ525" s="1030">
        <f t="shared" si="32"/>
        <v>0</v>
      </c>
      <c r="AK525" s="1030">
        <f t="shared" si="32"/>
        <v>0</v>
      </c>
      <c r="AL525" s="1030">
        <f>IFERROR(INDEX(G525:R525,1,MATCH(Parametres!$B$3,G$1:R$1,0)-1)*IF(OR(F525="L",F525="S",F525="I"),-1,1),"")</f>
        <v>0</v>
      </c>
      <c r="AM525" s="1030">
        <f t="shared" si="33"/>
        <v>0</v>
      </c>
      <c r="AN525" s="1030">
        <f>INDEX(G525:R525,1,MATCH(Parametres!$B$3,G$1:R$1,0))*IF(OR(F525="L",F525="S",F525="I"),-1,1)</f>
        <v>0</v>
      </c>
      <c r="AO525" s="598" t="e">
        <f>+VLOOKUP($AJ525,Data_Validation!$A:$D,1,0)</f>
        <v>#N/A</v>
      </c>
      <c r="AP525" s="598" t="e">
        <f>+VLOOKUP($AJ525,Data_Validation!$A:$D,3,0)</f>
        <v>#N/A</v>
      </c>
      <c r="AQ525" s="598" t="e">
        <f>+VLOOKUP($AJ525,Data_Validation!$A:$D,4,0)</f>
        <v>#N/A</v>
      </c>
      <c r="AR525" s="598" t="s">
        <v>299</v>
      </c>
      <c r="AS525" s="598" t="e">
        <f>+VLOOKUP($AJ525,Data_Validation!$A:$E,5,0)</f>
        <v>#N/A</v>
      </c>
      <c r="AT525" s="1036">
        <f t="shared" si="34"/>
        <v>0</v>
      </c>
      <c r="AU525" s="599">
        <f t="shared" si="34"/>
        <v>0</v>
      </c>
      <c r="AV525" s="1030">
        <f>IFERROR(INDEX(V525:AG525,1,MATCH(Parametres!$B$3,V$1:AG$1,0)-1)*IF(OR(C525="L",C525="S",C525="I"),-1,1),"")</f>
        <v>0</v>
      </c>
      <c r="AW525" s="1030">
        <f t="shared" si="35"/>
        <v>0</v>
      </c>
      <c r="AX525" s="1030">
        <f>INDEX(V525:AG525,1,MATCH(Parametres!$B$3,V$1:AG$1,0))*IF(OR(C525="L",C525="S",C525="I"),-1,1)</f>
        <v>0</v>
      </c>
      <c r="AY525" s="598" t="s">
        <v>337</v>
      </c>
      <c r="AZ525" s="598" t="e">
        <f>+VLOOKUP($AJ525,Data_Validation!$A:$E,5,0)</f>
        <v>#N/A</v>
      </c>
    </row>
    <row r="526" spans="36:52" ht="15" customHeight="1">
      <c r="AJ526" s="1030">
        <f t="shared" si="32"/>
        <v>0</v>
      </c>
      <c r="AK526" s="1030">
        <f t="shared" si="32"/>
        <v>0</v>
      </c>
      <c r="AL526" s="1030">
        <f>IFERROR(INDEX(G526:R526,1,MATCH(Parametres!$B$3,G$1:R$1,0)-1)*IF(OR(F526="L",F526="S",F526="I"),-1,1),"")</f>
        <v>0</v>
      </c>
      <c r="AM526" s="1030">
        <f t="shared" si="33"/>
        <v>0</v>
      </c>
      <c r="AN526" s="1030">
        <f>INDEX(G526:R526,1,MATCH(Parametres!$B$3,G$1:R$1,0))*IF(OR(F526="L",F526="S",F526="I"),-1,1)</f>
        <v>0</v>
      </c>
      <c r="AO526" s="598" t="e">
        <f>+VLOOKUP($AJ526,Data_Validation!$A:$D,1,0)</f>
        <v>#N/A</v>
      </c>
      <c r="AP526" s="598" t="e">
        <f>+VLOOKUP($AJ526,Data_Validation!$A:$D,3,0)</f>
        <v>#N/A</v>
      </c>
      <c r="AQ526" s="598" t="e">
        <f>+VLOOKUP($AJ526,Data_Validation!$A:$D,4,0)</f>
        <v>#N/A</v>
      </c>
      <c r="AR526" s="598" t="s">
        <v>299</v>
      </c>
      <c r="AS526" s="598" t="e">
        <f>+VLOOKUP($AJ526,Data_Validation!$A:$E,5,0)</f>
        <v>#N/A</v>
      </c>
      <c r="AT526" s="1036">
        <f t="shared" si="34"/>
        <v>0</v>
      </c>
      <c r="AU526" s="599">
        <f t="shared" si="34"/>
        <v>0</v>
      </c>
      <c r="AV526" s="1030">
        <f>IFERROR(INDEX(V526:AG526,1,MATCH(Parametres!$B$3,V$1:AG$1,0)-1)*IF(OR(C526="L",C526="S",C526="I"),-1,1),"")</f>
        <v>0</v>
      </c>
      <c r="AW526" s="1030">
        <f t="shared" si="35"/>
        <v>0</v>
      </c>
      <c r="AX526" s="1030">
        <f>INDEX(V526:AG526,1,MATCH(Parametres!$B$3,V$1:AG$1,0))*IF(OR(C526="L",C526="S",C526="I"),-1,1)</f>
        <v>0</v>
      </c>
      <c r="AY526" s="598" t="s">
        <v>337</v>
      </c>
      <c r="AZ526" s="598" t="e">
        <f>+VLOOKUP($AJ526,Data_Validation!$A:$E,5,0)</f>
        <v>#N/A</v>
      </c>
    </row>
    <row r="527" spans="36:52" ht="15" customHeight="1">
      <c r="AJ527" s="1030">
        <f t="shared" si="32"/>
        <v>0</v>
      </c>
      <c r="AK527" s="1030">
        <f t="shared" si="32"/>
        <v>0</v>
      </c>
      <c r="AL527" s="1030">
        <f>IFERROR(INDEX(G527:R527,1,MATCH(Parametres!$B$3,G$1:R$1,0)-1)*IF(OR(F527="L",F527="S",F527="I"),-1,1),"")</f>
        <v>0</v>
      </c>
      <c r="AM527" s="1030">
        <f t="shared" si="33"/>
        <v>0</v>
      </c>
      <c r="AN527" s="1030">
        <f>INDEX(G527:R527,1,MATCH(Parametres!$B$3,G$1:R$1,0))*IF(OR(F527="L",F527="S",F527="I"),-1,1)</f>
        <v>0</v>
      </c>
      <c r="AO527" s="598" t="e">
        <f>+VLOOKUP($AJ527,Data_Validation!$A:$D,1,0)</f>
        <v>#N/A</v>
      </c>
      <c r="AP527" s="598" t="e">
        <f>+VLOOKUP($AJ527,Data_Validation!$A:$D,3,0)</f>
        <v>#N/A</v>
      </c>
      <c r="AQ527" s="598" t="e">
        <f>+VLOOKUP($AJ527,Data_Validation!$A:$D,4,0)</f>
        <v>#N/A</v>
      </c>
      <c r="AR527" s="598" t="s">
        <v>299</v>
      </c>
      <c r="AS527" s="598" t="e">
        <f>+VLOOKUP($AJ527,Data_Validation!$A:$E,5,0)</f>
        <v>#N/A</v>
      </c>
      <c r="AT527" s="1036">
        <f t="shared" si="34"/>
        <v>0</v>
      </c>
      <c r="AU527" s="599">
        <f t="shared" si="34"/>
        <v>0</v>
      </c>
      <c r="AV527" s="1030">
        <f>IFERROR(INDEX(V527:AG527,1,MATCH(Parametres!$B$3,V$1:AG$1,0)-1)*IF(OR(C527="L",C527="S",C527="I"),-1,1),"")</f>
        <v>0</v>
      </c>
      <c r="AW527" s="1030">
        <f t="shared" si="35"/>
        <v>0</v>
      </c>
      <c r="AX527" s="1030">
        <f>INDEX(V527:AG527,1,MATCH(Parametres!$B$3,V$1:AG$1,0))*IF(OR(C527="L",C527="S",C527="I"),-1,1)</f>
        <v>0</v>
      </c>
      <c r="AY527" s="598" t="s">
        <v>337</v>
      </c>
      <c r="AZ527" s="598" t="e">
        <f>+VLOOKUP($AJ527,Data_Validation!$A:$E,5,0)</f>
        <v>#N/A</v>
      </c>
    </row>
    <row r="528" spans="36:52" ht="15" customHeight="1">
      <c r="AJ528" s="1030">
        <f t="shared" si="32"/>
        <v>0</v>
      </c>
      <c r="AK528" s="1030">
        <f t="shared" si="32"/>
        <v>0</v>
      </c>
      <c r="AL528" s="1030">
        <f>IFERROR(INDEX(G528:R528,1,MATCH(Parametres!$B$3,G$1:R$1,0)-1)*IF(OR(F528="L",F528="S",F528="I"),-1,1),"")</f>
        <v>0</v>
      </c>
      <c r="AM528" s="1030">
        <f t="shared" si="33"/>
        <v>0</v>
      </c>
      <c r="AN528" s="1030">
        <f>INDEX(G528:R528,1,MATCH(Parametres!$B$3,G$1:R$1,0))*IF(OR(F528="L",F528="S",F528="I"),-1,1)</f>
        <v>0</v>
      </c>
      <c r="AO528" s="598" t="e">
        <f>+VLOOKUP($AJ528,Data_Validation!$A:$D,1,0)</f>
        <v>#N/A</v>
      </c>
      <c r="AP528" s="598" t="e">
        <f>+VLOOKUP($AJ528,Data_Validation!$A:$D,3,0)</f>
        <v>#N/A</v>
      </c>
      <c r="AQ528" s="598" t="e">
        <f>+VLOOKUP($AJ528,Data_Validation!$A:$D,4,0)</f>
        <v>#N/A</v>
      </c>
      <c r="AR528" s="598" t="s">
        <v>299</v>
      </c>
      <c r="AS528" s="598" t="e">
        <f>+VLOOKUP($AJ528,Data_Validation!$A:$E,5,0)</f>
        <v>#N/A</v>
      </c>
      <c r="AT528" s="1036">
        <f t="shared" si="34"/>
        <v>0</v>
      </c>
      <c r="AU528" s="599">
        <f t="shared" si="34"/>
        <v>0</v>
      </c>
      <c r="AV528" s="1030">
        <f>IFERROR(INDEX(V528:AG528,1,MATCH(Parametres!$B$3,V$1:AG$1,0)-1)*IF(OR(C528="L",C528="S",C528="I"),-1,1),"")</f>
        <v>0</v>
      </c>
      <c r="AW528" s="1030">
        <f t="shared" si="35"/>
        <v>0</v>
      </c>
      <c r="AX528" s="1030">
        <f>INDEX(V528:AG528,1,MATCH(Parametres!$B$3,V$1:AG$1,0))*IF(OR(C528="L",C528="S",C528="I"),-1,1)</f>
        <v>0</v>
      </c>
      <c r="AY528" s="598" t="s">
        <v>337</v>
      </c>
      <c r="AZ528" s="598" t="e">
        <f>+VLOOKUP($AJ528,Data_Validation!$A:$E,5,0)</f>
        <v>#N/A</v>
      </c>
    </row>
    <row r="529" spans="36:52" ht="15" customHeight="1">
      <c r="AJ529" s="1030">
        <f t="shared" si="32"/>
        <v>0</v>
      </c>
      <c r="AK529" s="1030">
        <f t="shared" si="32"/>
        <v>0</v>
      </c>
      <c r="AL529" s="1030">
        <f>IFERROR(INDEX(G529:R529,1,MATCH(Parametres!$B$3,G$1:R$1,0)-1)*IF(OR(F529="L",F529="S",F529="I"),-1,1),"")</f>
        <v>0</v>
      </c>
      <c r="AM529" s="1030">
        <f t="shared" si="33"/>
        <v>0</v>
      </c>
      <c r="AN529" s="1030">
        <f>INDEX(G529:R529,1,MATCH(Parametres!$B$3,G$1:R$1,0))*IF(OR(F529="L",F529="S",F529="I"),-1,1)</f>
        <v>0</v>
      </c>
      <c r="AO529" s="598" t="e">
        <f>+VLOOKUP($AJ529,Data_Validation!$A:$D,1,0)</f>
        <v>#N/A</v>
      </c>
      <c r="AP529" s="598" t="e">
        <f>+VLOOKUP($AJ529,Data_Validation!$A:$D,3,0)</f>
        <v>#N/A</v>
      </c>
      <c r="AQ529" s="598" t="e">
        <f>+VLOOKUP($AJ529,Data_Validation!$A:$D,4,0)</f>
        <v>#N/A</v>
      </c>
      <c r="AR529" s="598" t="s">
        <v>299</v>
      </c>
      <c r="AS529" s="598" t="e">
        <f>+VLOOKUP($AJ529,Data_Validation!$A:$E,5,0)</f>
        <v>#N/A</v>
      </c>
      <c r="AT529" s="1036">
        <f t="shared" si="34"/>
        <v>0</v>
      </c>
      <c r="AU529" s="599">
        <f t="shared" si="34"/>
        <v>0</v>
      </c>
      <c r="AV529" s="1030">
        <f>IFERROR(INDEX(V529:AG529,1,MATCH(Parametres!$B$3,V$1:AG$1,0)-1)*IF(OR(C529="L",C529="S",C529="I"),-1,1),"")</f>
        <v>0</v>
      </c>
      <c r="AW529" s="1030">
        <f t="shared" si="35"/>
        <v>0</v>
      </c>
      <c r="AX529" s="1030">
        <f>INDEX(V529:AG529,1,MATCH(Parametres!$B$3,V$1:AG$1,0))*IF(OR(C529="L",C529="S",C529="I"),-1,1)</f>
        <v>0</v>
      </c>
      <c r="AY529" s="598" t="s">
        <v>337</v>
      </c>
      <c r="AZ529" s="598" t="e">
        <f>+VLOOKUP($AJ529,Data_Validation!$A:$E,5,0)</f>
        <v>#N/A</v>
      </c>
    </row>
    <row r="530" spans="36:52" ht="15" customHeight="1">
      <c r="AJ530" s="1030">
        <f t="shared" si="32"/>
        <v>0</v>
      </c>
      <c r="AK530" s="1030">
        <f t="shared" si="32"/>
        <v>0</v>
      </c>
      <c r="AL530" s="1030">
        <f>IFERROR(INDEX(G530:R530,1,MATCH(Parametres!$B$3,G$1:R$1,0)-1)*IF(OR(F530="L",F530="S",F530="I"),-1,1),"")</f>
        <v>0</v>
      </c>
      <c r="AM530" s="1030">
        <f t="shared" si="33"/>
        <v>0</v>
      </c>
      <c r="AN530" s="1030">
        <f>INDEX(G530:R530,1,MATCH(Parametres!$B$3,G$1:R$1,0))*IF(OR(F530="L",F530="S",F530="I"),-1,1)</f>
        <v>0</v>
      </c>
      <c r="AO530" s="598" t="e">
        <f>+VLOOKUP($AJ530,Data_Validation!$A:$D,1,0)</f>
        <v>#N/A</v>
      </c>
      <c r="AP530" s="598" t="e">
        <f>+VLOOKUP($AJ530,Data_Validation!$A:$D,3,0)</f>
        <v>#N/A</v>
      </c>
      <c r="AQ530" s="598" t="e">
        <f>+VLOOKUP($AJ530,Data_Validation!$A:$D,4,0)</f>
        <v>#N/A</v>
      </c>
      <c r="AR530" s="598" t="s">
        <v>299</v>
      </c>
      <c r="AS530" s="598" t="e">
        <f>+VLOOKUP($AJ530,Data_Validation!$A:$E,5,0)</f>
        <v>#N/A</v>
      </c>
      <c r="AT530" s="1036">
        <f t="shared" si="34"/>
        <v>0</v>
      </c>
      <c r="AU530" s="599">
        <f t="shared" si="34"/>
        <v>0</v>
      </c>
      <c r="AV530" s="1030">
        <f>IFERROR(INDEX(V530:AG530,1,MATCH(Parametres!$B$3,V$1:AG$1,0)-1)*IF(OR(C530="L",C530="S",C530="I"),-1,1),"")</f>
        <v>0</v>
      </c>
      <c r="AW530" s="1030">
        <f t="shared" si="35"/>
        <v>0</v>
      </c>
      <c r="AX530" s="1030">
        <f>INDEX(V530:AG530,1,MATCH(Parametres!$B$3,V$1:AG$1,0))*IF(OR(C530="L",C530="S",C530="I"),-1,1)</f>
        <v>0</v>
      </c>
      <c r="AY530" s="598" t="s">
        <v>337</v>
      </c>
      <c r="AZ530" s="598" t="e">
        <f>+VLOOKUP($AJ530,Data_Validation!$A:$E,5,0)</f>
        <v>#N/A</v>
      </c>
    </row>
    <row r="531" spans="36:52" ht="15" customHeight="1">
      <c r="AJ531" s="1030">
        <f t="shared" si="32"/>
        <v>0</v>
      </c>
      <c r="AK531" s="1030">
        <f t="shared" si="32"/>
        <v>0</v>
      </c>
      <c r="AL531" s="1030">
        <f>IFERROR(INDEX(G531:R531,1,MATCH(Parametres!$B$3,G$1:R$1,0)-1)*IF(OR(F531="L",F531="S",F531="I"),-1,1),"")</f>
        <v>0</v>
      </c>
      <c r="AM531" s="1030">
        <f t="shared" si="33"/>
        <v>0</v>
      </c>
      <c r="AN531" s="1030">
        <f>INDEX(G531:R531,1,MATCH(Parametres!$B$3,G$1:R$1,0))*IF(OR(F531="L",F531="S",F531="I"),-1,1)</f>
        <v>0</v>
      </c>
      <c r="AO531" s="598" t="e">
        <f>+VLOOKUP($AJ531,Data_Validation!$A:$D,1,0)</f>
        <v>#N/A</v>
      </c>
      <c r="AP531" s="598" t="e">
        <f>+VLOOKUP($AJ531,Data_Validation!$A:$D,3,0)</f>
        <v>#N/A</v>
      </c>
      <c r="AQ531" s="598" t="e">
        <f>+VLOOKUP($AJ531,Data_Validation!$A:$D,4,0)</f>
        <v>#N/A</v>
      </c>
      <c r="AR531" s="598" t="s">
        <v>299</v>
      </c>
      <c r="AS531" s="598" t="e">
        <f>+VLOOKUP($AJ531,Data_Validation!$A:$E,5,0)</f>
        <v>#N/A</v>
      </c>
      <c r="AT531" s="1036">
        <f t="shared" si="34"/>
        <v>0</v>
      </c>
      <c r="AU531" s="599">
        <f t="shared" si="34"/>
        <v>0</v>
      </c>
      <c r="AV531" s="1030">
        <f>IFERROR(INDEX(V531:AG531,1,MATCH(Parametres!$B$3,V$1:AG$1,0)-1)*IF(OR(C531="L",C531="S",C531="I"),-1,1),"")</f>
        <v>0</v>
      </c>
      <c r="AW531" s="1030">
        <f t="shared" si="35"/>
        <v>0</v>
      </c>
      <c r="AX531" s="1030">
        <f>INDEX(V531:AG531,1,MATCH(Parametres!$B$3,V$1:AG$1,0))*IF(OR(C531="L",C531="S",C531="I"),-1,1)</f>
        <v>0</v>
      </c>
      <c r="AY531" s="598" t="s">
        <v>337</v>
      </c>
      <c r="AZ531" s="598" t="e">
        <f>+VLOOKUP($AJ531,Data_Validation!$A:$E,5,0)</f>
        <v>#N/A</v>
      </c>
    </row>
    <row r="532" spans="36:52" ht="15" customHeight="1">
      <c r="AJ532" s="1030">
        <f t="shared" ref="AJ532:AK595" si="36">C532</f>
        <v>0</v>
      </c>
      <c r="AK532" s="1030">
        <f t="shared" si="36"/>
        <v>0</v>
      </c>
      <c r="AL532" s="1030">
        <f>IFERROR(INDEX(G532:R532,1,MATCH(Parametres!$B$3,G$1:R$1,0)-1)*IF(OR(F532="L",F532="S",F532="I"),-1,1),"")</f>
        <v>0</v>
      </c>
      <c r="AM532" s="1030">
        <f t="shared" si="33"/>
        <v>0</v>
      </c>
      <c r="AN532" s="1030">
        <f>INDEX(G532:R532,1,MATCH(Parametres!$B$3,G$1:R$1,0))*IF(OR(F532="L",F532="S",F532="I"),-1,1)</f>
        <v>0</v>
      </c>
      <c r="AO532" s="598" t="e">
        <f>+VLOOKUP($AJ532,Data_Validation!$A:$D,1,0)</f>
        <v>#N/A</v>
      </c>
      <c r="AP532" s="598" t="e">
        <f>+VLOOKUP($AJ532,Data_Validation!$A:$D,3,0)</f>
        <v>#N/A</v>
      </c>
      <c r="AQ532" s="598" t="e">
        <f>+VLOOKUP($AJ532,Data_Validation!$A:$D,4,0)</f>
        <v>#N/A</v>
      </c>
      <c r="AR532" s="598" t="s">
        <v>299</v>
      </c>
      <c r="AS532" s="598" t="e">
        <f>+VLOOKUP($AJ532,Data_Validation!$A:$E,5,0)</f>
        <v>#N/A</v>
      </c>
      <c r="AT532" s="1036">
        <f t="shared" si="34"/>
        <v>0</v>
      </c>
      <c r="AU532" s="599">
        <f t="shared" si="34"/>
        <v>0</v>
      </c>
      <c r="AV532" s="1030">
        <f>IFERROR(INDEX(V532:AG532,1,MATCH(Parametres!$B$3,V$1:AG$1,0)-1)*IF(OR(C532="L",C532="S",C532="I"),-1,1),"")</f>
        <v>0</v>
      </c>
      <c r="AW532" s="1030">
        <f t="shared" si="35"/>
        <v>0</v>
      </c>
      <c r="AX532" s="1030">
        <f>INDEX(V532:AG532,1,MATCH(Parametres!$B$3,V$1:AG$1,0))*IF(OR(C532="L",C532="S",C532="I"),-1,1)</f>
        <v>0</v>
      </c>
      <c r="AY532" s="598" t="s">
        <v>337</v>
      </c>
      <c r="AZ532" s="598" t="e">
        <f>+VLOOKUP($AJ532,Data_Validation!$A:$E,5,0)</f>
        <v>#N/A</v>
      </c>
    </row>
    <row r="533" spans="36:52" ht="15" customHeight="1">
      <c r="AJ533" s="1030">
        <f t="shared" si="36"/>
        <v>0</v>
      </c>
      <c r="AK533" s="1030">
        <f t="shared" si="36"/>
        <v>0</v>
      </c>
      <c r="AL533" s="1030">
        <f>IFERROR(INDEX(G533:R533,1,MATCH(Parametres!$B$3,G$1:R$1,0)-1)*IF(OR(F533="L",F533="S",F533="I"),-1,1),"")</f>
        <v>0</v>
      </c>
      <c r="AM533" s="1030">
        <f t="shared" si="33"/>
        <v>0</v>
      </c>
      <c r="AN533" s="1030">
        <f>INDEX(G533:R533,1,MATCH(Parametres!$B$3,G$1:R$1,0))*IF(OR(F533="L",F533="S",F533="I"),-1,1)</f>
        <v>0</v>
      </c>
      <c r="AO533" s="598" t="e">
        <f>+VLOOKUP($AJ533,Data_Validation!$A:$D,1,0)</f>
        <v>#N/A</v>
      </c>
      <c r="AP533" s="598" t="e">
        <f>+VLOOKUP($AJ533,Data_Validation!$A:$D,3,0)</f>
        <v>#N/A</v>
      </c>
      <c r="AQ533" s="598" t="e">
        <f>+VLOOKUP($AJ533,Data_Validation!$A:$D,4,0)</f>
        <v>#N/A</v>
      </c>
      <c r="AR533" s="598" t="s">
        <v>299</v>
      </c>
      <c r="AS533" s="598" t="e">
        <f>+VLOOKUP($AJ533,Data_Validation!$A:$E,5,0)</f>
        <v>#N/A</v>
      </c>
      <c r="AT533" s="1036">
        <f t="shared" si="34"/>
        <v>0</v>
      </c>
      <c r="AU533" s="599">
        <f t="shared" si="34"/>
        <v>0</v>
      </c>
      <c r="AV533" s="1030">
        <f>IFERROR(INDEX(V533:AG533,1,MATCH(Parametres!$B$3,V$1:AG$1,0)-1)*IF(OR(C533="L",C533="S",C533="I"),-1,1),"")</f>
        <v>0</v>
      </c>
      <c r="AW533" s="1030">
        <f t="shared" si="35"/>
        <v>0</v>
      </c>
      <c r="AX533" s="1030">
        <f>INDEX(V533:AG533,1,MATCH(Parametres!$B$3,V$1:AG$1,0))*IF(OR(C533="L",C533="S",C533="I"),-1,1)</f>
        <v>0</v>
      </c>
      <c r="AY533" s="598" t="s">
        <v>337</v>
      </c>
      <c r="AZ533" s="598" t="e">
        <f>+VLOOKUP($AJ533,Data_Validation!$A:$E,5,0)</f>
        <v>#N/A</v>
      </c>
    </row>
    <row r="534" spans="36:52" ht="15" customHeight="1">
      <c r="AJ534" s="1030">
        <f t="shared" si="36"/>
        <v>0</v>
      </c>
      <c r="AK534" s="1030">
        <f t="shared" si="36"/>
        <v>0</v>
      </c>
      <c r="AL534" s="1030">
        <f>IFERROR(INDEX(G534:R534,1,MATCH(Parametres!$B$3,G$1:R$1,0)-1)*IF(OR(F534="L",F534="S",F534="I"),-1,1),"")</f>
        <v>0</v>
      </c>
      <c r="AM534" s="1030">
        <f t="shared" si="33"/>
        <v>0</v>
      </c>
      <c r="AN534" s="1030">
        <f>INDEX(G534:R534,1,MATCH(Parametres!$B$3,G$1:R$1,0))*IF(OR(F534="L",F534="S",F534="I"),-1,1)</f>
        <v>0</v>
      </c>
      <c r="AO534" s="598" t="e">
        <f>+VLOOKUP($AJ534,Data_Validation!$A:$D,1,0)</f>
        <v>#N/A</v>
      </c>
      <c r="AP534" s="598" t="e">
        <f>+VLOOKUP($AJ534,Data_Validation!$A:$D,3,0)</f>
        <v>#N/A</v>
      </c>
      <c r="AQ534" s="598" t="e">
        <f>+VLOOKUP($AJ534,Data_Validation!$A:$D,4,0)</f>
        <v>#N/A</v>
      </c>
      <c r="AR534" s="598" t="s">
        <v>299</v>
      </c>
      <c r="AS534" s="598" t="e">
        <f>+VLOOKUP($AJ534,Data_Validation!$A:$E,5,0)</f>
        <v>#N/A</v>
      </c>
      <c r="AT534" s="1036">
        <f t="shared" si="34"/>
        <v>0</v>
      </c>
      <c r="AU534" s="599">
        <f t="shared" si="34"/>
        <v>0</v>
      </c>
      <c r="AV534" s="1030">
        <f>IFERROR(INDEX(V534:AG534,1,MATCH(Parametres!$B$3,V$1:AG$1,0)-1)*IF(OR(C534="L",C534="S",C534="I"),-1,1),"")</f>
        <v>0</v>
      </c>
      <c r="AW534" s="1030">
        <f t="shared" si="35"/>
        <v>0</v>
      </c>
      <c r="AX534" s="1030">
        <f>INDEX(V534:AG534,1,MATCH(Parametres!$B$3,V$1:AG$1,0))*IF(OR(C534="L",C534="S",C534="I"),-1,1)</f>
        <v>0</v>
      </c>
      <c r="AY534" s="598" t="s">
        <v>337</v>
      </c>
      <c r="AZ534" s="598" t="e">
        <f>+VLOOKUP($AJ534,Data_Validation!$A:$E,5,0)</f>
        <v>#N/A</v>
      </c>
    </row>
    <row r="535" spans="36:52" ht="15" customHeight="1">
      <c r="AJ535" s="1030">
        <f t="shared" si="36"/>
        <v>0</v>
      </c>
      <c r="AK535" s="1030">
        <f t="shared" si="36"/>
        <v>0</v>
      </c>
      <c r="AL535" s="1030">
        <f>IFERROR(INDEX(G535:R535,1,MATCH(Parametres!$B$3,G$1:R$1,0)-1)*IF(OR(F535="L",F535="S",F535="I"),-1,1),"")</f>
        <v>0</v>
      </c>
      <c r="AM535" s="1030">
        <f t="shared" si="33"/>
        <v>0</v>
      </c>
      <c r="AN535" s="1030">
        <f>INDEX(G535:R535,1,MATCH(Parametres!$B$3,G$1:R$1,0))*IF(OR(F535="L",F535="S",F535="I"),-1,1)</f>
        <v>0</v>
      </c>
      <c r="AO535" s="598" t="e">
        <f>+VLOOKUP($AJ535,Data_Validation!$A:$D,1,0)</f>
        <v>#N/A</v>
      </c>
      <c r="AP535" s="598" t="e">
        <f>+VLOOKUP($AJ535,Data_Validation!$A:$D,3,0)</f>
        <v>#N/A</v>
      </c>
      <c r="AQ535" s="598" t="e">
        <f>+VLOOKUP($AJ535,Data_Validation!$A:$D,4,0)</f>
        <v>#N/A</v>
      </c>
      <c r="AR535" s="598" t="s">
        <v>299</v>
      </c>
      <c r="AS535" s="598" t="e">
        <f>+VLOOKUP($AJ535,Data_Validation!$A:$E,5,0)</f>
        <v>#N/A</v>
      </c>
      <c r="AT535" s="1036">
        <f t="shared" si="34"/>
        <v>0</v>
      </c>
      <c r="AU535" s="599">
        <f t="shared" si="34"/>
        <v>0</v>
      </c>
      <c r="AV535" s="1030">
        <f>IFERROR(INDEX(V535:AG535,1,MATCH(Parametres!$B$3,V$1:AG$1,0)-1)*IF(OR(C535="L",C535="S",C535="I"),-1,1),"")</f>
        <v>0</v>
      </c>
      <c r="AW535" s="1030">
        <f t="shared" si="35"/>
        <v>0</v>
      </c>
      <c r="AX535" s="1030">
        <f>INDEX(V535:AG535,1,MATCH(Parametres!$B$3,V$1:AG$1,0))*IF(OR(C535="L",C535="S",C535="I"),-1,1)</f>
        <v>0</v>
      </c>
      <c r="AY535" s="598" t="s">
        <v>337</v>
      </c>
      <c r="AZ535" s="598" t="e">
        <f>+VLOOKUP($AJ535,Data_Validation!$A:$E,5,0)</f>
        <v>#N/A</v>
      </c>
    </row>
    <row r="536" spans="36:52" ht="15" customHeight="1">
      <c r="AJ536" s="1030">
        <f t="shared" si="36"/>
        <v>0</v>
      </c>
      <c r="AK536" s="1030">
        <f t="shared" si="36"/>
        <v>0</v>
      </c>
      <c r="AL536" s="1030">
        <f>IFERROR(INDEX(G536:R536,1,MATCH(Parametres!$B$3,G$1:R$1,0)-1)*IF(OR(F536="L",F536="S",F536="I"),-1,1),"")</f>
        <v>0</v>
      </c>
      <c r="AM536" s="1030">
        <f t="shared" si="33"/>
        <v>0</v>
      </c>
      <c r="AN536" s="1030">
        <f>INDEX(G536:R536,1,MATCH(Parametres!$B$3,G$1:R$1,0))*IF(OR(F536="L",F536="S",F536="I"),-1,1)</f>
        <v>0</v>
      </c>
      <c r="AO536" s="598" t="e">
        <f>+VLOOKUP($AJ536,Data_Validation!$A:$D,1,0)</f>
        <v>#N/A</v>
      </c>
      <c r="AP536" s="598" t="e">
        <f>+VLOOKUP($AJ536,Data_Validation!$A:$D,3,0)</f>
        <v>#N/A</v>
      </c>
      <c r="AQ536" s="598" t="e">
        <f>+VLOOKUP($AJ536,Data_Validation!$A:$D,4,0)</f>
        <v>#N/A</v>
      </c>
      <c r="AR536" s="598" t="s">
        <v>299</v>
      </c>
      <c r="AS536" s="598" t="e">
        <f>+VLOOKUP($AJ536,Data_Validation!$A:$E,5,0)</f>
        <v>#N/A</v>
      </c>
      <c r="AT536" s="1036">
        <f t="shared" si="34"/>
        <v>0</v>
      </c>
      <c r="AU536" s="599">
        <f t="shared" si="34"/>
        <v>0</v>
      </c>
      <c r="AV536" s="1030">
        <f>IFERROR(INDEX(V536:AG536,1,MATCH(Parametres!$B$3,V$1:AG$1,0)-1)*IF(OR(C536="L",C536="S",C536="I"),-1,1),"")</f>
        <v>0</v>
      </c>
      <c r="AW536" s="1030">
        <f t="shared" si="35"/>
        <v>0</v>
      </c>
      <c r="AX536" s="1030">
        <f>INDEX(V536:AG536,1,MATCH(Parametres!$B$3,V$1:AG$1,0))*IF(OR(C536="L",C536="S",C536="I"),-1,1)</f>
        <v>0</v>
      </c>
      <c r="AY536" s="598" t="s">
        <v>337</v>
      </c>
      <c r="AZ536" s="598" t="e">
        <f>+VLOOKUP($AJ536,Data_Validation!$A:$E,5,0)</f>
        <v>#N/A</v>
      </c>
    </row>
    <row r="537" spans="36:52" ht="15" customHeight="1">
      <c r="AJ537" s="1030">
        <f t="shared" si="36"/>
        <v>0</v>
      </c>
      <c r="AK537" s="1030">
        <f t="shared" si="36"/>
        <v>0</v>
      </c>
      <c r="AL537" s="1030">
        <f>IFERROR(INDEX(G537:R537,1,MATCH(Parametres!$B$3,G$1:R$1,0)-1)*IF(OR(F537="L",F537="S",F537="I"),-1,1),"")</f>
        <v>0</v>
      </c>
      <c r="AM537" s="1030">
        <f t="shared" si="33"/>
        <v>0</v>
      </c>
      <c r="AN537" s="1030">
        <f>INDEX(G537:R537,1,MATCH(Parametres!$B$3,G$1:R$1,0))*IF(OR(F537="L",F537="S",F537="I"),-1,1)</f>
        <v>0</v>
      </c>
      <c r="AO537" s="598" t="e">
        <f>+VLOOKUP($AJ537,Data_Validation!$A:$D,1,0)</f>
        <v>#N/A</v>
      </c>
      <c r="AP537" s="598" t="e">
        <f>+VLOOKUP($AJ537,Data_Validation!$A:$D,3,0)</f>
        <v>#N/A</v>
      </c>
      <c r="AQ537" s="598" t="e">
        <f>+VLOOKUP($AJ537,Data_Validation!$A:$D,4,0)</f>
        <v>#N/A</v>
      </c>
      <c r="AR537" s="598" t="s">
        <v>299</v>
      </c>
      <c r="AS537" s="598" t="e">
        <f>+VLOOKUP($AJ537,Data_Validation!$A:$E,5,0)</f>
        <v>#N/A</v>
      </c>
      <c r="AT537" s="1036">
        <f t="shared" si="34"/>
        <v>0</v>
      </c>
      <c r="AU537" s="599">
        <f t="shared" si="34"/>
        <v>0</v>
      </c>
      <c r="AV537" s="1030">
        <f>IFERROR(INDEX(V537:AG537,1,MATCH(Parametres!$B$3,V$1:AG$1,0)-1)*IF(OR(C537="L",C537="S",C537="I"),-1,1),"")</f>
        <v>0</v>
      </c>
      <c r="AW537" s="1030">
        <f t="shared" si="35"/>
        <v>0</v>
      </c>
      <c r="AX537" s="1030">
        <f>INDEX(V537:AG537,1,MATCH(Parametres!$B$3,V$1:AG$1,0))*IF(OR(C537="L",C537="S",C537="I"),-1,1)</f>
        <v>0</v>
      </c>
      <c r="AY537" s="598" t="s">
        <v>337</v>
      </c>
      <c r="AZ537" s="598" t="e">
        <f>+VLOOKUP($AJ537,Data_Validation!$A:$E,5,0)</f>
        <v>#N/A</v>
      </c>
    </row>
    <row r="538" spans="36:52" ht="15" customHeight="1">
      <c r="AJ538" s="1030">
        <f t="shared" si="36"/>
        <v>0</v>
      </c>
      <c r="AK538" s="1030">
        <f t="shared" si="36"/>
        <v>0</v>
      </c>
      <c r="AL538" s="1030">
        <f>IFERROR(INDEX(G538:R538,1,MATCH(Parametres!$B$3,G$1:R$1,0)-1)*IF(OR(F538="L",F538="S",F538="I"),-1,1),"")</f>
        <v>0</v>
      </c>
      <c r="AM538" s="1030">
        <f t="shared" si="33"/>
        <v>0</v>
      </c>
      <c r="AN538" s="1030">
        <f>INDEX(G538:R538,1,MATCH(Parametres!$B$3,G$1:R$1,0))*IF(OR(F538="L",F538="S",F538="I"),-1,1)</f>
        <v>0</v>
      </c>
      <c r="AO538" s="598" t="e">
        <f>+VLOOKUP($AJ538,Data_Validation!$A:$D,1,0)</f>
        <v>#N/A</v>
      </c>
      <c r="AP538" s="598" t="e">
        <f>+VLOOKUP($AJ538,Data_Validation!$A:$D,3,0)</f>
        <v>#N/A</v>
      </c>
      <c r="AQ538" s="598" t="e">
        <f>+VLOOKUP($AJ538,Data_Validation!$A:$D,4,0)</f>
        <v>#N/A</v>
      </c>
      <c r="AR538" s="598" t="s">
        <v>299</v>
      </c>
      <c r="AS538" s="598" t="e">
        <f>+VLOOKUP($AJ538,Data_Validation!$A:$E,5,0)</f>
        <v>#N/A</v>
      </c>
      <c r="AT538" s="1036">
        <f t="shared" si="34"/>
        <v>0</v>
      </c>
      <c r="AU538" s="599">
        <f t="shared" si="34"/>
        <v>0</v>
      </c>
      <c r="AV538" s="1030">
        <f>IFERROR(INDEX(V538:AG538,1,MATCH(Parametres!$B$3,V$1:AG$1,0)-1)*IF(OR(C538="L",C538="S",C538="I"),-1,1),"")</f>
        <v>0</v>
      </c>
      <c r="AW538" s="1030">
        <f t="shared" si="35"/>
        <v>0</v>
      </c>
      <c r="AX538" s="1030">
        <f>INDEX(V538:AG538,1,MATCH(Parametres!$B$3,V$1:AG$1,0))*IF(OR(C538="L",C538="S",C538="I"),-1,1)</f>
        <v>0</v>
      </c>
      <c r="AY538" s="598" t="s">
        <v>337</v>
      </c>
      <c r="AZ538" s="598" t="e">
        <f>+VLOOKUP($AJ538,Data_Validation!$A:$E,5,0)</f>
        <v>#N/A</v>
      </c>
    </row>
    <row r="539" spans="36:52" ht="15" customHeight="1">
      <c r="AJ539" s="1030">
        <f t="shared" si="36"/>
        <v>0</v>
      </c>
      <c r="AK539" s="1030">
        <f t="shared" si="36"/>
        <v>0</v>
      </c>
      <c r="AL539" s="1030">
        <f>IFERROR(INDEX(G539:R539,1,MATCH(Parametres!$B$3,G$1:R$1,0)-1)*IF(OR(F539="L",F539="S",F539="I"),-1,1),"")</f>
        <v>0</v>
      </c>
      <c r="AM539" s="1030">
        <f t="shared" si="33"/>
        <v>0</v>
      </c>
      <c r="AN539" s="1030">
        <f>INDEX(G539:R539,1,MATCH(Parametres!$B$3,G$1:R$1,0))*IF(OR(F539="L",F539="S",F539="I"),-1,1)</f>
        <v>0</v>
      </c>
      <c r="AO539" s="598" t="e">
        <f>+VLOOKUP($AJ539,Data_Validation!$A:$D,1,0)</f>
        <v>#N/A</v>
      </c>
      <c r="AP539" s="598" t="e">
        <f>+VLOOKUP($AJ539,Data_Validation!$A:$D,3,0)</f>
        <v>#N/A</v>
      </c>
      <c r="AQ539" s="598" t="e">
        <f>+VLOOKUP($AJ539,Data_Validation!$A:$D,4,0)</f>
        <v>#N/A</v>
      </c>
      <c r="AR539" s="598" t="s">
        <v>299</v>
      </c>
      <c r="AS539" s="598" t="e">
        <f>+VLOOKUP($AJ539,Data_Validation!$A:$E,5,0)</f>
        <v>#N/A</v>
      </c>
      <c r="AT539" s="1036">
        <f t="shared" si="34"/>
        <v>0</v>
      </c>
      <c r="AU539" s="599">
        <f t="shared" si="34"/>
        <v>0</v>
      </c>
      <c r="AV539" s="1030">
        <f>IFERROR(INDEX(V539:AG539,1,MATCH(Parametres!$B$3,V$1:AG$1,0)-1)*IF(OR(C539="L",C539="S",C539="I"),-1,1),"")</f>
        <v>0</v>
      </c>
      <c r="AW539" s="1030">
        <f t="shared" si="35"/>
        <v>0</v>
      </c>
      <c r="AX539" s="1030">
        <f>INDEX(V539:AG539,1,MATCH(Parametres!$B$3,V$1:AG$1,0))*IF(OR(C539="L",C539="S",C539="I"),-1,1)</f>
        <v>0</v>
      </c>
      <c r="AY539" s="598" t="s">
        <v>337</v>
      </c>
      <c r="AZ539" s="598" t="e">
        <f>+VLOOKUP($AJ539,Data_Validation!$A:$E,5,0)</f>
        <v>#N/A</v>
      </c>
    </row>
    <row r="540" spans="36:52" ht="15" customHeight="1">
      <c r="AJ540" s="1030">
        <f t="shared" si="36"/>
        <v>0</v>
      </c>
      <c r="AK540" s="1030">
        <f t="shared" si="36"/>
        <v>0</v>
      </c>
      <c r="AL540" s="1030">
        <f>IFERROR(INDEX(G540:R540,1,MATCH(Parametres!$B$3,G$1:R$1,0)-1)*IF(OR(F540="L",F540="S",F540="I"),-1,1),"")</f>
        <v>0</v>
      </c>
      <c r="AM540" s="1030">
        <f t="shared" si="33"/>
        <v>0</v>
      </c>
      <c r="AN540" s="1030">
        <f>INDEX(G540:R540,1,MATCH(Parametres!$B$3,G$1:R$1,0))*IF(OR(F540="L",F540="S",F540="I"),-1,1)</f>
        <v>0</v>
      </c>
      <c r="AO540" s="598" t="e">
        <f>+VLOOKUP($AJ540,Data_Validation!$A:$D,1,0)</f>
        <v>#N/A</v>
      </c>
      <c r="AP540" s="598" t="e">
        <f>+VLOOKUP($AJ540,Data_Validation!$A:$D,3,0)</f>
        <v>#N/A</v>
      </c>
      <c r="AQ540" s="598" t="e">
        <f>+VLOOKUP($AJ540,Data_Validation!$A:$D,4,0)</f>
        <v>#N/A</v>
      </c>
      <c r="AR540" s="598" t="s">
        <v>299</v>
      </c>
      <c r="AS540" s="598" t="e">
        <f>+VLOOKUP($AJ540,Data_Validation!$A:$E,5,0)</f>
        <v>#N/A</v>
      </c>
      <c r="AT540" s="1036">
        <f t="shared" si="34"/>
        <v>0</v>
      </c>
      <c r="AU540" s="599">
        <f t="shared" si="34"/>
        <v>0</v>
      </c>
      <c r="AV540" s="1030">
        <f>IFERROR(INDEX(V540:AG540,1,MATCH(Parametres!$B$3,V$1:AG$1,0)-1)*IF(OR(C540="L",C540="S",C540="I"),-1,1),"")</f>
        <v>0</v>
      </c>
      <c r="AW540" s="1030">
        <f t="shared" si="35"/>
        <v>0</v>
      </c>
      <c r="AX540" s="1030">
        <f>INDEX(V540:AG540,1,MATCH(Parametres!$B$3,V$1:AG$1,0))*IF(OR(C540="L",C540="S",C540="I"),-1,1)</f>
        <v>0</v>
      </c>
      <c r="AY540" s="598" t="s">
        <v>337</v>
      </c>
      <c r="AZ540" s="598" t="e">
        <f>+VLOOKUP($AJ540,Data_Validation!$A:$E,5,0)</f>
        <v>#N/A</v>
      </c>
    </row>
    <row r="541" spans="36:52" ht="15" customHeight="1">
      <c r="AJ541" s="1030">
        <f t="shared" si="36"/>
        <v>0</v>
      </c>
      <c r="AK541" s="1030">
        <f t="shared" si="36"/>
        <v>0</v>
      </c>
      <c r="AL541" s="1030">
        <f>IFERROR(INDEX(G541:R541,1,MATCH(Parametres!$B$3,G$1:R$1,0)-1)*IF(OR(F541="L",F541="S",F541="I"),-1,1),"")</f>
        <v>0</v>
      </c>
      <c r="AM541" s="1030">
        <f t="shared" si="33"/>
        <v>0</v>
      </c>
      <c r="AN541" s="1030">
        <f>INDEX(G541:R541,1,MATCH(Parametres!$B$3,G$1:R$1,0))*IF(OR(F541="L",F541="S",F541="I"),-1,1)</f>
        <v>0</v>
      </c>
      <c r="AO541" s="598" t="e">
        <f>+VLOOKUP($AJ541,Data_Validation!$A:$D,1,0)</f>
        <v>#N/A</v>
      </c>
      <c r="AP541" s="598" t="e">
        <f>+VLOOKUP($AJ541,Data_Validation!$A:$D,3,0)</f>
        <v>#N/A</v>
      </c>
      <c r="AQ541" s="598" t="e">
        <f>+VLOOKUP($AJ541,Data_Validation!$A:$D,4,0)</f>
        <v>#N/A</v>
      </c>
      <c r="AR541" s="598" t="s">
        <v>299</v>
      </c>
      <c r="AS541" s="598" t="e">
        <f>+VLOOKUP($AJ541,Data_Validation!$A:$E,5,0)</f>
        <v>#N/A</v>
      </c>
      <c r="AT541" s="1036">
        <f t="shared" si="34"/>
        <v>0</v>
      </c>
      <c r="AU541" s="599">
        <f t="shared" si="34"/>
        <v>0</v>
      </c>
      <c r="AV541" s="1030">
        <f>IFERROR(INDEX(V541:AG541,1,MATCH(Parametres!$B$3,V$1:AG$1,0)-1)*IF(OR(C541="L",C541="S",C541="I"),-1,1),"")</f>
        <v>0</v>
      </c>
      <c r="AW541" s="1030">
        <f t="shared" si="35"/>
        <v>0</v>
      </c>
      <c r="AX541" s="1030">
        <f>INDEX(V541:AG541,1,MATCH(Parametres!$B$3,V$1:AG$1,0))*IF(OR(C541="L",C541="S",C541="I"),-1,1)</f>
        <v>0</v>
      </c>
      <c r="AY541" s="598" t="s">
        <v>337</v>
      </c>
      <c r="AZ541" s="598" t="e">
        <f>+VLOOKUP($AJ541,Data_Validation!$A:$E,5,0)</f>
        <v>#N/A</v>
      </c>
    </row>
    <row r="542" spans="36:52" ht="15" customHeight="1">
      <c r="AJ542" s="1030">
        <f t="shared" si="36"/>
        <v>0</v>
      </c>
      <c r="AK542" s="1030">
        <f t="shared" si="36"/>
        <v>0</v>
      </c>
      <c r="AL542" s="1030">
        <f>IFERROR(INDEX(G542:R542,1,MATCH(Parametres!$B$3,G$1:R$1,0)-1)*IF(OR(F542="L",F542="S",F542="I"),-1,1),"")</f>
        <v>0</v>
      </c>
      <c r="AM542" s="1030">
        <f t="shared" si="33"/>
        <v>0</v>
      </c>
      <c r="AN542" s="1030">
        <f>INDEX(G542:R542,1,MATCH(Parametres!$B$3,G$1:R$1,0))*IF(OR(F542="L",F542="S",F542="I"),-1,1)</f>
        <v>0</v>
      </c>
      <c r="AO542" s="598" t="e">
        <f>+VLOOKUP($AJ542,Data_Validation!$A:$D,1,0)</f>
        <v>#N/A</v>
      </c>
      <c r="AP542" s="598" t="e">
        <f>+VLOOKUP($AJ542,Data_Validation!$A:$D,3,0)</f>
        <v>#N/A</v>
      </c>
      <c r="AQ542" s="598" t="e">
        <f>+VLOOKUP($AJ542,Data_Validation!$A:$D,4,0)</f>
        <v>#N/A</v>
      </c>
      <c r="AR542" s="598" t="s">
        <v>299</v>
      </c>
      <c r="AS542" s="598" t="e">
        <f>+VLOOKUP($AJ542,Data_Validation!$A:$E,5,0)</f>
        <v>#N/A</v>
      </c>
      <c r="AT542" s="1036">
        <f t="shared" si="34"/>
        <v>0</v>
      </c>
      <c r="AU542" s="599">
        <f t="shared" si="34"/>
        <v>0</v>
      </c>
      <c r="AV542" s="1030">
        <f>IFERROR(INDEX(V542:AG542,1,MATCH(Parametres!$B$3,V$1:AG$1,0)-1)*IF(OR(C542="L",C542="S",C542="I"),-1,1),"")</f>
        <v>0</v>
      </c>
      <c r="AW542" s="1030">
        <f t="shared" si="35"/>
        <v>0</v>
      </c>
      <c r="AX542" s="1030">
        <f>INDEX(V542:AG542,1,MATCH(Parametres!$B$3,V$1:AG$1,0))*IF(OR(C542="L",C542="S",C542="I"),-1,1)</f>
        <v>0</v>
      </c>
      <c r="AY542" s="598" t="s">
        <v>337</v>
      </c>
      <c r="AZ542" s="598" t="e">
        <f>+VLOOKUP($AJ542,Data_Validation!$A:$E,5,0)</f>
        <v>#N/A</v>
      </c>
    </row>
    <row r="543" spans="36:52" ht="15" customHeight="1">
      <c r="AJ543" s="1030">
        <f t="shared" si="36"/>
        <v>0</v>
      </c>
      <c r="AK543" s="1030">
        <f t="shared" si="36"/>
        <v>0</v>
      </c>
      <c r="AL543" s="1030">
        <f>IFERROR(INDEX(G543:R543,1,MATCH(Parametres!$B$3,G$1:R$1,0)-1)*IF(OR(F543="L",F543="S",F543="I"),-1,1),"")</f>
        <v>0</v>
      </c>
      <c r="AM543" s="1030">
        <f t="shared" si="33"/>
        <v>0</v>
      </c>
      <c r="AN543" s="1030">
        <f>INDEX(G543:R543,1,MATCH(Parametres!$B$3,G$1:R$1,0))*IF(OR(F543="L",F543="S",F543="I"),-1,1)</f>
        <v>0</v>
      </c>
      <c r="AO543" s="598" t="e">
        <f>+VLOOKUP($AJ543,Data_Validation!$A:$D,1,0)</f>
        <v>#N/A</v>
      </c>
      <c r="AP543" s="598" t="e">
        <f>+VLOOKUP($AJ543,Data_Validation!$A:$D,3,0)</f>
        <v>#N/A</v>
      </c>
      <c r="AQ543" s="598" t="e">
        <f>+VLOOKUP($AJ543,Data_Validation!$A:$D,4,0)</f>
        <v>#N/A</v>
      </c>
      <c r="AR543" s="598" t="s">
        <v>299</v>
      </c>
      <c r="AS543" s="598" t="e">
        <f>+VLOOKUP($AJ543,Data_Validation!$A:$E,5,0)</f>
        <v>#N/A</v>
      </c>
      <c r="AT543" s="1036">
        <f t="shared" si="34"/>
        <v>0</v>
      </c>
      <c r="AU543" s="599">
        <f t="shared" si="34"/>
        <v>0</v>
      </c>
      <c r="AV543" s="1030">
        <f>IFERROR(INDEX(V543:AG543,1,MATCH(Parametres!$B$3,V$1:AG$1,0)-1)*IF(OR(C543="L",C543="S",C543="I"),-1,1),"")</f>
        <v>0</v>
      </c>
      <c r="AW543" s="1030">
        <f t="shared" si="35"/>
        <v>0</v>
      </c>
      <c r="AX543" s="1030">
        <f>INDEX(V543:AG543,1,MATCH(Parametres!$B$3,V$1:AG$1,0))*IF(OR(C543="L",C543="S",C543="I"),-1,1)</f>
        <v>0</v>
      </c>
      <c r="AY543" s="598" t="s">
        <v>337</v>
      </c>
      <c r="AZ543" s="598" t="e">
        <f>+VLOOKUP($AJ543,Data_Validation!$A:$E,5,0)</f>
        <v>#N/A</v>
      </c>
    </row>
    <row r="544" spans="36:52" ht="15" customHeight="1">
      <c r="AJ544" s="1030">
        <f t="shared" si="36"/>
        <v>0</v>
      </c>
      <c r="AK544" s="1030">
        <f t="shared" si="36"/>
        <v>0</v>
      </c>
      <c r="AL544" s="1030">
        <f>IFERROR(INDEX(G544:R544,1,MATCH(Parametres!$B$3,G$1:R$1,0)-1)*IF(OR(F544="L",F544="S",F544="I"),-1,1),"")</f>
        <v>0</v>
      </c>
      <c r="AM544" s="1030">
        <f t="shared" si="33"/>
        <v>0</v>
      </c>
      <c r="AN544" s="1030">
        <f>INDEX(G544:R544,1,MATCH(Parametres!$B$3,G$1:R$1,0))*IF(OR(F544="L",F544="S",F544="I"),-1,1)</f>
        <v>0</v>
      </c>
      <c r="AO544" s="598" t="e">
        <f>+VLOOKUP($AJ544,Data_Validation!$A:$D,1,0)</f>
        <v>#N/A</v>
      </c>
      <c r="AP544" s="598" t="e">
        <f>+VLOOKUP($AJ544,Data_Validation!$A:$D,3,0)</f>
        <v>#N/A</v>
      </c>
      <c r="AQ544" s="598" t="e">
        <f>+VLOOKUP($AJ544,Data_Validation!$A:$D,4,0)</f>
        <v>#N/A</v>
      </c>
      <c r="AR544" s="598" t="s">
        <v>299</v>
      </c>
      <c r="AS544" s="598" t="e">
        <f>+VLOOKUP($AJ544,Data_Validation!$A:$E,5,0)</f>
        <v>#N/A</v>
      </c>
      <c r="AT544" s="1036">
        <f t="shared" si="34"/>
        <v>0</v>
      </c>
      <c r="AU544" s="599">
        <f t="shared" si="34"/>
        <v>0</v>
      </c>
      <c r="AV544" s="1030">
        <f>IFERROR(INDEX(V544:AG544,1,MATCH(Parametres!$B$3,V$1:AG$1,0)-1)*IF(OR(C544="L",C544="S",C544="I"),-1,1),"")</f>
        <v>0</v>
      </c>
      <c r="AW544" s="1030">
        <f t="shared" si="35"/>
        <v>0</v>
      </c>
      <c r="AX544" s="1030">
        <f>INDEX(V544:AG544,1,MATCH(Parametres!$B$3,V$1:AG$1,0))*IF(OR(C544="L",C544="S",C544="I"),-1,1)</f>
        <v>0</v>
      </c>
      <c r="AY544" s="598" t="s">
        <v>337</v>
      </c>
      <c r="AZ544" s="598" t="e">
        <f>+VLOOKUP($AJ544,Data_Validation!$A:$E,5,0)</f>
        <v>#N/A</v>
      </c>
    </row>
    <row r="545" spans="36:52" ht="15" customHeight="1">
      <c r="AJ545" s="1030">
        <f t="shared" si="36"/>
        <v>0</v>
      </c>
      <c r="AK545" s="1030">
        <f t="shared" si="36"/>
        <v>0</v>
      </c>
      <c r="AL545" s="1030">
        <f>IFERROR(INDEX(G545:R545,1,MATCH(Parametres!$B$3,G$1:R$1,0)-1)*IF(OR(F545="L",F545="S",F545="I"),-1,1),"")</f>
        <v>0</v>
      </c>
      <c r="AM545" s="1030">
        <f t="shared" si="33"/>
        <v>0</v>
      </c>
      <c r="AN545" s="1030">
        <f>INDEX(G545:R545,1,MATCH(Parametres!$B$3,G$1:R$1,0))*IF(OR(F545="L",F545="S",F545="I"),-1,1)</f>
        <v>0</v>
      </c>
      <c r="AO545" s="598" t="e">
        <f>+VLOOKUP($AJ545,Data_Validation!$A:$D,1,0)</f>
        <v>#N/A</v>
      </c>
      <c r="AP545" s="598" t="e">
        <f>+VLOOKUP($AJ545,Data_Validation!$A:$D,3,0)</f>
        <v>#N/A</v>
      </c>
      <c r="AQ545" s="598" t="e">
        <f>+VLOOKUP($AJ545,Data_Validation!$A:$D,4,0)</f>
        <v>#N/A</v>
      </c>
      <c r="AR545" s="598" t="s">
        <v>299</v>
      </c>
      <c r="AS545" s="598" t="e">
        <f>+VLOOKUP($AJ545,Data_Validation!$A:$E,5,0)</f>
        <v>#N/A</v>
      </c>
      <c r="AT545" s="1036">
        <f t="shared" si="34"/>
        <v>0</v>
      </c>
      <c r="AU545" s="599">
        <f t="shared" si="34"/>
        <v>0</v>
      </c>
      <c r="AV545" s="1030">
        <f>IFERROR(INDEX(V545:AG545,1,MATCH(Parametres!$B$3,V$1:AG$1,0)-1)*IF(OR(C545="L",C545="S",C545="I"),-1,1),"")</f>
        <v>0</v>
      </c>
      <c r="AW545" s="1030">
        <f t="shared" si="35"/>
        <v>0</v>
      </c>
      <c r="AX545" s="1030">
        <f>INDEX(V545:AG545,1,MATCH(Parametres!$B$3,V$1:AG$1,0))*IF(OR(C545="L",C545="S",C545="I"),-1,1)</f>
        <v>0</v>
      </c>
      <c r="AY545" s="598" t="s">
        <v>337</v>
      </c>
      <c r="AZ545" s="598" t="e">
        <f>+VLOOKUP($AJ545,Data_Validation!$A:$E,5,0)</f>
        <v>#N/A</v>
      </c>
    </row>
    <row r="546" spans="36:52" ht="15" customHeight="1">
      <c r="AJ546" s="1030">
        <f t="shared" si="36"/>
        <v>0</v>
      </c>
      <c r="AK546" s="1030">
        <f t="shared" si="36"/>
        <v>0</v>
      </c>
      <c r="AL546" s="1030">
        <f>IFERROR(INDEX(G546:R546,1,MATCH(Parametres!$B$3,G$1:R$1,0)-1)*IF(OR(F546="L",F546="S",F546="I"),-1,1),"")</f>
        <v>0</v>
      </c>
      <c r="AM546" s="1030">
        <f t="shared" si="33"/>
        <v>0</v>
      </c>
      <c r="AN546" s="1030">
        <f>INDEX(G546:R546,1,MATCH(Parametres!$B$3,G$1:R$1,0))*IF(OR(F546="L",F546="S",F546="I"),-1,1)</f>
        <v>0</v>
      </c>
      <c r="AO546" s="598" t="e">
        <f>+VLOOKUP($AJ546,Data_Validation!$A:$D,1,0)</f>
        <v>#N/A</v>
      </c>
      <c r="AP546" s="598" t="e">
        <f>+VLOOKUP($AJ546,Data_Validation!$A:$D,3,0)</f>
        <v>#N/A</v>
      </c>
      <c r="AQ546" s="598" t="e">
        <f>+VLOOKUP($AJ546,Data_Validation!$A:$D,4,0)</f>
        <v>#N/A</v>
      </c>
      <c r="AR546" s="598" t="s">
        <v>299</v>
      </c>
      <c r="AS546" s="598" t="e">
        <f>+VLOOKUP($AJ546,Data_Validation!$A:$E,5,0)</f>
        <v>#N/A</v>
      </c>
      <c r="AT546" s="1036">
        <f t="shared" si="34"/>
        <v>0</v>
      </c>
      <c r="AU546" s="599">
        <f t="shared" si="34"/>
        <v>0</v>
      </c>
      <c r="AV546" s="1030">
        <f>IFERROR(INDEX(V546:AG546,1,MATCH(Parametres!$B$3,V$1:AG$1,0)-1)*IF(OR(C546="L",C546="S",C546="I"),-1,1),"")</f>
        <v>0</v>
      </c>
      <c r="AW546" s="1030">
        <f t="shared" si="35"/>
        <v>0</v>
      </c>
      <c r="AX546" s="1030">
        <f>INDEX(V546:AG546,1,MATCH(Parametres!$B$3,V$1:AG$1,0))*IF(OR(C546="L",C546="S",C546="I"),-1,1)</f>
        <v>0</v>
      </c>
      <c r="AY546" s="598" t="s">
        <v>337</v>
      </c>
      <c r="AZ546" s="598" t="e">
        <f>+VLOOKUP($AJ546,Data_Validation!$A:$E,5,0)</f>
        <v>#N/A</v>
      </c>
    </row>
    <row r="547" spans="36:52" ht="15" customHeight="1">
      <c r="AJ547" s="1030">
        <f t="shared" si="36"/>
        <v>0</v>
      </c>
      <c r="AK547" s="1030">
        <f t="shared" si="36"/>
        <v>0</v>
      </c>
      <c r="AL547" s="1030">
        <f>IFERROR(INDEX(G547:R547,1,MATCH(Parametres!$B$3,G$1:R$1,0)-1)*IF(OR(F547="L",F547="S",F547="I"),-1,1),"")</f>
        <v>0</v>
      </c>
      <c r="AM547" s="1030">
        <f t="shared" si="33"/>
        <v>0</v>
      </c>
      <c r="AN547" s="1030">
        <f>INDEX(G547:R547,1,MATCH(Parametres!$B$3,G$1:R$1,0))*IF(OR(F547="L",F547="S",F547="I"),-1,1)</f>
        <v>0</v>
      </c>
      <c r="AO547" s="598" t="e">
        <f>+VLOOKUP($AJ547,Data_Validation!$A:$D,1,0)</f>
        <v>#N/A</v>
      </c>
      <c r="AP547" s="598" t="e">
        <f>+VLOOKUP($AJ547,Data_Validation!$A:$D,3,0)</f>
        <v>#N/A</v>
      </c>
      <c r="AQ547" s="598" t="e">
        <f>+VLOOKUP($AJ547,Data_Validation!$A:$D,4,0)</f>
        <v>#N/A</v>
      </c>
      <c r="AR547" s="598" t="s">
        <v>299</v>
      </c>
      <c r="AS547" s="598" t="e">
        <f>+VLOOKUP($AJ547,Data_Validation!$A:$E,5,0)</f>
        <v>#N/A</v>
      </c>
      <c r="AT547" s="1036">
        <f t="shared" si="34"/>
        <v>0</v>
      </c>
      <c r="AU547" s="599">
        <f t="shared" si="34"/>
        <v>0</v>
      </c>
      <c r="AV547" s="1030">
        <f>IFERROR(INDEX(V547:AG547,1,MATCH(Parametres!$B$3,V$1:AG$1,0)-1)*IF(OR(C547="L",C547="S",C547="I"),-1,1),"")</f>
        <v>0</v>
      </c>
      <c r="AW547" s="1030">
        <f t="shared" si="35"/>
        <v>0</v>
      </c>
      <c r="AX547" s="1030">
        <f>INDEX(V547:AG547,1,MATCH(Parametres!$B$3,V$1:AG$1,0))*IF(OR(C547="L",C547="S",C547="I"),-1,1)</f>
        <v>0</v>
      </c>
      <c r="AY547" s="598" t="s">
        <v>337</v>
      </c>
      <c r="AZ547" s="598" t="e">
        <f>+VLOOKUP($AJ547,Data_Validation!$A:$E,5,0)</f>
        <v>#N/A</v>
      </c>
    </row>
    <row r="548" spans="36:52" ht="15" customHeight="1">
      <c r="AJ548" s="1030">
        <f t="shared" si="36"/>
        <v>0</v>
      </c>
      <c r="AK548" s="1030">
        <f t="shared" si="36"/>
        <v>0</v>
      </c>
      <c r="AL548" s="1030">
        <f>IFERROR(INDEX(G548:R548,1,MATCH(Parametres!$B$3,G$1:R$1,0)-1)*IF(OR(F548="L",F548="S",F548="I"),-1,1),"")</f>
        <v>0</v>
      </c>
      <c r="AM548" s="1030">
        <f t="shared" si="33"/>
        <v>0</v>
      </c>
      <c r="AN548" s="1030">
        <f>INDEX(G548:R548,1,MATCH(Parametres!$B$3,G$1:R$1,0))*IF(OR(F548="L",F548="S",F548="I"),-1,1)</f>
        <v>0</v>
      </c>
      <c r="AO548" s="598" t="e">
        <f>+VLOOKUP($AJ548,Data_Validation!$A:$D,1,0)</f>
        <v>#N/A</v>
      </c>
      <c r="AP548" s="598" t="e">
        <f>+VLOOKUP($AJ548,Data_Validation!$A:$D,3,0)</f>
        <v>#N/A</v>
      </c>
      <c r="AQ548" s="598" t="e">
        <f>+VLOOKUP($AJ548,Data_Validation!$A:$D,4,0)</f>
        <v>#N/A</v>
      </c>
      <c r="AR548" s="598" t="s">
        <v>299</v>
      </c>
      <c r="AS548" s="598" t="e">
        <f>+VLOOKUP($AJ548,Data_Validation!$A:$E,5,0)</f>
        <v>#N/A</v>
      </c>
      <c r="AT548" s="1036">
        <f t="shared" si="34"/>
        <v>0</v>
      </c>
      <c r="AU548" s="599">
        <f t="shared" si="34"/>
        <v>0</v>
      </c>
      <c r="AV548" s="1030">
        <f>IFERROR(INDEX(V548:AG548,1,MATCH(Parametres!$B$3,V$1:AG$1,0)-1)*IF(OR(C548="L",C548="S",C548="I"),-1,1),"")</f>
        <v>0</v>
      </c>
      <c r="AW548" s="1030">
        <f t="shared" si="35"/>
        <v>0</v>
      </c>
      <c r="AX548" s="1030">
        <f>INDEX(V548:AG548,1,MATCH(Parametres!$B$3,V$1:AG$1,0))*IF(OR(C548="L",C548="S",C548="I"),-1,1)</f>
        <v>0</v>
      </c>
      <c r="AY548" s="598" t="s">
        <v>337</v>
      </c>
      <c r="AZ548" s="598" t="e">
        <f>+VLOOKUP($AJ548,Data_Validation!$A:$E,5,0)</f>
        <v>#N/A</v>
      </c>
    </row>
    <row r="549" spans="36:52" ht="15" customHeight="1">
      <c r="AJ549" s="1030">
        <f t="shared" si="36"/>
        <v>0</v>
      </c>
      <c r="AK549" s="1030">
        <f t="shared" si="36"/>
        <v>0</v>
      </c>
      <c r="AL549" s="1030">
        <f>IFERROR(INDEX(G549:R549,1,MATCH(Parametres!$B$3,G$1:R$1,0)-1)*IF(OR(F549="L",F549="S",F549="I"),-1,1),"")</f>
        <v>0</v>
      </c>
      <c r="AM549" s="1030">
        <f t="shared" si="33"/>
        <v>0</v>
      </c>
      <c r="AN549" s="1030">
        <f>INDEX(G549:R549,1,MATCH(Parametres!$B$3,G$1:R$1,0))*IF(OR(F549="L",F549="S",F549="I"),-1,1)</f>
        <v>0</v>
      </c>
      <c r="AO549" s="598" t="e">
        <f>+VLOOKUP($AJ549,Data_Validation!$A:$D,1,0)</f>
        <v>#N/A</v>
      </c>
      <c r="AP549" s="598" t="e">
        <f>+VLOOKUP($AJ549,Data_Validation!$A:$D,3,0)</f>
        <v>#N/A</v>
      </c>
      <c r="AQ549" s="598" t="e">
        <f>+VLOOKUP($AJ549,Data_Validation!$A:$D,4,0)</f>
        <v>#N/A</v>
      </c>
      <c r="AR549" s="598" t="s">
        <v>299</v>
      </c>
      <c r="AS549" s="598" t="e">
        <f>+VLOOKUP($AJ549,Data_Validation!$A:$E,5,0)</f>
        <v>#N/A</v>
      </c>
      <c r="AT549" s="1036">
        <f t="shared" si="34"/>
        <v>0</v>
      </c>
      <c r="AU549" s="599">
        <f t="shared" si="34"/>
        <v>0</v>
      </c>
      <c r="AV549" s="1030">
        <f>IFERROR(INDEX(V549:AG549,1,MATCH(Parametres!$B$3,V$1:AG$1,0)-1)*IF(OR(C549="L",C549="S",C549="I"),-1,1),"")</f>
        <v>0</v>
      </c>
      <c r="AW549" s="1030">
        <f t="shared" si="35"/>
        <v>0</v>
      </c>
      <c r="AX549" s="1030">
        <f>INDEX(V549:AG549,1,MATCH(Parametres!$B$3,V$1:AG$1,0))*IF(OR(C549="L",C549="S",C549="I"),-1,1)</f>
        <v>0</v>
      </c>
      <c r="AY549" s="598" t="s">
        <v>337</v>
      </c>
      <c r="AZ549" s="598" t="e">
        <f>+VLOOKUP($AJ549,Data_Validation!$A:$E,5,0)</f>
        <v>#N/A</v>
      </c>
    </row>
    <row r="550" spans="36:52" ht="15" customHeight="1">
      <c r="AJ550" s="1030">
        <f t="shared" si="36"/>
        <v>0</v>
      </c>
      <c r="AK550" s="1030">
        <f t="shared" si="36"/>
        <v>0</v>
      </c>
      <c r="AL550" s="1030">
        <f>IFERROR(INDEX(G550:R550,1,MATCH(Parametres!$B$3,G$1:R$1,0)-1)*IF(OR(F550="L",F550="S",F550="I"),-1,1),"")</f>
        <v>0</v>
      </c>
      <c r="AM550" s="1030">
        <f t="shared" si="33"/>
        <v>0</v>
      </c>
      <c r="AN550" s="1030">
        <f>INDEX(G550:R550,1,MATCH(Parametres!$B$3,G$1:R$1,0))*IF(OR(F550="L",F550="S",F550="I"),-1,1)</f>
        <v>0</v>
      </c>
      <c r="AO550" s="598" t="e">
        <f>+VLOOKUP($AJ550,Data_Validation!$A:$D,1,0)</f>
        <v>#N/A</v>
      </c>
      <c r="AP550" s="598" t="e">
        <f>+VLOOKUP($AJ550,Data_Validation!$A:$D,3,0)</f>
        <v>#N/A</v>
      </c>
      <c r="AQ550" s="598" t="e">
        <f>+VLOOKUP($AJ550,Data_Validation!$A:$D,4,0)</f>
        <v>#N/A</v>
      </c>
      <c r="AR550" s="598" t="s">
        <v>299</v>
      </c>
      <c r="AS550" s="598" t="e">
        <f>+VLOOKUP($AJ550,Data_Validation!$A:$E,5,0)</f>
        <v>#N/A</v>
      </c>
      <c r="AT550" s="1036">
        <f t="shared" si="34"/>
        <v>0</v>
      </c>
      <c r="AU550" s="599">
        <f t="shared" si="34"/>
        <v>0</v>
      </c>
      <c r="AV550" s="1030">
        <f>IFERROR(INDEX(V550:AG550,1,MATCH(Parametres!$B$3,V$1:AG$1,0)-1)*IF(OR(C550="L",C550="S",C550="I"),-1,1),"")</f>
        <v>0</v>
      </c>
      <c r="AW550" s="1030">
        <f t="shared" si="35"/>
        <v>0</v>
      </c>
      <c r="AX550" s="1030">
        <f>INDEX(V550:AG550,1,MATCH(Parametres!$B$3,V$1:AG$1,0))*IF(OR(C550="L",C550="S",C550="I"),-1,1)</f>
        <v>0</v>
      </c>
      <c r="AY550" s="598" t="s">
        <v>337</v>
      </c>
      <c r="AZ550" s="598" t="e">
        <f>+VLOOKUP($AJ550,Data_Validation!$A:$E,5,0)</f>
        <v>#N/A</v>
      </c>
    </row>
    <row r="551" spans="36:52" ht="15" customHeight="1">
      <c r="AJ551" s="1030">
        <f t="shared" si="36"/>
        <v>0</v>
      </c>
      <c r="AK551" s="1030">
        <f t="shared" si="36"/>
        <v>0</v>
      </c>
      <c r="AL551" s="1030">
        <f>IFERROR(INDEX(G551:R551,1,MATCH(Parametres!$B$3,G$1:R$1,0)-1)*IF(OR(F551="L",F551="S",F551="I"),-1,1),"")</f>
        <v>0</v>
      </c>
      <c r="AM551" s="1030">
        <f t="shared" si="33"/>
        <v>0</v>
      </c>
      <c r="AN551" s="1030">
        <f>INDEX(G551:R551,1,MATCH(Parametres!$B$3,G$1:R$1,0))*IF(OR(F551="L",F551="S",F551="I"),-1,1)</f>
        <v>0</v>
      </c>
      <c r="AO551" s="598" t="e">
        <f>+VLOOKUP($AJ551,Data_Validation!$A:$D,1,0)</f>
        <v>#N/A</v>
      </c>
      <c r="AP551" s="598" t="e">
        <f>+VLOOKUP($AJ551,Data_Validation!$A:$D,3,0)</f>
        <v>#N/A</v>
      </c>
      <c r="AQ551" s="598" t="e">
        <f>+VLOOKUP($AJ551,Data_Validation!$A:$D,4,0)</f>
        <v>#N/A</v>
      </c>
      <c r="AR551" s="598" t="s">
        <v>299</v>
      </c>
      <c r="AS551" s="598" t="e">
        <f>+VLOOKUP($AJ551,Data_Validation!$A:$E,5,0)</f>
        <v>#N/A</v>
      </c>
      <c r="AT551" s="1036">
        <f t="shared" si="34"/>
        <v>0</v>
      </c>
      <c r="AU551" s="599">
        <f t="shared" si="34"/>
        <v>0</v>
      </c>
      <c r="AV551" s="1030">
        <f>IFERROR(INDEX(V551:AG551,1,MATCH(Parametres!$B$3,V$1:AG$1,0)-1)*IF(OR(C551="L",C551="S",C551="I"),-1,1),"")</f>
        <v>0</v>
      </c>
      <c r="AW551" s="1030">
        <f t="shared" si="35"/>
        <v>0</v>
      </c>
      <c r="AX551" s="1030">
        <f>INDEX(V551:AG551,1,MATCH(Parametres!$B$3,V$1:AG$1,0))*IF(OR(C551="L",C551="S",C551="I"),-1,1)</f>
        <v>0</v>
      </c>
      <c r="AY551" s="598" t="s">
        <v>337</v>
      </c>
      <c r="AZ551" s="598" t="e">
        <f>+VLOOKUP($AJ551,Data_Validation!$A:$E,5,0)</f>
        <v>#N/A</v>
      </c>
    </row>
    <row r="552" spans="36:52" ht="15" customHeight="1">
      <c r="AJ552" s="1030">
        <f t="shared" si="36"/>
        <v>0</v>
      </c>
      <c r="AK552" s="1030">
        <f t="shared" si="36"/>
        <v>0</v>
      </c>
      <c r="AL552" s="1030">
        <f>IFERROR(INDEX(G552:R552,1,MATCH(Parametres!$B$3,G$1:R$1,0)-1)*IF(OR(F552="L",F552="S",F552="I"),-1,1),"")</f>
        <v>0</v>
      </c>
      <c r="AM552" s="1030">
        <f t="shared" si="33"/>
        <v>0</v>
      </c>
      <c r="AN552" s="1030">
        <f>INDEX(G552:R552,1,MATCH(Parametres!$B$3,G$1:R$1,0))*IF(OR(F552="L",F552="S",F552="I"),-1,1)</f>
        <v>0</v>
      </c>
      <c r="AO552" s="598" t="e">
        <f>+VLOOKUP($AJ552,Data_Validation!$A:$D,1,0)</f>
        <v>#N/A</v>
      </c>
      <c r="AP552" s="598" t="e">
        <f>+VLOOKUP($AJ552,Data_Validation!$A:$D,3,0)</f>
        <v>#N/A</v>
      </c>
      <c r="AQ552" s="598" t="e">
        <f>+VLOOKUP($AJ552,Data_Validation!$A:$D,4,0)</f>
        <v>#N/A</v>
      </c>
      <c r="AR552" s="598" t="s">
        <v>299</v>
      </c>
      <c r="AS552" s="598" t="e">
        <f>+VLOOKUP($AJ552,Data_Validation!$A:$E,5,0)</f>
        <v>#N/A</v>
      </c>
      <c r="AT552" s="1036">
        <f t="shared" si="34"/>
        <v>0</v>
      </c>
      <c r="AU552" s="599">
        <f t="shared" si="34"/>
        <v>0</v>
      </c>
      <c r="AV552" s="1030">
        <f>IFERROR(INDEX(V552:AG552,1,MATCH(Parametres!$B$3,V$1:AG$1,0)-1)*IF(OR(C552="L",C552="S",C552="I"),-1,1),"")</f>
        <v>0</v>
      </c>
      <c r="AW552" s="1030">
        <f t="shared" si="35"/>
        <v>0</v>
      </c>
      <c r="AX552" s="1030">
        <f>INDEX(V552:AG552,1,MATCH(Parametres!$B$3,V$1:AG$1,0))*IF(OR(C552="L",C552="S",C552="I"),-1,1)</f>
        <v>0</v>
      </c>
      <c r="AY552" s="598" t="s">
        <v>337</v>
      </c>
      <c r="AZ552" s="598" t="e">
        <f>+VLOOKUP($AJ552,Data_Validation!$A:$E,5,0)</f>
        <v>#N/A</v>
      </c>
    </row>
    <row r="553" spans="36:52" ht="15" customHeight="1">
      <c r="AJ553" s="1030">
        <f t="shared" si="36"/>
        <v>0</v>
      </c>
      <c r="AK553" s="1030">
        <f t="shared" si="36"/>
        <v>0</v>
      </c>
      <c r="AL553" s="1030">
        <f>IFERROR(INDEX(G553:R553,1,MATCH(Parametres!$B$3,G$1:R$1,0)-1)*IF(OR(F553="L",F553="S",F553="I"),-1,1),"")</f>
        <v>0</v>
      </c>
      <c r="AM553" s="1030">
        <f t="shared" si="33"/>
        <v>0</v>
      </c>
      <c r="AN553" s="1030">
        <f>INDEX(G553:R553,1,MATCH(Parametres!$B$3,G$1:R$1,0))*IF(OR(F553="L",F553="S",F553="I"),-1,1)</f>
        <v>0</v>
      </c>
      <c r="AO553" s="598" t="e">
        <f>+VLOOKUP($AJ553,Data_Validation!$A:$D,1,0)</f>
        <v>#N/A</v>
      </c>
      <c r="AP553" s="598" t="e">
        <f>+VLOOKUP($AJ553,Data_Validation!$A:$D,3,0)</f>
        <v>#N/A</v>
      </c>
      <c r="AQ553" s="598" t="e">
        <f>+VLOOKUP($AJ553,Data_Validation!$A:$D,4,0)</f>
        <v>#N/A</v>
      </c>
      <c r="AR553" s="598" t="s">
        <v>299</v>
      </c>
      <c r="AS553" s="598" t="e">
        <f>+VLOOKUP($AJ553,Data_Validation!$A:$E,5,0)</f>
        <v>#N/A</v>
      </c>
      <c r="AT553" s="1036">
        <f t="shared" si="34"/>
        <v>0</v>
      </c>
      <c r="AU553" s="599">
        <f t="shared" si="34"/>
        <v>0</v>
      </c>
      <c r="AV553" s="1030">
        <f>IFERROR(INDEX(V553:AG553,1,MATCH(Parametres!$B$3,V$1:AG$1,0)-1)*IF(OR(C553="L",C553="S",C553="I"),-1,1),"")</f>
        <v>0</v>
      </c>
      <c r="AW553" s="1030">
        <f t="shared" si="35"/>
        <v>0</v>
      </c>
      <c r="AX553" s="1030">
        <f>INDEX(V553:AG553,1,MATCH(Parametres!$B$3,V$1:AG$1,0))*IF(OR(C553="L",C553="S",C553="I"),-1,1)</f>
        <v>0</v>
      </c>
      <c r="AY553" s="598" t="s">
        <v>337</v>
      </c>
      <c r="AZ553" s="598" t="e">
        <f>+VLOOKUP($AJ553,Data_Validation!$A:$E,5,0)</f>
        <v>#N/A</v>
      </c>
    </row>
    <row r="554" spans="36:52" ht="15" customHeight="1">
      <c r="AJ554" s="1030">
        <f t="shared" si="36"/>
        <v>0</v>
      </c>
      <c r="AK554" s="1030">
        <f t="shared" si="36"/>
        <v>0</v>
      </c>
      <c r="AL554" s="1030">
        <f>IFERROR(INDEX(G554:R554,1,MATCH(Parametres!$B$3,G$1:R$1,0)-1)*IF(OR(F554="L",F554="S",F554="I"),-1,1),"")</f>
        <v>0</v>
      </c>
      <c r="AM554" s="1030">
        <f t="shared" si="33"/>
        <v>0</v>
      </c>
      <c r="AN554" s="1030">
        <f>INDEX(G554:R554,1,MATCH(Parametres!$B$3,G$1:R$1,0))*IF(OR(F554="L",F554="S",F554="I"),-1,1)</f>
        <v>0</v>
      </c>
      <c r="AO554" s="598" t="e">
        <f>+VLOOKUP($AJ554,Data_Validation!$A:$D,1,0)</f>
        <v>#N/A</v>
      </c>
      <c r="AP554" s="598" t="e">
        <f>+VLOOKUP($AJ554,Data_Validation!$A:$D,3,0)</f>
        <v>#N/A</v>
      </c>
      <c r="AQ554" s="598" t="e">
        <f>+VLOOKUP($AJ554,Data_Validation!$A:$D,4,0)</f>
        <v>#N/A</v>
      </c>
      <c r="AR554" s="598" t="s">
        <v>299</v>
      </c>
      <c r="AS554" s="598" t="e">
        <f>+VLOOKUP($AJ554,Data_Validation!$A:$E,5,0)</f>
        <v>#N/A</v>
      </c>
      <c r="AT554" s="1036">
        <f t="shared" si="34"/>
        <v>0</v>
      </c>
      <c r="AU554" s="599">
        <f t="shared" si="34"/>
        <v>0</v>
      </c>
      <c r="AV554" s="1030">
        <f>IFERROR(INDEX(V554:AG554,1,MATCH(Parametres!$B$3,V$1:AG$1,0)-1)*IF(OR(C554="L",C554="S",C554="I"),-1,1),"")</f>
        <v>0</v>
      </c>
      <c r="AW554" s="1030">
        <f t="shared" si="35"/>
        <v>0</v>
      </c>
      <c r="AX554" s="1030">
        <f>INDEX(V554:AG554,1,MATCH(Parametres!$B$3,V$1:AG$1,0))*IF(OR(C554="L",C554="S",C554="I"),-1,1)</f>
        <v>0</v>
      </c>
      <c r="AY554" s="598" t="s">
        <v>337</v>
      </c>
      <c r="AZ554" s="598" t="e">
        <f>+VLOOKUP($AJ554,Data_Validation!$A:$E,5,0)</f>
        <v>#N/A</v>
      </c>
    </row>
    <row r="555" spans="36:52" ht="15" customHeight="1">
      <c r="AJ555" s="1030">
        <f t="shared" si="36"/>
        <v>0</v>
      </c>
      <c r="AK555" s="1030">
        <f t="shared" si="36"/>
        <v>0</v>
      </c>
      <c r="AL555" s="1030">
        <f>IFERROR(INDEX(G555:R555,1,MATCH(Parametres!$B$3,G$1:R$1,0)-1)*IF(OR(F555="L",F555="S",F555="I"),-1,1),"")</f>
        <v>0</v>
      </c>
      <c r="AM555" s="1030">
        <f t="shared" si="33"/>
        <v>0</v>
      </c>
      <c r="AN555" s="1030">
        <f>INDEX(G555:R555,1,MATCH(Parametres!$B$3,G$1:R$1,0))*IF(OR(F555="L",F555="S",F555="I"),-1,1)</f>
        <v>0</v>
      </c>
      <c r="AO555" s="598" t="e">
        <f>+VLOOKUP($AJ555,Data_Validation!$A:$D,1,0)</f>
        <v>#N/A</v>
      </c>
      <c r="AP555" s="598" t="e">
        <f>+VLOOKUP($AJ555,Data_Validation!$A:$D,3,0)</f>
        <v>#N/A</v>
      </c>
      <c r="AQ555" s="598" t="e">
        <f>+VLOOKUP($AJ555,Data_Validation!$A:$D,4,0)</f>
        <v>#N/A</v>
      </c>
      <c r="AR555" s="598" t="s">
        <v>299</v>
      </c>
      <c r="AS555" s="598" t="e">
        <f>+VLOOKUP($AJ555,Data_Validation!$A:$E,5,0)</f>
        <v>#N/A</v>
      </c>
      <c r="AT555" s="1036">
        <f t="shared" si="34"/>
        <v>0</v>
      </c>
      <c r="AU555" s="599">
        <f t="shared" si="34"/>
        <v>0</v>
      </c>
      <c r="AV555" s="1030">
        <f>IFERROR(INDEX(V555:AG555,1,MATCH(Parametres!$B$3,V$1:AG$1,0)-1)*IF(OR(C555="L",C555="S",C555="I"),-1,1),"")</f>
        <v>0</v>
      </c>
      <c r="AW555" s="1030">
        <f t="shared" si="35"/>
        <v>0</v>
      </c>
      <c r="AX555" s="1030">
        <f>INDEX(V555:AG555,1,MATCH(Parametres!$B$3,V$1:AG$1,0))*IF(OR(C555="L",C555="S",C555="I"),-1,1)</f>
        <v>0</v>
      </c>
      <c r="AY555" s="598" t="s">
        <v>337</v>
      </c>
      <c r="AZ555" s="598" t="e">
        <f>+VLOOKUP($AJ555,Data_Validation!$A:$E,5,0)</f>
        <v>#N/A</v>
      </c>
    </row>
    <row r="556" spans="36:52" ht="15" customHeight="1">
      <c r="AJ556" s="1030">
        <f t="shared" si="36"/>
        <v>0</v>
      </c>
      <c r="AK556" s="1030">
        <f t="shared" si="36"/>
        <v>0</v>
      </c>
      <c r="AL556" s="1030">
        <f>IFERROR(INDEX(G556:R556,1,MATCH(Parametres!$B$3,G$1:R$1,0)-1)*IF(OR(F556="L",F556="S",F556="I"),-1,1),"")</f>
        <v>0</v>
      </c>
      <c r="AM556" s="1030">
        <f t="shared" si="33"/>
        <v>0</v>
      </c>
      <c r="AN556" s="1030">
        <f>INDEX(G556:R556,1,MATCH(Parametres!$B$3,G$1:R$1,0))*IF(OR(F556="L",F556="S",F556="I"),-1,1)</f>
        <v>0</v>
      </c>
      <c r="AO556" s="598" t="e">
        <f>+VLOOKUP($AJ556,Data_Validation!$A:$D,1,0)</f>
        <v>#N/A</v>
      </c>
      <c r="AP556" s="598" t="e">
        <f>+VLOOKUP($AJ556,Data_Validation!$A:$D,3,0)</f>
        <v>#N/A</v>
      </c>
      <c r="AQ556" s="598" t="e">
        <f>+VLOOKUP($AJ556,Data_Validation!$A:$D,4,0)</f>
        <v>#N/A</v>
      </c>
      <c r="AR556" s="598" t="s">
        <v>299</v>
      </c>
      <c r="AS556" s="598" t="e">
        <f>+VLOOKUP($AJ556,Data_Validation!$A:$E,5,0)</f>
        <v>#N/A</v>
      </c>
      <c r="AT556" s="1036">
        <f t="shared" si="34"/>
        <v>0</v>
      </c>
      <c r="AU556" s="599">
        <f t="shared" si="34"/>
        <v>0</v>
      </c>
      <c r="AV556" s="1030">
        <f>IFERROR(INDEX(V556:AG556,1,MATCH(Parametres!$B$3,V$1:AG$1,0)-1)*IF(OR(C556="L",C556="S",C556="I"),-1,1),"")</f>
        <v>0</v>
      </c>
      <c r="AW556" s="1030">
        <f t="shared" si="35"/>
        <v>0</v>
      </c>
      <c r="AX556" s="1030">
        <f>INDEX(V556:AG556,1,MATCH(Parametres!$B$3,V$1:AG$1,0))*IF(OR(C556="L",C556="S",C556="I"),-1,1)</f>
        <v>0</v>
      </c>
      <c r="AY556" s="598" t="s">
        <v>337</v>
      </c>
      <c r="AZ556" s="598" t="e">
        <f>+VLOOKUP($AJ556,Data_Validation!$A:$E,5,0)</f>
        <v>#N/A</v>
      </c>
    </row>
    <row r="557" spans="36:52" ht="15" customHeight="1">
      <c r="AJ557" s="1030">
        <f t="shared" si="36"/>
        <v>0</v>
      </c>
      <c r="AK557" s="1030">
        <f t="shared" si="36"/>
        <v>0</v>
      </c>
      <c r="AL557" s="1030">
        <f>IFERROR(INDEX(G557:R557,1,MATCH(Parametres!$B$3,G$1:R$1,0)-1)*IF(OR(F557="L",F557="S",F557="I"),-1,1),"")</f>
        <v>0</v>
      </c>
      <c r="AM557" s="1030">
        <f t="shared" si="33"/>
        <v>0</v>
      </c>
      <c r="AN557" s="1030">
        <f>INDEX(G557:R557,1,MATCH(Parametres!$B$3,G$1:R$1,0))*IF(OR(F557="L",F557="S",F557="I"),-1,1)</f>
        <v>0</v>
      </c>
      <c r="AO557" s="598" t="e">
        <f>+VLOOKUP($AJ557,Data_Validation!$A:$D,1,0)</f>
        <v>#N/A</v>
      </c>
      <c r="AP557" s="598" t="e">
        <f>+VLOOKUP($AJ557,Data_Validation!$A:$D,3,0)</f>
        <v>#N/A</v>
      </c>
      <c r="AQ557" s="598" t="e">
        <f>+VLOOKUP($AJ557,Data_Validation!$A:$D,4,0)</f>
        <v>#N/A</v>
      </c>
      <c r="AR557" s="598" t="s">
        <v>299</v>
      </c>
      <c r="AS557" s="598" t="e">
        <f>+VLOOKUP($AJ557,Data_Validation!$A:$E,5,0)</f>
        <v>#N/A</v>
      </c>
      <c r="AT557" s="1036">
        <f t="shared" si="34"/>
        <v>0</v>
      </c>
      <c r="AU557" s="599">
        <f t="shared" si="34"/>
        <v>0</v>
      </c>
      <c r="AV557" s="1030">
        <f>IFERROR(INDEX(V557:AG557,1,MATCH(Parametres!$B$3,V$1:AG$1,0)-1)*IF(OR(C557="L",C557="S",C557="I"),-1,1),"")</f>
        <v>0</v>
      </c>
      <c r="AW557" s="1030">
        <f t="shared" si="35"/>
        <v>0</v>
      </c>
      <c r="AX557" s="1030">
        <f>INDEX(V557:AG557,1,MATCH(Parametres!$B$3,V$1:AG$1,0))*IF(OR(C557="L",C557="S",C557="I"),-1,1)</f>
        <v>0</v>
      </c>
      <c r="AY557" s="598" t="s">
        <v>337</v>
      </c>
      <c r="AZ557" s="598" t="e">
        <f>+VLOOKUP($AJ557,Data_Validation!$A:$E,5,0)</f>
        <v>#N/A</v>
      </c>
    </row>
    <row r="558" spans="36:52" ht="15" customHeight="1">
      <c r="AJ558" s="1030">
        <f t="shared" si="36"/>
        <v>0</v>
      </c>
      <c r="AK558" s="1030">
        <f t="shared" si="36"/>
        <v>0</v>
      </c>
      <c r="AL558" s="1030">
        <f>IFERROR(INDEX(G558:R558,1,MATCH(Parametres!$B$3,G$1:R$1,0)-1)*IF(OR(F558="L",F558="S",F558="I"),-1,1),"")</f>
        <v>0</v>
      </c>
      <c r="AM558" s="1030">
        <f t="shared" si="33"/>
        <v>0</v>
      </c>
      <c r="AN558" s="1030">
        <f>INDEX(G558:R558,1,MATCH(Parametres!$B$3,G$1:R$1,0))*IF(OR(F558="L",F558="S",F558="I"),-1,1)</f>
        <v>0</v>
      </c>
      <c r="AO558" s="598" t="e">
        <f>+VLOOKUP($AJ558,Data_Validation!$A:$D,1,0)</f>
        <v>#N/A</v>
      </c>
      <c r="AP558" s="598" t="e">
        <f>+VLOOKUP($AJ558,Data_Validation!$A:$D,3,0)</f>
        <v>#N/A</v>
      </c>
      <c r="AQ558" s="598" t="e">
        <f>+VLOOKUP($AJ558,Data_Validation!$A:$D,4,0)</f>
        <v>#N/A</v>
      </c>
      <c r="AR558" s="598" t="s">
        <v>299</v>
      </c>
      <c r="AS558" s="598" t="e">
        <f>+VLOOKUP($AJ558,Data_Validation!$A:$E,5,0)</f>
        <v>#N/A</v>
      </c>
      <c r="AT558" s="1036">
        <f t="shared" si="34"/>
        <v>0</v>
      </c>
      <c r="AU558" s="599">
        <f t="shared" si="34"/>
        <v>0</v>
      </c>
      <c r="AV558" s="1030">
        <f>IFERROR(INDEX(V558:AG558,1,MATCH(Parametres!$B$3,V$1:AG$1,0)-1)*IF(OR(C558="L",C558="S",C558="I"),-1,1),"")</f>
        <v>0</v>
      </c>
      <c r="AW558" s="1030">
        <f t="shared" si="35"/>
        <v>0</v>
      </c>
      <c r="AX558" s="1030">
        <f>INDEX(V558:AG558,1,MATCH(Parametres!$B$3,V$1:AG$1,0))*IF(OR(C558="L",C558="S",C558="I"),-1,1)</f>
        <v>0</v>
      </c>
      <c r="AY558" s="598" t="s">
        <v>337</v>
      </c>
      <c r="AZ558" s="598" t="e">
        <f>+VLOOKUP($AJ558,Data_Validation!$A:$E,5,0)</f>
        <v>#N/A</v>
      </c>
    </row>
    <row r="559" spans="36:52" ht="15" customHeight="1">
      <c r="AJ559" s="1030">
        <f t="shared" si="36"/>
        <v>0</v>
      </c>
      <c r="AK559" s="1030">
        <f t="shared" si="36"/>
        <v>0</v>
      </c>
      <c r="AL559" s="1030">
        <f>IFERROR(INDEX(G559:R559,1,MATCH(Parametres!$B$3,G$1:R$1,0)-1)*IF(OR(F559="L",F559="S",F559="I"),-1,1),"")</f>
        <v>0</v>
      </c>
      <c r="AM559" s="1030">
        <f t="shared" si="33"/>
        <v>0</v>
      </c>
      <c r="AN559" s="1030">
        <f>INDEX(G559:R559,1,MATCH(Parametres!$B$3,G$1:R$1,0))*IF(OR(F559="L",F559="S",F559="I"),-1,1)</f>
        <v>0</v>
      </c>
      <c r="AO559" s="598" t="e">
        <f>+VLOOKUP($AJ559,Data_Validation!$A:$D,1,0)</f>
        <v>#N/A</v>
      </c>
      <c r="AP559" s="598" t="e">
        <f>+VLOOKUP($AJ559,Data_Validation!$A:$D,3,0)</f>
        <v>#N/A</v>
      </c>
      <c r="AQ559" s="598" t="e">
        <f>+VLOOKUP($AJ559,Data_Validation!$A:$D,4,0)</f>
        <v>#N/A</v>
      </c>
      <c r="AR559" s="598" t="s">
        <v>299</v>
      </c>
      <c r="AS559" s="598" t="e">
        <f>+VLOOKUP($AJ559,Data_Validation!$A:$E,5,0)</f>
        <v>#N/A</v>
      </c>
      <c r="AT559" s="1036">
        <f t="shared" si="34"/>
        <v>0</v>
      </c>
      <c r="AU559" s="599">
        <f t="shared" si="34"/>
        <v>0</v>
      </c>
      <c r="AV559" s="1030">
        <f>IFERROR(INDEX(V559:AG559,1,MATCH(Parametres!$B$3,V$1:AG$1,0)-1)*IF(OR(C559="L",C559="S",C559="I"),-1,1),"")</f>
        <v>0</v>
      </c>
      <c r="AW559" s="1030">
        <f t="shared" si="35"/>
        <v>0</v>
      </c>
      <c r="AX559" s="1030">
        <f>INDEX(V559:AG559,1,MATCH(Parametres!$B$3,V$1:AG$1,0))*IF(OR(C559="L",C559="S",C559="I"),-1,1)</f>
        <v>0</v>
      </c>
      <c r="AY559" s="598" t="s">
        <v>337</v>
      </c>
      <c r="AZ559" s="598" t="e">
        <f>+VLOOKUP($AJ559,Data_Validation!$A:$E,5,0)</f>
        <v>#N/A</v>
      </c>
    </row>
    <row r="560" spans="36:52" ht="15" customHeight="1">
      <c r="AJ560" s="1030">
        <f t="shared" si="36"/>
        <v>0</v>
      </c>
      <c r="AK560" s="1030">
        <f t="shared" si="36"/>
        <v>0</v>
      </c>
      <c r="AL560" s="1030">
        <f>IFERROR(INDEX(G560:R560,1,MATCH(Parametres!$B$3,G$1:R$1,0)-1)*IF(OR(F560="L",F560="S",F560="I"),-1,1),"")</f>
        <v>0</v>
      </c>
      <c r="AM560" s="1030">
        <f t="shared" si="33"/>
        <v>0</v>
      </c>
      <c r="AN560" s="1030">
        <f>INDEX(G560:R560,1,MATCH(Parametres!$B$3,G$1:R$1,0))*IF(OR(F560="L",F560="S",F560="I"),-1,1)</f>
        <v>0</v>
      </c>
      <c r="AO560" s="598" t="e">
        <f>+VLOOKUP($AJ560,Data_Validation!$A:$D,1,0)</f>
        <v>#N/A</v>
      </c>
      <c r="AP560" s="598" t="e">
        <f>+VLOOKUP($AJ560,Data_Validation!$A:$D,3,0)</f>
        <v>#N/A</v>
      </c>
      <c r="AQ560" s="598" t="e">
        <f>+VLOOKUP($AJ560,Data_Validation!$A:$D,4,0)</f>
        <v>#N/A</v>
      </c>
      <c r="AR560" s="598" t="s">
        <v>299</v>
      </c>
      <c r="AS560" s="598" t="e">
        <f>+VLOOKUP($AJ560,Data_Validation!$A:$E,5,0)</f>
        <v>#N/A</v>
      </c>
      <c r="AT560" s="1036">
        <f t="shared" si="34"/>
        <v>0</v>
      </c>
      <c r="AU560" s="599">
        <f t="shared" si="34"/>
        <v>0</v>
      </c>
      <c r="AV560" s="1030">
        <f>IFERROR(INDEX(V560:AG560,1,MATCH(Parametres!$B$3,V$1:AG$1,0)-1)*IF(OR(C560="L",C560="S",C560="I"),-1,1),"")</f>
        <v>0</v>
      </c>
      <c r="AW560" s="1030">
        <f t="shared" si="35"/>
        <v>0</v>
      </c>
      <c r="AX560" s="1030">
        <f>INDEX(V560:AG560,1,MATCH(Parametres!$B$3,V$1:AG$1,0))*IF(OR(C560="L",C560="S",C560="I"),-1,1)</f>
        <v>0</v>
      </c>
      <c r="AY560" s="598" t="s">
        <v>337</v>
      </c>
      <c r="AZ560" s="598" t="e">
        <f>+VLOOKUP($AJ560,Data_Validation!$A:$E,5,0)</f>
        <v>#N/A</v>
      </c>
    </row>
    <row r="561" spans="36:52" ht="15" customHeight="1">
      <c r="AJ561" s="1030">
        <f t="shared" si="36"/>
        <v>0</v>
      </c>
      <c r="AK561" s="1030">
        <f t="shared" si="36"/>
        <v>0</v>
      </c>
      <c r="AL561" s="1030">
        <f>IFERROR(INDEX(G561:R561,1,MATCH(Parametres!$B$3,G$1:R$1,0)-1)*IF(OR(F561="L",F561="S",F561="I"),-1,1),"")</f>
        <v>0</v>
      </c>
      <c r="AM561" s="1030">
        <f t="shared" si="33"/>
        <v>0</v>
      </c>
      <c r="AN561" s="1030">
        <f>INDEX(G561:R561,1,MATCH(Parametres!$B$3,G$1:R$1,0))*IF(OR(F561="L",F561="S",F561="I"),-1,1)</f>
        <v>0</v>
      </c>
      <c r="AO561" s="598" t="e">
        <f>+VLOOKUP($AJ561,Data_Validation!$A:$D,1,0)</f>
        <v>#N/A</v>
      </c>
      <c r="AP561" s="598" t="e">
        <f>+VLOOKUP($AJ561,Data_Validation!$A:$D,3,0)</f>
        <v>#N/A</v>
      </c>
      <c r="AQ561" s="598" t="e">
        <f>+VLOOKUP($AJ561,Data_Validation!$A:$D,4,0)</f>
        <v>#N/A</v>
      </c>
      <c r="AR561" s="598" t="s">
        <v>299</v>
      </c>
      <c r="AS561" s="598" t="e">
        <f>+VLOOKUP($AJ561,Data_Validation!$A:$E,5,0)</f>
        <v>#N/A</v>
      </c>
      <c r="AT561" s="1036">
        <f t="shared" si="34"/>
        <v>0</v>
      </c>
      <c r="AU561" s="599">
        <f t="shared" si="34"/>
        <v>0</v>
      </c>
      <c r="AV561" s="1030">
        <f>IFERROR(INDEX(V561:AG561,1,MATCH(Parametres!$B$3,V$1:AG$1,0)-1)*IF(OR(C561="L",C561="S",C561="I"),-1,1),"")</f>
        <v>0</v>
      </c>
      <c r="AW561" s="1030">
        <f t="shared" si="35"/>
        <v>0</v>
      </c>
      <c r="AX561" s="1030">
        <f>INDEX(V561:AG561,1,MATCH(Parametres!$B$3,V$1:AG$1,0))*IF(OR(C561="L",C561="S",C561="I"),-1,1)</f>
        <v>0</v>
      </c>
      <c r="AY561" s="598" t="s">
        <v>337</v>
      </c>
      <c r="AZ561" s="598" t="e">
        <f>+VLOOKUP($AJ561,Data_Validation!$A:$E,5,0)</f>
        <v>#N/A</v>
      </c>
    </row>
    <row r="562" spans="36:52" ht="15" customHeight="1">
      <c r="AJ562" s="1030">
        <f t="shared" si="36"/>
        <v>0</v>
      </c>
      <c r="AK562" s="1030">
        <f t="shared" si="36"/>
        <v>0</v>
      </c>
      <c r="AL562" s="1030">
        <f>IFERROR(INDEX(G562:R562,1,MATCH(Parametres!$B$3,G$1:R$1,0)-1)*IF(OR(F562="L",F562="S",F562="I"),-1,1),"")</f>
        <v>0</v>
      </c>
      <c r="AM562" s="1030">
        <f t="shared" si="33"/>
        <v>0</v>
      </c>
      <c r="AN562" s="1030">
        <f>INDEX(G562:R562,1,MATCH(Parametres!$B$3,G$1:R$1,0))*IF(OR(F562="L",F562="S",F562="I"),-1,1)</f>
        <v>0</v>
      </c>
      <c r="AO562" s="598" t="e">
        <f>+VLOOKUP($AJ562,Data_Validation!$A:$D,1,0)</f>
        <v>#N/A</v>
      </c>
      <c r="AP562" s="598" t="e">
        <f>+VLOOKUP($AJ562,Data_Validation!$A:$D,3,0)</f>
        <v>#N/A</v>
      </c>
      <c r="AQ562" s="598" t="e">
        <f>+VLOOKUP($AJ562,Data_Validation!$A:$D,4,0)</f>
        <v>#N/A</v>
      </c>
      <c r="AR562" s="598" t="s">
        <v>299</v>
      </c>
      <c r="AS562" s="598" t="e">
        <f>+VLOOKUP($AJ562,Data_Validation!$A:$E,5,0)</f>
        <v>#N/A</v>
      </c>
      <c r="AT562" s="1036">
        <f t="shared" si="34"/>
        <v>0</v>
      </c>
      <c r="AU562" s="599">
        <f t="shared" si="34"/>
        <v>0</v>
      </c>
      <c r="AV562" s="1030">
        <f>IFERROR(INDEX(V562:AG562,1,MATCH(Parametres!$B$3,V$1:AG$1,0)-1)*IF(OR(C562="L",C562="S",C562="I"),-1,1),"")</f>
        <v>0</v>
      </c>
      <c r="AW562" s="1030">
        <f t="shared" si="35"/>
        <v>0</v>
      </c>
      <c r="AX562" s="1030">
        <f>INDEX(V562:AG562,1,MATCH(Parametres!$B$3,V$1:AG$1,0))*IF(OR(C562="L",C562="S",C562="I"),-1,1)</f>
        <v>0</v>
      </c>
      <c r="AY562" s="598" t="s">
        <v>337</v>
      </c>
      <c r="AZ562" s="598" t="e">
        <f>+VLOOKUP($AJ562,Data_Validation!$A:$E,5,0)</f>
        <v>#N/A</v>
      </c>
    </row>
    <row r="563" spans="36:52" ht="15" customHeight="1">
      <c r="AJ563" s="1030">
        <f t="shared" si="36"/>
        <v>0</v>
      </c>
      <c r="AK563" s="1030">
        <f t="shared" si="36"/>
        <v>0</v>
      </c>
      <c r="AL563" s="1030">
        <f>IFERROR(INDEX(G563:R563,1,MATCH(Parametres!$B$3,G$1:R$1,0)-1)*IF(OR(F563="L",F563="S",F563="I"),-1,1),"")</f>
        <v>0</v>
      </c>
      <c r="AM563" s="1030">
        <f t="shared" si="33"/>
        <v>0</v>
      </c>
      <c r="AN563" s="1030">
        <f>INDEX(G563:R563,1,MATCH(Parametres!$B$3,G$1:R$1,0))*IF(OR(F563="L",F563="S",F563="I"),-1,1)</f>
        <v>0</v>
      </c>
      <c r="AO563" s="598" t="e">
        <f>+VLOOKUP($AJ563,Data_Validation!$A:$D,1,0)</f>
        <v>#N/A</v>
      </c>
      <c r="AP563" s="598" t="e">
        <f>+VLOOKUP($AJ563,Data_Validation!$A:$D,3,0)</f>
        <v>#N/A</v>
      </c>
      <c r="AQ563" s="598" t="e">
        <f>+VLOOKUP($AJ563,Data_Validation!$A:$D,4,0)</f>
        <v>#N/A</v>
      </c>
      <c r="AR563" s="598" t="s">
        <v>299</v>
      </c>
      <c r="AS563" s="598" t="e">
        <f>+VLOOKUP($AJ563,Data_Validation!$A:$E,5,0)</f>
        <v>#N/A</v>
      </c>
      <c r="AT563" s="1036">
        <f t="shared" si="34"/>
        <v>0</v>
      </c>
      <c r="AU563" s="599">
        <f t="shared" si="34"/>
        <v>0</v>
      </c>
      <c r="AV563" s="1030">
        <f>IFERROR(INDEX(V563:AG563,1,MATCH(Parametres!$B$3,V$1:AG$1,0)-1)*IF(OR(C563="L",C563="S",C563="I"),-1,1),"")</f>
        <v>0</v>
      </c>
      <c r="AW563" s="1030">
        <f t="shared" si="35"/>
        <v>0</v>
      </c>
      <c r="AX563" s="1030">
        <f>INDEX(V563:AG563,1,MATCH(Parametres!$B$3,V$1:AG$1,0))*IF(OR(C563="L",C563="S",C563="I"),-1,1)</f>
        <v>0</v>
      </c>
      <c r="AY563" s="598" t="s">
        <v>337</v>
      </c>
      <c r="AZ563" s="598" t="e">
        <f>+VLOOKUP($AJ563,Data_Validation!$A:$E,5,0)</f>
        <v>#N/A</v>
      </c>
    </row>
    <row r="564" spans="36:52" ht="15" customHeight="1">
      <c r="AJ564" s="1030">
        <f t="shared" si="36"/>
        <v>0</v>
      </c>
      <c r="AK564" s="1030">
        <f t="shared" si="36"/>
        <v>0</v>
      </c>
      <c r="AL564" s="1030">
        <f>IFERROR(INDEX(G564:R564,1,MATCH(Parametres!$B$3,G$1:R$1,0)-1)*IF(OR(F564="L",F564="S",F564="I"),-1,1),"")</f>
        <v>0</v>
      </c>
      <c r="AM564" s="1030">
        <f t="shared" si="33"/>
        <v>0</v>
      </c>
      <c r="AN564" s="1030">
        <f>INDEX(G564:R564,1,MATCH(Parametres!$B$3,G$1:R$1,0))*IF(OR(F564="L",F564="S",F564="I"),-1,1)</f>
        <v>0</v>
      </c>
      <c r="AO564" s="598" t="e">
        <f>+VLOOKUP($AJ564,Data_Validation!$A:$D,1,0)</f>
        <v>#N/A</v>
      </c>
      <c r="AP564" s="598" t="e">
        <f>+VLOOKUP($AJ564,Data_Validation!$A:$D,3,0)</f>
        <v>#N/A</v>
      </c>
      <c r="AQ564" s="598" t="e">
        <f>+VLOOKUP($AJ564,Data_Validation!$A:$D,4,0)</f>
        <v>#N/A</v>
      </c>
      <c r="AR564" s="598" t="s">
        <v>299</v>
      </c>
      <c r="AS564" s="598" t="e">
        <f>+VLOOKUP($AJ564,Data_Validation!$A:$E,5,0)</f>
        <v>#N/A</v>
      </c>
      <c r="AT564" s="1036">
        <f t="shared" si="34"/>
        <v>0</v>
      </c>
      <c r="AU564" s="599">
        <f t="shared" si="34"/>
        <v>0</v>
      </c>
      <c r="AV564" s="1030">
        <f>IFERROR(INDEX(V564:AG564,1,MATCH(Parametres!$B$3,V$1:AG$1,0)-1)*IF(OR(C564="L",C564="S",C564="I"),-1,1),"")</f>
        <v>0</v>
      </c>
      <c r="AW564" s="1030">
        <f t="shared" si="35"/>
        <v>0</v>
      </c>
      <c r="AX564" s="1030">
        <f>INDEX(V564:AG564,1,MATCH(Parametres!$B$3,V$1:AG$1,0))*IF(OR(C564="L",C564="S",C564="I"),-1,1)</f>
        <v>0</v>
      </c>
      <c r="AY564" s="598" t="s">
        <v>337</v>
      </c>
      <c r="AZ564" s="598" t="e">
        <f>+VLOOKUP($AJ564,Data_Validation!$A:$E,5,0)</f>
        <v>#N/A</v>
      </c>
    </row>
    <row r="565" spans="36:52" ht="15" customHeight="1">
      <c r="AJ565" s="1030">
        <f t="shared" si="36"/>
        <v>0</v>
      </c>
      <c r="AK565" s="1030">
        <f t="shared" si="36"/>
        <v>0</v>
      </c>
      <c r="AL565" s="1030">
        <f>IFERROR(INDEX(G565:R565,1,MATCH(Parametres!$B$3,G$1:R$1,0)-1)*IF(OR(F565="L",F565="S",F565="I"),-1,1),"")</f>
        <v>0</v>
      </c>
      <c r="AM565" s="1030">
        <f t="shared" si="33"/>
        <v>0</v>
      </c>
      <c r="AN565" s="1030">
        <f>INDEX(G565:R565,1,MATCH(Parametres!$B$3,G$1:R$1,0))*IF(OR(F565="L",F565="S",F565="I"),-1,1)</f>
        <v>0</v>
      </c>
      <c r="AO565" s="598" t="e">
        <f>+VLOOKUP($AJ565,Data_Validation!$A:$D,1,0)</f>
        <v>#N/A</v>
      </c>
      <c r="AP565" s="598" t="e">
        <f>+VLOOKUP($AJ565,Data_Validation!$A:$D,3,0)</f>
        <v>#N/A</v>
      </c>
      <c r="AQ565" s="598" t="e">
        <f>+VLOOKUP($AJ565,Data_Validation!$A:$D,4,0)</f>
        <v>#N/A</v>
      </c>
      <c r="AR565" s="598" t="s">
        <v>299</v>
      </c>
      <c r="AS565" s="598" t="e">
        <f>+VLOOKUP($AJ565,Data_Validation!$A:$E,5,0)</f>
        <v>#N/A</v>
      </c>
      <c r="AT565" s="1036">
        <f t="shared" si="34"/>
        <v>0</v>
      </c>
      <c r="AU565" s="599">
        <f t="shared" si="34"/>
        <v>0</v>
      </c>
      <c r="AV565" s="1030">
        <f>IFERROR(INDEX(V565:AG565,1,MATCH(Parametres!$B$3,V$1:AG$1,0)-1)*IF(OR(C565="L",C565="S",C565="I"),-1,1),"")</f>
        <v>0</v>
      </c>
      <c r="AW565" s="1030">
        <f t="shared" si="35"/>
        <v>0</v>
      </c>
      <c r="AX565" s="1030">
        <f>INDEX(V565:AG565,1,MATCH(Parametres!$B$3,V$1:AG$1,0))*IF(OR(C565="L",C565="S",C565="I"),-1,1)</f>
        <v>0</v>
      </c>
      <c r="AY565" s="598" t="s">
        <v>337</v>
      </c>
      <c r="AZ565" s="598" t="e">
        <f>+VLOOKUP($AJ565,Data_Validation!$A:$E,5,0)</f>
        <v>#N/A</v>
      </c>
    </row>
    <row r="566" spans="36:52" ht="15" customHeight="1">
      <c r="AJ566" s="1030">
        <f t="shared" si="36"/>
        <v>0</v>
      </c>
      <c r="AK566" s="1030">
        <f t="shared" si="36"/>
        <v>0</v>
      </c>
      <c r="AL566" s="1030">
        <f>IFERROR(INDEX(G566:R566,1,MATCH(Parametres!$B$3,G$1:R$1,0)-1)*IF(OR(F566="L",F566="S",F566="I"),-1,1),"")</f>
        <v>0</v>
      </c>
      <c r="AM566" s="1030">
        <f t="shared" si="33"/>
        <v>0</v>
      </c>
      <c r="AN566" s="1030">
        <f>INDEX(G566:R566,1,MATCH(Parametres!$B$3,G$1:R$1,0))*IF(OR(F566="L",F566="S",F566="I"),-1,1)</f>
        <v>0</v>
      </c>
      <c r="AO566" s="598" t="e">
        <f>+VLOOKUP($AJ566,Data_Validation!$A:$D,1,0)</f>
        <v>#N/A</v>
      </c>
      <c r="AP566" s="598" t="e">
        <f>+VLOOKUP($AJ566,Data_Validation!$A:$D,3,0)</f>
        <v>#N/A</v>
      </c>
      <c r="AQ566" s="598" t="e">
        <f>+VLOOKUP($AJ566,Data_Validation!$A:$D,4,0)</f>
        <v>#N/A</v>
      </c>
      <c r="AR566" s="598" t="s">
        <v>299</v>
      </c>
      <c r="AS566" s="598" t="e">
        <f>+VLOOKUP($AJ566,Data_Validation!$A:$E,5,0)</f>
        <v>#N/A</v>
      </c>
      <c r="AT566" s="1036">
        <f t="shared" si="34"/>
        <v>0</v>
      </c>
      <c r="AU566" s="599">
        <f t="shared" si="34"/>
        <v>0</v>
      </c>
      <c r="AV566" s="1030">
        <f>IFERROR(INDEX(V566:AG566,1,MATCH(Parametres!$B$3,V$1:AG$1,0)-1)*IF(OR(C566="L",C566="S",C566="I"),-1,1),"")</f>
        <v>0</v>
      </c>
      <c r="AW566" s="1030">
        <f t="shared" si="35"/>
        <v>0</v>
      </c>
      <c r="AX566" s="1030">
        <f>INDEX(V566:AG566,1,MATCH(Parametres!$B$3,V$1:AG$1,0))*IF(OR(C566="L",C566="S",C566="I"),-1,1)</f>
        <v>0</v>
      </c>
      <c r="AY566" s="598" t="s">
        <v>337</v>
      </c>
      <c r="AZ566" s="598" t="e">
        <f>+VLOOKUP($AJ566,Data_Validation!$A:$E,5,0)</f>
        <v>#N/A</v>
      </c>
    </row>
    <row r="567" spans="36:52" ht="15" customHeight="1">
      <c r="AJ567" s="1030">
        <f t="shared" si="36"/>
        <v>0</v>
      </c>
      <c r="AK567" s="1030">
        <f t="shared" si="36"/>
        <v>0</v>
      </c>
      <c r="AL567" s="1030">
        <f>IFERROR(INDEX(G567:R567,1,MATCH(Parametres!$B$3,G$1:R$1,0)-1)*IF(OR(F567="L",F567="S",F567="I"),-1,1),"")</f>
        <v>0</v>
      </c>
      <c r="AM567" s="1030">
        <f t="shared" si="33"/>
        <v>0</v>
      </c>
      <c r="AN567" s="1030">
        <f>INDEX(G567:R567,1,MATCH(Parametres!$B$3,G$1:R$1,0))*IF(OR(F567="L",F567="S",F567="I"),-1,1)</f>
        <v>0</v>
      </c>
      <c r="AO567" s="598" t="e">
        <f>+VLOOKUP($AJ567,Data_Validation!$A:$D,1,0)</f>
        <v>#N/A</v>
      </c>
      <c r="AP567" s="598" t="e">
        <f>+VLOOKUP($AJ567,Data_Validation!$A:$D,3,0)</f>
        <v>#N/A</v>
      </c>
      <c r="AQ567" s="598" t="e">
        <f>+VLOOKUP($AJ567,Data_Validation!$A:$D,4,0)</f>
        <v>#N/A</v>
      </c>
      <c r="AR567" s="598" t="s">
        <v>299</v>
      </c>
      <c r="AS567" s="598" t="e">
        <f>+VLOOKUP($AJ567,Data_Validation!$A:$E,5,0)</f>
        <v>#N/A</v>
      </c>
      <c r="AT567" s="1036">
        <f t="shared" si="34"/>
        <v>0</v>
      </c>
      <c r="AU567" s="599">
        <f t="shared" si="34"/>
        <v>0</v>
      </c>
      <c r="AV567" s="1030">
        <f>IFERROR(INDEX(V567:AG567,1,MATCH(Parametres!$B$3,V$1:AG$1,0)-1)*IF(OR(C567="L",C567="S",C567="I"),-1,1),"")</f>
        <v>0</v>
      </c>
      <c r="AW567" s="1030">
        <f t="shared" si="35"/>
        <v>0</v>
      </c>
      <c r="AX567" s="1030">
        <f>INDEX(V567:AG567,1,MATCH(Parametres!$B$3,V$1:AG$1,0))*IF(OR(C567="L",C567="S",C567="I"),-1,1)</f>
        <v>0</v>
      </c>
      <c r="AY567" s="598" t="s">
        <v>337</v>
      </c>
      <c r="AZ567" s="598" t="e">
        <f>+VLOOKUP($AJ567,Data_Validation!$A:$E,5,0)</f>
        <v>#N/A</v>
      </c>
    </row>
    <row r="568" spans="36:52" ht="15" customHeight="1">
      <c r="AJ568" s="1030">
        <f t="shared" si="36"/>
        <v>0</v>
      </c>
      <c r="AK568" s="1030">
        <f t="shared" si="36"/>
        <v>0</v>
      </c>
      <c r="AL568" s="1030">
        <f>IFERROR(INDEX(G568:R568,1,MATCH(Parametres!$B$3,G$1:R$1,0)-1)*IF(OR(F568="L",F568="S",F568="I"),-1,1),"")</f>
        <v>0</v>
      </c>
      <c r="AM568" s="1030">
        <f t="shared" si="33"/>
        <v>0</v>
      </c>
      <c r="AN568" s="1030">
        <f>INDEX(G568:R568,1,MATCH(Parametres!$B$3,G$1:R$1,0))*IF(OR(F568="L",F568="S",F568="I"),-1,1)</f>
        <v>0</v>
      </c>
      <c r="AO568" s="598" t="e">
        <f>+VLOOKUP($AJ568,Data_Validation!$A:$D,1,0)</f>
        <v>#N/A</v>
      </c>
      <c r="AP568" s="598" t="e">
        <f>+VLOOKUP($AJ568,Data_Validation!$A:$D,3,0)</f>
        <v>#N/A</v>
      </c>
      <c r="AQ568" s="598" t="e">
        <f>+VLOOKUP($AJ568,Data_Validation!$A:$D,4,0)</f>
        <v>#N/A</v>
      </c>
      <c r="AR568" s="598" t="s">
        <v>299</v>
      </c>
      <c r="AS568" s="598" t="e">
        <f>+VLOOKUP($AJ568,Data_Validation!$A:$E,5,0)</f>
        <v>#N/A</v>
      </c>
      <c r="AT568" s="1036">
        <f t="shared" si="34"/>
        <v>0</v>
      </c>
      <c r="AU568" s="599">
        <f t="shared" si="34"/>
        <v>0</v>
      </c>
      <c r="AV568" s="1030">
        <f>IFERROR(INDEX(V568:AG568,1,MATCH(Parametres!$B$3,V$1:AG$1,0)-1)*IF(OR(C568="L",C568="S",C568="I"),-1,1),"")</f>
        <v>0</v>
      </c>
      <c r="AW568" s="1030">
        <f t="shared" si="35"/>
        <v>0</v>
      </c>
      <c r="AX568" s="1030">
        <f>INDEX(V568:AG568,1,MATCH(Parametres!$B$3,V$1:AG$1,0))*IF(OR(C568="L",C568="S",C568="I"),-1,1)</f>
        <v>0</v>
      </c>
      <c r="AY568" s="598" t="s">
        <v>337</v>
      </c>
      <c r="AZ568" s="598" t="e">
        <f>+VLOOKUP($AJ568,Data_Validation!$A:$E,5,0)</f>
        <v>#N/A</v>
      </c>
    </row>
    <row r="569" spans="36:52" ht="15" customHeight="1">
      <c r="AJ569" s="1030">
        <f t="shared" si="36"/>
        <v>0</v>
      </c>
      <c r="AK569" s="1030">
        <f t="shared" si="36"/>
        <v>0</v>
      </c>
      <c r="AL569" s="1030">
        <f>IFERROR(INDEX(G569:R569,1,MATCH(Parametres!$B$3,G$1:R$1,0)-1)*IF(OR(F569="L",F569="S",F569="I"),-1,1),"")</f>
        <v>0</v>
      </c>
      <c r="AM569" s="1030">
        <f t="shared" si="33"/>
        <v>0</v>
      </c>
      <c r="AN569" s="1030">
        <f>INDEX(G569:R569,1,MATCH(Parametres!$B$3,G$1:R$1,0))*IF(OR(F569="L",F569="S",F569="I"),-1,1)</f>
        <v>0</v>
      </c>
      <c r="AO569" s="598" t="e">
        <f>+VLOOKUP($AJ569,Data_Validation!$A:$D,1,0)</f>
        <v>#N/A</v>
      </c>
      <c r="AP569" s="598" t="e">
        <f>+VLOOKUP($AJ569,Data_Validation!$A:$D,3,0)</f>
        <v>#N/A</v>
      </c>
      <c r="AQ569" s="598" t="e">
        <f>+VLOOKUP($AJ569,Data_Validation!$A:$D,4,0)</f>
        <v>#N/A</v>
      </c>
      <c r="AR569" s="598" t="s">
        <v>299</v>
      </c>
      <c r="AS569" s="598" t="e">
        <f>+VLOOKUP($AJ569,Data_Validation!$A:$E,5,0)</f>
        <v>#N/A</v>
      </c>
      <c r="AT569" s="1036">
        <f t="shared" si="34"/>
        <v>0</v>
      </c>
      <c r="AU569" s="599">
        <f t="shared" si="34"/>
        <v>0</v>
      </c>
      <c r="AV569" s="1030">
        <f>IFERROR(INDEX(V569:AG569,1,MATCH(Parametres!$B$3,V$1:AG$1,0)-1)*IF(OR(C569="L",C569="S",C569="I"),-1,1),"")</f>
        <v>0</v>
      </c>
      <c r="AW569" s="1030">
        <f t="shared" si="35"/>
        <v>0</v>
      </c>
      <c r="AX569" s="1030">
        <f>INDEX(V569:AG569,1,MATCH(Parametres!$B$3,V$1:AG$1,0))*IF(OR(C569="L",C569="S",C569="I"),-1,1)</f>
        <v>0</v>
      </c>
      <c r="AY569" s="598" t="s">
        <v>337</v>
      </c>
      <c r="AZ569" s="598" t="e">
        <f>+VLOOKUP($AJ569,Data_Validation!$A:$E,5,0)</f>
        <v>#N/A</v>
      </c>
    </row>
    <row r="570" spans="36:52" ht="15" customHeight="1">
      <c r="AJ570" s="1030">
        <f t="shared" si="36"/>
        <v>0</v>
      </c>
      <c r="AK570" s="1030">
        <f t="shared" si="36"/>
        <v>0</v>
      </c>
      <c r="AL570" s="1030">
        <f>IFERROR(INDEX(G570:R570,1,MATCH(Parametres!$B$3,G$1:R$1,0)-1)*IF(OR(F570="L",F570="S",F570="I"),-1,1),"")</f>
        <v>0</v>
      </c>
      <c r="AM570" s="1030">
        <f t="shared" si="33"/>
        <v>0</v>
      </c>
      <c r="AN570" s="1030">
        <f>INDEX(G570:R570,1,MATCH(Parametres!$B$3,G$1:R$1,0))*IF(OR(F570="L",F570="S",F570="I"),-1,1)</f>
        <v>0</v>
      </c>
      <c r="AO570" s="598" t="e">
        <f>+VLOOKUP($AJ570,Data_Validation!$A:$D,1,0)</f>
        <v>#N/A</v>
      </c>
      <c r="AP570" s="598" t="e">
        <f>+VLOOKUP($AJ570,Data_Validation!$A:$D,3,0)</f>
        <v>#N/A</v>
      </c>
      <c r="AQ570" s="598" t="e">
        <f>+VLOOKUP($AJ570,Data_Validation!$A:$D,4,0)</f>
        <v>#N/A</v>
      </c>
      <c r="AR570" s="598" t="s">
        <v>299</v>
      </c>
      <c r="AS570" s="598" t="e">
        <f>+VLOOKUP($AJ570,Data_Validation!$A:$E,5,0)</f>
        <v>#N/A</v>
      </c>
      <c r="AT570" s="1036">
        <f t="shared" si="34"/>
        <v>0</v>
      </c>
      <c r="AU570" s="599">
        <f t="shared" si="34"/>
        <v>0</v>
      </c>
      <c r="AV570" s="1030">
        <f>IFERROR(INDEX(V570:AG570,1,MATCH(Parametres!$B$3,V$1:AG$1,0)-1)*IF(OR(C570="L",C570="S",C570="I"),-1,1),"")</f>
        <v>0</v>
      </c>
      <c r="AW570" s="1030">
        <f t="shared" si="35"/>
        <v>0</v>
      </c>
      <c r="AX570" s="1030">
        <f>INDEX(V570:AG570,1,MATCH(Parametres!$B$3,V$1:AG$1,0))*IF(OR(C570="L",C570="S",C570="I"),-1,1)</f>
        <v>0</v>
      </c>
      <c r="AY570" s="598" t="s">
        <v>337</v>
      </c>
      <c r="AZ570" s="598" t="e">
        <f>+VLOOKUP($AJ570,Data_Validation!$A:$E,5,0)</f>
        <v>#N/A</v>
      </c>
    </row>
    <row r="571" spans="36:52" ht="15" customHeight="1">
      <c r="AJ571" s="1030">
        <f t="shared" si="36"/>
        <v>0</v>
      </c>
      <c r="AK571" s="1030">
        <f t="shared" si="36"/>
        <v>0</v>
      </c>
      <c r="AL571" s="1030">
        <f>IFERROR(INDEX(G571:R571,1,MATCH(Parametres!$B$3,G$1:R$1,0)-1)*IF(OR(F571="L",F571="S",F571="I"),-1,1),"")</f>
        <v>0</v>
      </c>
      <c r="AM571" s="1030">
        <f t="shared" si="33"/>
        <v>0</v>
      </c>
      <c r="AN571" s="1030">
        <f>INDEX(G571:R571,1,MATCH(Parametres!$B$3,G$1:R$1,0))*IF(OR(F571="L",F571="S",F571="I"),-1,1)</f>
        <v>0</v>
      </c>
      <c r="AO571" s="598" t="e">
        <f>+VLOOKUP($AJ571,Data_Validation!$A:$D,1,0)</f>
        <v>#N/A</v>
      </c>
      <c r="AP571" s="598" t="e">
        <f>+VLOOKUP($AJ571,Data_Validation!$A:$D,3,0)</f>
        <v>#N/A</v>
      </c>
      <c r="AQ571" s="598" t="e">
        <f>+VLOOKUP($AJ571,Data_Validation!$A:$D,4,0)</f>
        <v>#N/A</v>
      </c>
      <c r="AR571" s="598" t="s">
        <v>299</v>
      </c>
      <c r="AS571" s="598" t="e">
        <f>+VLOOKUP($AJ571,Data_Validation!$A:$E,5,0)</f>
        <v>#N/A</v>
      </c>
      <c r="AT571" s="1036">
        <f t="shared" si="34"/>
        <v>0</v>
      </c>
      <c r="AU571" s="599">
        <f t="shared" si="34"/>
        <v>0</v>
      </c>
      <c r="AV571" s="1030">
        <f>IFERROR(INDEX(V571:AG571,1,MATCH(Parametres!$B$3,V$1:AG$1,0)-1)*IF(OR(C571="L",C571="S",C571="I"),-1,1),"")</f>
        <v>0</v>
      </c>
      <c r="AW571" s="1030">
        <f t="shared" si="35"/>
        <v>0</v>
      </c>
      <c r="AX571" s="1030">
        <f>INDEX(V571:AG571,1,MATCH(Parametres!$B$3,V$1:AG$1,0))*IF(OR(C571="L",C571="S",C571="I"),-1,1)</f>
        <v>0</v>
      </c>
      <c r="AY571" s="598" t="s">
        <v>337</v>
      </c>
      <c r="AZ571" s="598" t="e">
        <f>+VLOOKUP($AJ571,Data_Validation!$A:$E,5,0)</f>
        <v>#N/A</v>
      </c>
    </row>
    <row r="572" spans="36:52" ht="15" customHeight="1">
      <c r="AJ572" s="1030">
        <f t="shared" si="36"/>
        <v>0</v>
      </c>
      <c r="AK572" s="1030">
        <f t="shared" si="36"/>
        <v>0</v>
      </c>
      <c r="AL572" s="1030">
        <f>IFERROR(INDEX(G572:R572,1,MATCH(Parametres!$B$3,G$1:R$1,0)-1)*IF(OR(F572="L",F572="S",F572="I"),-1,1),"")</f>
        <v>0</v>
      </c>
      <c r="AM572" s="1030">
        <f t="shared" si="33"/>
        <v>0</v>
      </c>
      <c r="AN572" s="1030">
        <f>INDEX(G572:R572,1,MATCH(Parametres!$B$3,G$1:R$1,0))*IF(OR(F572="L",F572="S",F572="I"),-1,1)</f>
        <v>0</v>
      </c>
      <c r="AO572" s="598" t="e">
        <f>+VLOOKUP($AJ572,Data_Validation!$A:$D,1,0)</f>
        <v>#N/A</v>
      </c>
      <c r="AP572" s="598" t="e">
        <f>+VLOOKUP($AJ572,Data_Validation!$A:$D,3,0)</f>
        <v>#N/A</v>
      </c>
      <c r="AQ572" s="598" t="e">
        <f>+VLOOKUP($AJ572,Data_Validation!$A:$D,4,0)</f>
        <v>#N/A</v>
      </c>
      <c r="AR572" s="598" t="s">
        <v>299</v>
      </c>
      <c r="AS572" s="598" t="e">
        <f>+VLOOKUP($AJ572,Data_Validation!$A:$E,5,0)</f>
        <v>#N/A</v>
      </c>
      <c r="AT572" s="1036">
        <f t="shared" si="34"/>
        <v>0</v>
      </c>
      <c r="AU572" s="599">
        <f t="shared" si="34"/>
        <v>0</v>
      </c>
      <c r="AV572" s="1030">
        <f>IFERROR(INDEX(V572:AG572,1,MATCH(Parametres!$B$3,V$1:AG$1,0)-1)*IF(OR(C572="L",C572="S",C572="I"),-1,1),"")</f>
        <v>0</v>
      </c>
      <c r="AW572" s="1030">
        <f t="shared" si="35"/>
        <v>0</v>
      </c>
      <c r="AX572" s="1030">
        <f>INDEX(V572:AG572,1,MATCH(Parametres!$B$3,V$1:AG$1,0))*IF(OR(C572="L",C572="S",C572="I"),-1,1)</f>
        <v>0</v>
      </c>
      <c r="AY572" s="598" t="s">
        <v>337</v>
      </c>
      <c r="AZ572" s="598" t="e">
        <f>+VLOOKUP($AJ572,Data_Validation!$A:$E,5,0)</f>
        <v>#N/A</v>
      </c>
    </row>
    <row r="573" spans="36:52" ht="15" customHeight="1">
      <c r="AJ573" s="1030">
        <f t="shared" si="36"/>
        <v>0</v>
      </c>
      <c r="AK573" s="1030">
        <f t="shared" si="36"/>
        <v>0</v>
      </c>
      <c r="AL573" s="1030">
        <f>IFERROR(INDEX(G573:R573,1,MATCH(Parametres!$B$3,G$1:R$1,0)-1)*IF(OR(F573="L",F573="S",F573="I"),-1,1),"")</f>
        <v>0</v>
      </c>
      <c r="AM573" s="1030">
        <f t="shared" si="33"/>
        <v>0</v>
      </c>
      <c r="AN573" s="1030">
        <f>INDEX(G573:R573,1,MATCH(Parametres!$B$3,G$1:R$1,0))*IF(OR(F573="L",F573="S",F573="I"),-1,1)</f>
        <v>0</v>
      </c>
      <c r="AO573" s="598" t="e">
        <f>+VLOOKUP($AJ573,Data_Validation!$A:$D,1,0)</f>
        <v>#N/A</v>
      </c>
      <c r="AP573" s="598" t="e">
        <f>+VLOOKUP($AJ573,Data_Validation!$A:$D,3,0)</f>
        <v>#N/A</v>
      </c>
      <c r="AQ573" s="598" t="e">
        <f>+VLOOKUP($AJ573,Data_Validation!$A:$D,4,0)</f>
        <v>#N/A</v>
      </c>
      <c r="AR573" s="598" t="s">
        <v>299</v>
      </c>
      <c r="AS573" s="598" t="e">
        <f>+VLOOKUP($AJ573,Data_Validation!$A:$E,5,0)</f>
        <v>#N/A</v>
      </c>
      <c r="AT573" s="1036">
        <f t="shared" si="34"/>
        <v>0</v>
      </c>
      <c r="AU573" s="599">
        <f t="shared" si="34"/>
        <v>0</v>
      </c>
      <c r="AV573" s="1030">
        <f>IFERROR(INDEX(V573:AG573,1,MATCH(Parametres!$B$3,V$1:AG$1,0)-1)*IF(OR(C573="L",C573="S",C573="I"),-1,1),"")</f>
        <v>0</v>
      </c>
      <c r="AW573" s="1030">
        <f t="shared" si="35"/>
        <v>0</v>
      </c>
      <c r="AX573" s="1030">
        <f>INDEX(V573:AG573,1,MATCH(Parametres!$B$3,V$1:AG$1,0))*IF(OR(C573="L",C573="S",C573="I"),-1,1)</f>
        <v>0</v>
      </c>
      <c r="AY573" s="598" t="s">
        <v>337</v>
      </c>
      <c r="AZ573" s="598" t="e">
        <f>+VLOOKUP($AJ573,Data_Validation!$A:$E,5,0)</f>
        <v>#N/A</v>
      </c>
    </row>
    <row r="574" spans="36:52" ht="15" customHeight="1">
      <c r="AJ574" s="1030">
        <f t="shared" si="36"/>
        <v>0</v>
      </c>
      <c r="AK574" s="1030">
        <f t="shared" si="36"/>
        <v>0</v>
      </c>
      <c r="AL574" s="1030">
        <f>IFERROR(INDEX(G574:R574,1,MATCH(Parametres!$B$3,G$1:R$1,0)-1)*IF(OR(F574="L",F574="S",F574="I"),-1,1),"")</f>
        <v>0</v>
      </c>
      <c r="AM574" s="1030">
        <f t="shared" si="33"/>
        <v>0</v>
      </c>
      <c r="AN574" s="1030">
        <f>INDEX(G574:R574,1,MATCH(Parametres!$B$3,G$1:R$1,0))*IF(OR(F574="L",F574="S",F574="I"),-1,1)</f>
        <v>0</v>
      </c>
      <c r="AO574" s="598" t="e">
        <f>+VLOOKUP($AJ574,Data_Validation!$A:$D,1,0)</f>
        <v>#N/A</v>
      </c>
      <c r="AP574" s="598" t="e">
        <f>+VLOOKUP($AJ574,Data_Validation!$A:$D,3,0)</f>
        <v>#N/A</v>
      </c>
      <c r="AQ574" s="598" t="e">
        <f>+VLOOKUP($AJ574,Data_Validation!$A:$D,4,0)</f>
        <v>#N/A</v>
      </c>
      <c r="AR574" s="598" t="s">
        <v>299</v>
      </c>
      <c r="AS574" s="598" t="e">
        <f>+VLOOKUP($AJ574,Data_Validation!$A:$E,5,0)</f>
        <v>#N/A</v>
      </c>
      <c r="AT574" s="1036">
        <f t="shared" si="34"/>
        <v>0</v>
      </c>
      <c r="AU574" s="599">
        <f t="shared" si="34"/>
        <v>0</v>
      </c>
      <c r="AV574" s="1030">
        <f>IFERROR(INDEX(V574:AG574,1,MATCH(Parametres!$B$3,V$1:AG$1,0)-1)*IF(OR(C574="L",C574="S",C574="I"),-1,1),"")</f>
        <v>0</v>
      </c>
      <c r="AW574" s="1030">
        <f t="shared" si="35"/>
        <v>0</v>
      </c>
      <c r="AX574" s="1030">
        <f>INDEX(V574:AG574,1,MATCH(Parametres!$B$3,V$1:AG$1,0))*IF(OR(C574="L",C574="S",C574="I"),-1,1)</f>
        <v>0</v>
      </c>
      <c r="AY574" s="598" t="s">
        <v>337</v>
      </c>
      <c r="AZ574" s="598" t="e">
        <f>+VLOOKUP($AJ574,Data_Validation!$A:$E,5,0)</f>
        <v>#N/A</v>
      </c>
    </row>
    <row r="575" spans="36:52" ht="15" customHeight="1">
      <c r="AJ575" s="1030">
        <f t="shared" si="36"/>
        <v>0</v>
      </c>
      <c r="AK575" s="1030">
        <f t="shared" si="36"/>
        <v>0</v>
      </c>
      <c r="AL575" s="1030">
        <f>IFERROR(INDEX(G575:R575,1,MATCH(Parametres!$B$3,G$1:R$1,0)-1)*IF(OR(F575="L",F575="S",F575="I"),-1,1),"")</f>
        <v>0</v>
      </c>
      <c r="AM575" s="1030">
        <f t="shared" si="33"/>
        <v>0</v>
      </c>
      <c r="AN575" s="1030">
        <f>INDEX(G575:R575,1,MATCH(Parametres!$B$3,G$1:R$1,0))*IF(OR(F575="L",F575="S",F575="I"),-1,1)</f>
        <v>0</v>
      </c>
      <c r="AO575" s="598" t="e">
        <f>+VLOOKUP($AJ575,Data_Validation!$A:$D,1,0)</f>
        <v>#N/A</v>
      </c>
      <c r="AP575" s="598" t="e">
        <f>+VLOOKUP($AJ575,Data_Validation!$A:$D,3,0)</f>
        <v>#N/A</v>
      </c>
      <c r="AQ575" s="598" t="e">
        <f>+VLOOKUP($AJ575,Data_Validation!$A:$D,4,0)</f>
        <v>#N/A</v>
      </c>
      <c r="AR575" s="598" t="s">
        <v>299</v>
      </c>
      <c r="AS575" s="598" t="e">
        <f>+VLOOKUP($AJ575,Data_Validation!$A:$E,5,0)</f>
        <v>#N/A</v>
      </c>
      <c r="AT575" s="1036">
        <f t="shared" si="34"/>
        <v>0</v>
      </c>
      <c r="AU575" s="599">
        <f t="shared" si="34"/>
        <v>0</v>
      </c>
      <c r="AV575" s="1030">
        <f>IFERROR(INDEX(V575:AG575,1,MATCH(Parametres!$B$3,V$1:AG$1,0)-1)*IF(OR(C575="L",C575="S",C575="I"),-1,1),"")</f>
        <v>0</v>
      </c>
      <c r="AW575" s="1030">
        <f t="shared" si="35"/>
        <v>0</v>
      </c>
      <c r="AX575" s="1030">
        <f>INDEX(V575:AG575,1,MATCH(Parametres!$B$3,V$1:AG$1,0))*IF(OR(C575="L",C575="S",C575="I"),-1,1)</f>
        <v>0</v>
      </c>
      <c r="AY575" s="598" t="s">
        <v>337</v>
      </c>
      <c r="AZ575" s="598" t="e">
        <f>+VLOOKUP($AJ575,Data_Validation!$A:$E,5,0)</f>
        <v>#N/A</v>
      </c>
    </row>
    <row r="576" spans="36:52" ht="15" customHeight="1">
      <c r="AJ576" s="1030">
        <f t="shared" si="36"/>
        <v>0</v>
      </c>
      <c r="AK576" s="1030">
        <f t="shared" si="36"/>
        <v>0</v>
      </c>
      <c r="AL576" s="1030">
        <f>IFERROR(INDEX(G576:R576,1,MATCH(Parametres!$B$3,G$1:R$1,0)-1)*IF(OR(F576="L",F576="S",F576="I"),-1,1),"")</f>
        <v>0</v>
      </c>
      <c r="AM576" s="1030">
        <f t="shared" si="33"/>
        <v>0</v>
      </c>
      <c r="AN576" s="1030">
        <f>INDEX(G576:R576,1,MATCH(Parametres!$B$3,G$1:R$1,0))*IF(OR(F576="L",F576="S",F576="I"),-1,1)</f>
        <v>0</v>
      </c>
      <c r="AO576" s="598" t="e">
        <f>+VLOOKUP($AJ576,Data_Validation!$A:$D,1,0)</f>
        <v>#N/A</v>
      </c>
      <c r="AP576" s="598" t="e">
        <f>+VLOOKUP($AJ576,Data_Validation!$A:$D,3,0)</f>
        <v>#N/A</v>
      </c>
      <c r="AQ576" s="598" t="e">
        <f>+VLOOKUP($AJ576,Data_Validation!$A:$D,4,0)</f>
        <v>#N/A</v>
      </c>
      <c r="AR576" s="598" t="s">
        <v>299</v>
      </c>
      <c r="AS576" s="598" t="e">
        <f>+VLOOKUP($AJ576,Data_Validation!$A:$E,5,0)</f>
        <v>#N/A</v>
      </c>
      <c r="AT576" s="1036">
        <f t="shared" si="34"/>
        <v>0</v>
      </c>
      <c r="AU576" s="599">
        <f t="shared" si="34"/>
        <v>0</v>
      </c>
      <c r="AV576" s="1030">
        <f>IFERROR(INDEX(V576:AG576,1,MATCH(Parametres!$B$3,V$1:AG$1,0)-1)*IF(OR(C576="L",C576="S",C576="I"),-1,1),"")</f>
        <v>0</v>
      </c>
      <c r="AW576" s="1030">
        <f t="shared" si="35"/>
        <v>0</v>
      </c>
      <c r="AX576" s="1030">
        <f>INDEX(V576:AG576,1,MATCH(Parametres!$B$3,V$1:AG$1,0))*IF(OR(C576="L",C576="S",C576="I"),-1,1)</f>
        <v>0</v>
      </c>
      <c r="AY576" s="598" t="s">
        <v>337</v>
      </c>
      <c r="AZ576" s="598" t="e">
        <f>+VLOOKUP($AJ576,Data_Validation!$A:$E,5,0)</f>
        <v>#N/A</v>
      </c>
    </row>
    <row r="577" spans="36:52" ht="15" customHeight="1">
      <c r="AJ577" s="1030">
        <f t="shared" si="36"/>
        <v>0</v>
      </c>
      <c r="AK577" s="1030">
        <f t="shared" si="36"/>
        <v>0</v>
      </c>
      <c r="AL577" s="1030">
        <f>IFERROR(INDEX(G577:R577,1,MATCH(Parametres!$B$3,G$1:R$1,0)-1)*IF(OR(F577="L",F577="S",F577="I"),-1,1),"")</f>
        <v>0</v>
      </c>
      <c r="AM577" s="1030">
        <f t="shared" si="33"/>
        <v>0</v>
      </c>
      <c r="AN577" s="1030">
        <f>INDEX(G577:R577,1,MATCH(Parametres!$B$3,G$1:R$1,0))*IF(OR(F577="L",F577="S",F577="I"),-1,1)</f>
        <v>0</v>
      </c>
      <c r="AO577" s="598" t="e">
        <f>+VLOOKUP($AJ577,Data_Validation!$A:$D,1,0)</f>
        <v>#N/A</v>
      </c>
      <c r="AP577" s="598" t="e">
        <f>+VLOOKUP($AJ577,Data_Validation!$A:$D,3,0)</f>
        <v>#N/A</v>
      </c>
      <c r="AQ577" s="598" t="e">
        <f>+VLOOKUP($AJ577,Data_Validation!$A:$D,4,0)</f>
        <v>#N/A</v>
      </c>
      <c r="AR577" s="598" t="s">
        <v>299</v>
      </c>
      <c r="AS577" s="598" t="e">
        <f>+VLOOKUP($AJ577,Data_Validation!$A:$E,5,0)</f>
        <v>#N/A</v>
      </c>
      <c r="AT577" s="1036">
        <f t="shared" si="34"/>
        <v>0</v>
      </c>
      <c r="AU577" s="599">
        <f t="shared" si="34"/>
        <v>0</v>
      </c>
      <c r="AV577" s="1030">
        <f>IFERROR(INDEX(V577:AG577,1,MATCH(Parametres!$B$3,V$1:AG$1,0)-1)*IF(OR(C577="L",C577="S",C577="I"),-1,1),"")</f>
        <v>0</v>
      </c>
      <c r="AW577" s="1030">
        <f t="shared" si="35"/>
        <v>0</v>
      </c>
      <c r="AX577" s="1030">
        <f>INDEX(V577:AG577,1,MATCH(Parametres!$B$3,V$1:AG$1,0))*IF(OR(C577="L",C577="S",C577="I"),-1,1)</f>
        <v>0</v>
      </c>
      <c r="AY577" s="598" t="s">
        <v>337</v>
      </c>
      <c r="AZ577" s="598" t="e">
        <f>+VLOOKUP($AJ577,Data_Validation!$A:$E,5,0)</f>
        <v>#N/A</v>
      </c>
    </row>
    <row r="578" spans="36:52" ht="15" customHeight="1">
      <c r="AJ578" s="1030">
        <f t="shared" si="36"/>
        <v>0</v>
      </c>
      <c r="AK578" s="1030">
        <f t="shared" si="36"/>
        <v>0</v>
      </c>
      <c r="AL578" s="1030">
        <f>IFERROR(INDEX(G578:R578,1,MATCH(Parametres!$B$3,G$1:R$1,0)-1)*IF(OR(F578="L",F578="S",F578="I"),-1,1),"")</f>
        <v>0</v>
      </c>
      <c r="AM578" s="1030">
        <f t="shared" si="33"/>
        <v>0</v>
      </c>
      <c r="AN578" s="1030">
        <f>INDEX(G578:R578,1,MATCH(Parametres!$B$3,G$1:R$1,0))*IF(OR(F578="L",F578="S",F578="I"),-1,1)</f>
        <v>0</v>
      </c>
      <c r="AO578" s="598" t="e">
        <f>+VLOOKUP($AJ578,Data_Validation!$A:$D,1,0)</f>
        <v>#N/A</v>
      </c>
      <c r="AP578" s="598" t="e">
        <f>+VLOOKUP($AJ578,Data_Validation!$A:$D,3,0)</f>
        <v>#N/A</v>
      </c>
      <c r="AQ578" s="598" t="e">
        <f>+VLOOKUP($AJ578,Data_Validation!$A:$D,4,0)</f>
        <v>#N/A</v>
      </c>
      <c r="AR578" s="598" t="s">
        <v>299</v>
      </c>
      <c r="AS578" s="598" t="e">
        <f>+VLOOKUP($AJ578,Data_Validation!$A:$E,5,0)</f>
        <v>#N/A</v>
      </c>
      <c r="AT578" s="1036">
        <f t="shared" si="34"/>
        <v>0</v>
      </c>
      <c r="AU578" s="599">
        <f t="shared" si="34"/>
        <v>0</v>
      </c>
      <c r="AV578" s="1030">
        <f>IFERROR(INDEX(V578:AG578,1,MATCH(Parametres!$B$3,V$1:AG$1,0)-1)*IF(OR(C578="L",C578="S",C578="I"),-1,1),"")</f>
        <v>0</v>
      </c>
      <c r="AW578" s="1030">
        <f t="shared" si="35"/>
        <v>0</v>
      </c>
      <c r="AX578" s="1030">
        <f>INDEX(V578:AG578,1,MATCH(Parametres!$B$3,V$1:AG$1,0))*IF(OR(C578="L",C578="S",C578="I"),-1,1)</f>
        <v>0</v>
      </c>
      <c r="AY578" s="598" t="s">
        <v>337</v>
      </c>
      <c r="AZ578" s="598" t="e">
        <f>+VLOOKUP($AJ578,Data_Validation!$A:$E,5,0)</f>
        <v>#N/A</v>
      </c>
    </row>
    <row r="579" spans="36:52" ht="15" customHeight="1">
      <c r="AJ579" s="1030">
        <f t="shared" si="36"/>
        <v>0</v>
      </c>
      <c r="AK579" s="1030">
        <f t="shared" si="36"/>
        <v>0</v>
      </c>
      <c r="AL579" s="1030">
        <f>IFERROR(INDEX(G579:R579,1,MATCH(Parametres!$B$3,G$1:R$1,0)-1)*IF(OR(F579="L",F579="S",F579="I"),-1,1),"")</f>
        <v>0</v>
      </c>
      <c r="AM579" s="1030">
        <f t="shared" si="33"/>
        <v>0</v>
      </c>
      <c r="AN579" s="1030">
        <f>INDEX(G579:R579,1,MATCH(Parametres!$B$3,G$1:R$1,0))*IF(OR(F579="L",F579="S",F579="I"),-1,1)</f>
        <v>0</v>
      </c>
      <c r="AO579" s="598" t="e">
        <f>+VLOOKUP($AJ579,Data_Validation!$A:$D,1,0)</f>
        <v>#N/A</v>
      </c>
      <c r="AP579" s="598" t="e">
        <f>+VLOOKUP($AJ579,Data_Validation!$A:$D,3,0)</f>
        <v>#N/A</v>
      </c>
      <c r="AQ579" s="598" t="e">
        <f>+VLOOKUP($AJ579,Data_Validation!$A:$D,4,0)</f>
        <v>#N/A</v>
      </c>
      <c r="AR579" s="598" t="s">
        <v>299</v>
      </c>
      <c r="AS579" s="598" t="e">
        <f>+VLOOKUP($AJ579,Data_Validation!$A:$E,5,0)</f>
        <v>#N/A</v>
      </c>
      <c r="AT579" s="1036">
        <f t="shared" si="34"/>
        <v>0</v>
      </c>
      <c r="AU579" s="599">
        <f t="shared" si="34"/>
        <v>0</v>
      </c>
      <c r="AV579" s="1030">
        <f>IFERROR(INDEX(V579:AG579,1,MATCH(Parametres!$B$3,V$1:AG$1,0)-1)*IF(OR(C579="L",C579="S",C579="I"),-1,1),"")</f>
        <v>0</v>
      </c>
      <c r="AW579" s="1030">
        <f t="shared" si="35"/>
        <v>0</v>
      </c>
      <c r="AX579" s="1030">
        <f>INDEX(V579:AG579,1,MATCH(Parametres!$B$3,V$1:AG$1,0))*IF(OR(C579="L",C579="S",C579="I"),-1,1)</f>
        <v>0</v>
      </c>
      <c r="AY579" s="598" t="s">
        <v>337</v>
      </c>
      <c r="AZ579" s="598" t="e">
        <f>+VLOOKUP($AJ579,Data_Validation!$A:$E,5,0)</f>
        <v>#N/A</v>
      </c>
    </row>
    <row r="580" spans="36:52" ht="15" customHeight="1">
      <c r="AJ580" s="1030">
        <f t="shared" si="36"/>
        <v>0</v>
      </c>
      <c r="AK580" s="1030">
        <f t="shared" si="36"/>
        <v>0</v>
      </c>
      <c r="AL580" s="1030">
        <f>IFERROR(INDEX(G580:R580,1,MATCH(Parametres!$B$3,G$1:R$1,0)-1)*IF(OR(F580="L",F580="S",F580="I"),-1,1),"")</f>
        <v>0</v>
      </c>
      <c r="AM580" s="1030">
        <f t="shared" ref="AM580:AM643" si="37">AN580-N(AL580)</f>
        <v>0</v>
      </c>
      <c r="AN580" s="1030">
        <f>INDEX(G580:R580,1,MATCH(Parametres!$B$3,G$1:R$1,0))*IF(OR(F580="L",F580="S",F580="I"),-1,1)</f>
        <v>0</v>
      </c>
      <c r="AO580" s="598" t="e">
        <f>+VLOOKUP($AJ580,Data_Validation!$A:$D,1,0)</f>
        <v>#N/A</v>
      </c>
      <c r="AP580" s="598" t="e">
        <f>+VLOOKUP($AJ580,Data_Validation!$A:$D,3,0)</f>
        <v>#N/A</v>
      </c>
      <c r="AQ580" s="598" t="e">
        <f>+VLOOKUP($AJ580,Data_Validation!$A:$D,4,0)</f>
        <v>#N/A</v>
      </c>
      <c r="AR580" s="598" t="s">
        <v>299</v>
      </c>
      <c r="AS580" s="598" t="e">
        <f>+VLOOKUP($AJ580,Data_Validation!$A:$E,5,0)</f>
        <v>#N/A</v>
      </c>
      <c r="AT580" s="1036">
        <f t="shared" ref="AT580:AU643" si="38">C580</f>
        <v>0</v>
      </c>
      <c r="AU580" s="599">
        <f t="shared" si="38"/>
        <v>0</v>
      </c>
      <c r="AV580" s="1030">
        <f>IFERROR(INDEX(V580:AG580,1,MATCH(Parametres!$B$3,V$1:AG$1,0)-1)*IF(OR(C580="L",C580="S",C580="I"),-1,1),"")</f>
        <v>0</v>
      </c>
      <c r="AW580" s="1030">
        <f t="shared" ref="AW580:AW643" si="39">AX580-AV580</f>
        <v>0</v>
      </c>
      <c r="AX580" s="1030">
        <f>INDEX(V580:AG580,1,MATCH(Parametres!$B$3,V$1:AG$1,0))*IF(OR(C580="L",C580="S",C580="I"),-1,1)</f>
        <v>0</v>
      </c>
      <c r="AY580" s="598" t="s">
        <v>337</v>
      </c>
      <c r="AZ580" s="598" t="e">
        <f>+VLOOKUP($AJ580,Data_Validation!$A:$E,5,0)</f>
        <v>#N/A</v>
      </c>
    </row>
    <row r="581" spans="36:52" ht="15" customHeight="1">
      <c r="AJ581" s="1030">
        <f t="shared" si="36"/>
        <v>0</v>
      </c>
      <c r="AK581" s="1030">
        <f t="shared" si="36"/>
        <v>0</v>
      </c>
      <c r="AL581" s="1030">
        <f>IFERROR(INDEX(G581:R581,1,MATCH(Parametres!$B$3,G$1:R$1,0)-1)*IF(OR(F581="L",F581="S",F581="I"),-1,1),"")</f>
        <v>0</v>
      </c>
      <c r="AM581" s="1030">
        <f t="shared" si="37"/>
        <v>0</v>
      </c>
      <c r="AN581" s="1030">
        <f>INDEX(G581:R581,1,MATCH(Parametres!$B$3,G$1:R$1,0))*IF(OR(F581="L",F581="S",F581="I"),-1,1)</f>
        <v>0</v>
      </c>
      <c r="AO581" s="598" t="e">
        <f>+VLOOKUP($AJ581,Data_Validation!$A:$D,1,0)</f>
        <v>#N/A</v>
      </c>
      <c r="AP581" s="598" t="e">
        <f>+VLOOKUP($AJ581,Data_Validation!$A:$D,3,0)</f>
        <v>#N/A</v>
      </c>
      <c r="AQ581" s="598" t="e">
        <f>+VLOOKUP($AJ581,Data_Validation!$A:$D,4,0)</f>
        <v>#N/A</v>
      </c>
      <c r="AR581" s="598" t="s">
        <v>299</v>
      </c>
      <c r="AS581" s="598" t="e">
        <f>+VLOOKUP($AJ581,Data_Validation!$A:$E,5,0)</f>
        <v>#N/A</v>
      </c>
      <c r="AT581" s="1036">
        <f t="shared" si="38"/>
        <v>0</v>
      </c>
      <c r="AU581" s="599">
        <f t="shared" si="38"/>
        <v>0</v>
      </c>
      <c r="AV581" s="1030">
        <f>IFERROR(INDEX(V581:AG581,1,MATCH(Parametres!$B$3,V$1:AG$1,0)-1)*IF(OR(C581="L",C581="S",C581="I"),-1,1),"")</f>
        <v>0</v>
      </c>
      <c r="AW581" s="1030">
        <f t="shared" si="39"/>
        <v>0</v>
      </c>
      <c r="AX581" s="1030">
        <f>INDEX(V581:AG581,1,MATCH(Parametres!$B$3,V$1:AG$1,0))*IF(OR(C581="L",C581="S",C581="I"),-1,1)</f>
        <v>0</v>
      </c>
      <c r="AY581" s="598" t="s">
        <v>337</v>
      </c>
      <c r="AZ581" s="598" t="e">
        <f>+VLOOKUP($AJ581,Data_Validation!$A:$E,5,0)</f>
        <v>#N/A</v>
      </c>
    </row>
    <row r="582" spans="36:52" ht="15" customHeight="1">
      <c r="AJ582" s="1030">
        <f t="shared" si="36"/>
        <v>0</v>
      </c>
      <c r="AK582" s="1030">
        <f t="shared" si="36"/>
        <v>0</v>
      </c>
      <c r="AL582" s="1030">
        <f>IFERROR(INDEX(G582:R582,1,MATCH(Parametres!$B$3,G$1:R$1,0)-1)*IF(OR(F582="L",F582="S",F582="I"),-1,1),"")</f>
        <v>0</v>
      </c>
      <c r="AM582" s="1030">
        <f t="shared" si="37"/>
        <v>0</v>
      </c>
      <c r="AN582" s="1030">
        <f>INDEX(G582:R582,1,MATCH(Parametres!$B$3,G$1:R$1,0))*IF(OR(F582="L",F582="S",F582="I"),-1,1)</f>
        <v>0</v>
      </c>
      <c r="AO582" s="598" t="e">
        <f>+VLOOKUP($AJ582,Data_Validation!$A:$D,1,0)</f>
        <v>#N/A</v>
      </c>
      <c r="AP582" s="598" t="e">
        <f>+VLOOKUP($AJ582,Data_Validation!$A:$D,3,0)</f>
        <v>#N/A</v>
      </c>
      <c r="AQ582" s="598" t="e">
        <f>+VLOOKUP($AJ582,Data_Validation!$A:$D,4,0)</f>
        <v>#N/A</v>
      </c>
      <c r="AR582" s="598" t="s">
        <v>299</v>
      </c>
      <c r="AS582" s="598" t="e">
        <f>+VLOOKUP($AJ582,Data_Validation!$A:$E,5,0)</f>
        <v>#N/A</v>
      </c>
      <c r="AT582" s="1036">
        <f t="shared" si="38"/>
        <v>0</v>
      </c>
      <c r="AU582" s="599">
        <f t="shared" si="38"/>
        <v>0</v>
      </c>
      <c r="AV582" s="1030">
        <f>IFERROR(INDEX(V582:AG582,1,MATCH(Parametres!$B$3,V$1:AG$1,0)-1)*IF(OR(C582="L",C582="S",C582="I"),-1,1),"")</f>
        <v>0</v>
      </c>
      <c r="AW582" s="1030">
        <f t="shared" si="39"/>
        <v>0</v>
      </c>
      <c r="AX582" s="1030">
        <f>INDEX(V582:AG582,1,MATCH(Parametres!$B$3,V$1:AG$1,0))*IF(OR(C582="L",C582="S",C582="I"),-1,1)</f>
        <v>0</v>
      </c>
      <c r="AY582" s="598" t="s">
        <v>337</v>
      </c>
      <c r="AZ582" s="598" t="e">
        <f>+VLOOKUP($AJ582,Data_Validation!$A:$E,5,0)</f>
        <v>#N/A</v>
      </c>
    </row>
    <row r="583" spans="36:52" ht="15" customHeight="1">
      <c r="AJ583" s="1030">
        <f t="shared" si="36"/>
        <v>0</v>
      </c>
      <c r="AK583" s="1030">
        <f t="shared" si="36"/>
        <v>0</v>
      </c>
      <c r="AL583" s="1030">
        <f>IFERROR(INDEX(G583:R583,1,MATCH(Parametres!$B$3,G$1:R$1,0)-1)*IF(OR(F583="L",F583="S",F583="I"),-1,1),"")</f>
        <v>0</v>
      </c>
      <c r="AM583" s="1030">
        <f t="shared" si="37"/>
        <v>0</v>
      </c>
      <c r="AN583" s="1030">
        <f>INDEX(G583:R583,1,MATCH(Parametres!$B$3,G$1:R$1,0))*IF(OR(F583="L",F583="S",F583="I"),-1,1)</f>
        <v>0</v>
      </c>
      <c r="AO583" s="598" t="e">
        <f>+VLOOKUP($AJ583,Data_Validation!$A:$D,1,0)</f>
        <v>#N/A</v>
      </c>
      <c r="AP583" s="598" t="e">
        <f>+VLOOKUP($AJ583,Data_Validation!$A:$D,3,0)</f>
        <v>#N/A</v>
      </c>
      <c r="AQ583" s="598" t="e">
        <f>+VLOOKUP($AJ583,Data_Validation!$A:$D,4,0)</f>
        <v>#N/A</v>
      </c>
      <c r="AR583" s="598" t="s">
        <v>299</v>
      </c>
      <c r="AS583" s="598" t="e">
        <f>+VLOOKUP($AJ583,Data_Validation!$A:$E,5,0)</f>
        <v>#N/A</v>
      </c>
      <c r="AT583" s="1036">
        <f t="shared" si="38"/>
        <v>0</v>
      </c>
      <c r="AU583" s="599">
        <f t="shared" si="38"/>
        <v>0</v>
      </c>
      <c r="AV583" s="1030">
        <f>IFERROR(INDEX(V583:AG583,1,MATCH(Parametres!$B$3,V$1:AG$1,0)-1)*IF(OR(C583="L",C583="S",C583="I"),-1,1),"")</f>
        <v>0</v>
      </c>
      <c r="AW583" s="1030">
        <f t="shared" si="39"/>
        <v>0</v>
      </c>
      <c r="AX583" s="1030">
        <f>INDEX(V583:AG583,1,MATCH(Parametres!$B$3,V$1:AG$1,0))*IF(OR(C583="L",C583="S",C583="I"),-1,1)</f>
        <v>0</v>
      </c>
      <c r="AY583" s="598" t="s">
        <v>337</v>
      </c>
      <c r="AZ583" s="598" t="e">
        <f>+VLOOKUP($AJ583,Data_Validation!$A:$E,5,0)</f>
        <v>#N/A</v>
      </c>
    </row>
    <row r="584" spans="36:52" ht="15" customHeight="1">
      <c r="AJ584" s="1030">
        <f t="shared" si="36"/>
        <v>0</v>
      </c>
      <c r="AK584" s="1030">
        <f t="shared" si="36"/>
        <v>0</v>
      </c>
      <c r="AL584" s="1030">
        <f>IFERROR(INDEX(G584:R584,1,MATCH(Parametres!$B$3,G$1:R$1,0)-1)*IF(OR(F584="L",F584="S",F584="I"),-1,1),"")</f>
        <v>0</v>
      </c>
      <c r="AM584" s="1030">
        <f t="shared" si="37"/>
        <v>0</v>
      </c>
      <c r="AN584" s="1030">
        <f>INDEX(G584:R584,1,MATCH(Parametres!$B$3,G$1:R$1,0))*IF(OR(F584="L",F584="S",F584="I"),-1,1)</f>
        <v>0</v>
      </c>
      <c r="AO584" s="598" t="e">
        <f>+VLOOKUP($AJ584,Data_Validation!$A:$D,1,0)</f>
        <v>#N/A</v>
      </c>
      <c r="AP584" s="598" t="e">
        <f>+VLOOKUP($AJ584,Data_Validation!$A:$D,3,0)</f>
        <v>#N/A</v>
      </c>
      <c r="AQ584" s="598" t="e">
        <f>+VLOOKUP($AJ584,Data_Validation!$A:$D,4,0)</f>
        <v>#N/A</v>
      </c>
      <c r="AR584" s="598" t="s">
        <v>299</v>
      </c>
      <c r="AS584" s="598" t="e">
        <f>+VLOOKUP($AJ584,Data_Validation!$A:$E,5,0)</f>
        <v>#N/A</v>
      </c>
      <c r="AT584" s="1036">
        <f t="shared" si="38"/>
        <v>0</v>
      </c>
      <c r="AU584" s="599">
        <f t="shared" si="38"/>
        <v>0</v>
      </c>
      <c r="AV584" s="1030">
        <f>IFERROR(INDEX(V584:AG584,1,MATCH(Parametres!$B$3,V$1:AG$1,0)-1)*IF(OR(C584="L",C584="S",C584="I"),-1,1),"")</f>
        <v>0</v>
      </c>
      <c r="AW584" s="1030">
        <f t="shared" si="39"/>
        <v>0</v>
      </c>
      <c r="AX584" s="1030">
        <f>INDEX(V584:AG584,1,MATCH(Parametres!$B$3,V$1:AG$1,0))*IF(OR(C584="L",C584="S",C584="I"),-1,1)</f>
        <v>0</v>
      </c>
      <c r="AY584" s="598" t="s">
        <v>337</v>
      </c>
      <c r="AZ584" s="598" t="e">
        <f>+VLOOKUP($AJ584,Data_Validation!$A:$E,5,0)</f>
        <v>#N/A</v>
      </c>
    </row>
    <row r="585" spans="36:52" ht="15" customHeight="1">
      <c r="AJ585" s="1030">
        <f t="shared" si="36"/>
        <v>0</v>
      </c>
      <c r="AK585" s="1030">
        <f t="shared" si="36"/>
        <v>0</v>
      </c>
      <c r="AL585" s="1030">
        <f>IFERROR(INDEX(G585:R585,1,MATCH(Parametres!$B$3,G$1:R$1,0)-1)*IF(OR(F585="L",F585="S",F585="I"),-1,1),"")</f>
        <v>0</v>
      </c>
      <c r="AM585" s="1030">
        <f t="shared" si="37"/>
        <v>0</v>
      </c>
      <c r="AN585" s="1030">
        <f>INDEX(G585:R585,1,MATCH(Parametres!$B$3,G$1:R$1,0))*IF(OR(F585="L",F585="S",F585="I"),-1,1)</f>
        <v>0</v>
      </c>
      <c r="AO585" s="598" t="e">
        <f>+VLOOKUP($AJ585,Data_Validation!$A:$D,1,0)</f>
        <v>#N/A</v>
      </c>
      <c r="AP585" s="598" t="e">
        <f>+VLOOKUP($AJ585,Data_Validation!$A:$D,3,0)</f>
        <v>#N/A</v>
      </c>
      <c r="AQ585" s="598" t="e">
        <f>+VLOOKUP($AJ585,Data_Validation!$A:$D,4,0)</f>
        <v>#N/A</v>
      </c>
      <c r="AR585" s="598" t="s">
        <v>299</v>
      </c>
      <c r="AS585" s="598" t="e">
        <f>+VLOOKUP($AJ585,Data_Validation!$A:$E,5,0)</f>
        <v>#N/A</v>
      </c>
      <c r="AT585" s="1036">
        <f t="shared" si="38"/>
        <v>0</v>
      </c>
      <c r="AU585" s="599">
        <f t="shared" si="38"/>
        <v>0</v>
      </c>
      <c r="AV585" s="1030">
        <f>IFERROR(INDEX(V585:AG585,1,MATCH(Parametres!$B$3,V$1:AG$1,0)-1)*IF(OR(C585="L",C585="S",C585="I"),-1,1),"")</f>
        <v>0</v>
      </c>
      <c r="AW585" s="1030">
        <f t="shared" si="39"/>
        <v>0</v>
      </c>
      <c r="AX585" s="1030">
        <f>INDEX(V585:AG585,1,MATCH(Parametres!$B$3,V$1:AG$1,0))*IF(OR(C585="L",C585="S",C585="I"),-1,1)</f>
        <v>0</v>
      </c>
      <c r="AY585" s="598" t="s">
        <v>337</v>
      </c>
      <c r="AZ585" s="598" t="e">
        <f>+VLOOKUP($AJ585,Data_Validation!$A:$E,5,0)</f>
        <v>#N/A</v>
      </c>
    </row>
    <row r="586" spans="36:52" ht="15" customHeight="1">
      <c r="AJ586" s="1030">
        <f t="shared" si="36"/>
        <v>0</v>
      </c>
      <c r="AK586" s="1030">
        <f t="shared" si="36"/>
        <v>0</v>
      </c>
      <c r="AL586" s="1030">
        <f>IFERROR(INDEX(G586:R586,1,MATCH(Parametres!$B$3,G$1:R$1,0)-1)*IF(OR(F586="L",F586="S",F586="I"),-1,1),"")</f>
        <v>0</v>
      </c>
      <c r="AM586" s="1030">
        <f t="shared" si="37"/>
        <v>0</v>
      </c>
      <c r="AN586" s="1030">
        <f>INDEX(G586:R586,1,MATCH(Parametres!$B$3,G$1:R$1,0))*IF(OR(F586="L",F586="S",F586="I"),-1,1)</f>
        <v>0</v>
      </c>
      <c r="AO586" s="598" t="e">
        <f>+VLOOKUP($AJ586,Data_Validation!$A:$D,1,0)</f>
        <v>#N/A</v>
      </c>
      <c r="AP586" s="598" t="e">
        <f>+VLOOKUP($AJ586,Data_Validation!$A:$D,3,0)</f>
        <v>#N/A</v>
      </c>
      <c r="AQ586" s="598" t="e">
        <f>+VLOOKUP($AJ586,Data_Validation!$A:$D,4,0)</f>
        <v>#N/A</v>
      </c>
      <c r="AR586" s="598" t="s">
        <v>299</v>
      </c>
      <c r="AS586" s="598" t="e">
        <f>+VLOOKUP($AJ586,Data_Validation!$A:$E,5,0)</f>
        <v>#N/A</v>
      </c>
      <c r="AT586" s="1036">
        <f t="shared" si="38"/>
        <v>0</v>
      </c>
      <c r="AU586" s="599">
        <f t="shared" si="38"/>
        <v>0</v>
      </c>
      <c r="AV586" s="1030">
        <f>IFERROR(INDEX(V586:AG586,1,MATCH(Parametres!$B$3,V$1:AG$1,0)-1)*IF(OR(C586="L",C586="S",C586="I"),-1,1),"")</f>
        <v>0</v>
      </c>
      <c r="AW586" s="1030">
        <f t="shared" si="39"/>
        <v>0</v>
      </c>
      <c r="AX586" s="1030">
        <f>INDEX(V586:AG586,1,MATCH(Parametres!$B$3,V$1:AG$1,0))*IF(OR(C586="L",C586="S",C586="I"),-1,1)</f>
        <v>0</v>
      </c>
      <c r="AY586" s="598" t="s">
        <v>337</v>
      </c>
      <c r="AZ586" s="598" t="e">
        <f>+VLOOKUP($AJ586,Data_Validation!$A:$E,5,0)</f>
        <v>#N/A</v>
      </c>
    </row>
    <row r="587" spans="36:52" ht="15" customHeight="1">
      <c r="AJ587" s="1030">
        <f t="shared" si="36"/>
        <v>0</v>
      </c>
      <c r="AK587" s="1030">
        <f t="shared" si="36"/>
        <v>0</v>
      </c>
      <c r="AL587" s="1030">
        <f>IFERROR(INDEX(G587:R587,1,MATCH(Parametres!$B$3,G$1:R$1,0)-1)*IF(OR(F587="L",F587="S",F587="I"),-1,1),"")</f>
        <v>0</v>
      </c>
      <c r="AM587" s="1030">
        <f t="shared" si="37"/>
        <v>0</v>
      </c>
      <c r="AN587" s="1030">
        <f>INDEX(G587:R587,1,MATCH(Parametres!$B$3,G$1:R$1,0))*IF(OR(F587="L",F587="S",F587="I"),-1,1)</f>
        <v>0</v>
      </c>
      <c r="AO587" s="598" t="e">
        <f>+VLOOKUP($AJ587,Data_Validation!$A:$D,1,0)</f>
        <v>#N/A</v>
      </c>
      <c r="AP587" s="598" t="e">
        <f>+VLOOKUP($AJ587,Data_Validation!$A:$D,3,0)</f>
        <v>#N/A</v>
      </c>
      <c r="AQ587" s="598" t="e">
        <f>+VLOOKUP($AJ587,Data_Validation!$A:$D,4,0)</f>
        <v>#N/A</v>
      </c>
      <c r="AR587" s="598" t="s">
        <v>299</v>
      </c>
      <c r="AS587" s="598" t="e">
        <f>+VLOOKUP($AJ587,Data_Validation!$A:$E,5,0)</f>
        <v>#N/A</v>
      </c>
      <c r="AT587" s="1036">
        <f t="shared" si="38"/>
        <v>0</v>
      </c>
      <c r="AU587" s="599">
        <f t="shared" si="38"/>
        <v>0</v>
      </c>
      <c r="AV587" s="1030">
        <f>IFERROR(INDEX(V587:AG587,1,MATCH(Parametres!$B$3,V$1:AG$1,0)-1)*IF(OR(C587="L",C587="S",C587="I"),-1,1),"")</f>
        <v>0</v>
      </c>
      <c r="AW587" s="1030">
        <f t="shared" si="39"/>
        <v>0</v>
      </c>
      <c r="AX587" s="1030">
        <f>INDEX(V587:AG587,1,MATCH(Parametres!$B$3,V$1:AG$1,0))*IF(OR(C587="L",C587="S",C587="I"),-1,1)</f>
        <v>0</v>
      </c>
      <c r="AY587" s="598" t="s">
        <v>337</v>
      </c>
      <c r="AZ587" s="598" t="e">
        <f>+VLOOKUP($AJ587,Data_Validation!$A:$E,5,0)</f>
        <v>#N/A</v>
      </c>
    </row>
    <row r="588" spans="36:52" ht="15" customHeight="1">
      <c r="AJ588" s="1030">
        <f t="shared" si="36"/>
        <v>0</v>
      </c>
      <c r="AK588" s="1030">
        <f t="shared" si="36"/>
        <v>0</v>
      </c>
      <c r="AL588" s="1030">
        <f>IFERROR(INDEX(G588:R588,1,MATCH(Parametres!$B$3,G$1:R$1,0)-1)*IF(OR(F588="L",F588="S",F588="I"),-1,1),"")</f>
        <v>0</v>
      </c>
      <c r="AM588" s="1030">
        <f t="shared" si="37"/>
        <v>0</v>
      </c>
      <c r="AN588" s="1030">
        <f>INDEX(G588:R588,1,MATCH(Parametres!$B$3,G$1:R$1,0))*IF(OR(F588="L",F588="S",F588="I"),-1,1)</f>
        <v>0</v>
      </c>
      <c r="AO588" s="598" t="e">
        <f>+VLOOKUP($AJ588,Data_Validation!$A:$D,1,0)</f>
        <v>#N/A</v>
      </c>
      <c r="AP588" s="598" t="e">
        <f>+VLOOKUP($AJ588,Data_Validation!$A:$D,3,0)</f>
        <v>#N/A</v>
      </c>
      <c r="AQ588" s="598" t="e">
        <f>+VLOOKUP($AJ588,Data_Validation!$A:$D,4,0)</f>
        <v>#N/A</v>
      </c>
      <c r="AR588" s="598" t="s">
        <v>299</v>
      </c>
      <c r="AS588" s="598" t="e">
        <f>+VLOOKUP($AJ588,Data_Validation!$A:$E,5,0)</f>
        <v>#N/A</v>
      </c>
      <c r="AT588" s="1036">
        <f t="shared" si="38"/>
        <v>0</v>
      </c>
      <c r="AU588" s="599">
        <f t="shared" si="38"/>
        <v>0</v>
      </c>
      <c r="AV588" s="1030">
        <f>IFERROR(INDEX(V588:AG588,1,MATCH(Parametres!$B$3,V$1:AG$1,0)-1)*IF(OR(C588="L",C588="S",C588="I"),-1,1),"")</f>
        <v>0</v>
      </c>
      <c r="AW588" s="1030">
        <f t="shared" si="39"/>
        <v>0</v>
      </c>
      <c r="AX588" s="1030">
        <f>INDEX(V588:AG588,1,MATCH(Parametres!$B$3,V$1:AG$1,0))*IF(OR(C588="L",C588="S",C588="I"),-1,1)</f>
        <v>0</v>
      </c>
      <c r="AY588" s="598" t="s">
        <v>337</v>
      </c>
      <c r="AZ588" s="598" t="e">
        <f>+VLOOKUP($AJ588,Data_Validation!$A:$E,5,0)</f>
        <v>#N/A</v>
      </c>
    </row>
    <row r="589" spans="36:52" ht="15" customHeight="1">
      <c r="AJ589" s="1030">
        <f t="shared" si="36"/>
        <v>0</v>
      </c>
      <c r="AK589" s="1030">
        <f t="shared" si="36"/>
        <v>0</v>
      </c>
      <c r="AL589" s="1030">
        <f>IFERROR(INDEX(G589:R589,1,MATCH(Parametres!$B$3,G$1:R$1,0)-1)*IF(OR(F589="L",F589="S",F589="I"),-1,1),"")</f>
        <v>0</v>
      </c>
      <c r="AM589" s="1030">
        <f t="shared" si="37"/>
        <v>0</v>
      </c>
      <c r="AN589" s="1030">
        <f>INDEX(G589:R589,1,MATCH(Parametres!$B$3,G$1:R$1,0))*IF(OR(F589="L",F589="S",F589="I"),-1,1)</f>
        <v>0</v>
      </c>
      <c r="AO589" s="598" t="e">
        <f>+VLOOKUP($AJ589,Data_Validation!$A:$D,1,0)</f>
        <v>#N/A</v>
      </c>
      <c r="AP589" s="598" t="e">
        <f>+VLOOKUP($AJ589,Data_Validation!$A:$D,3,0)</f>
        <v>#N/A</v>
      </c>
      <c r="AQ589" s="598" t="e">
        <f>+VLOOKUP($AJ589,Data_Validation!$A:$D,4,0)</f>
        <v>#N/A</v>
      </c>
      <c r="AR589" s="598" t="s">
        <v>299</v>
      </c>
      <c r="AS589" s="598" t="e">
        <f>+VLOOKUP($AJ589,Data_Validation!$A:$E,5,0)</f>
        <v>#N/A</v>
      </c>
      <c r="AT589" s="1036">
        <f t="shared" si="38"/>
        <v>0</v>
      </c>
      <c r="AU589" s="599">
        <f t="shared" si="38"/>
        <v>0</v>
      </c>
      <c r="AV589" s="1030">
        <f>IFERROR(INDEX(V589:AG589,1,MATCH(Parametres!$B$3,V$1:AG$1,0)-1)*IF(OR(C589="L",C589="S",C589="I"),-1,1),"")</f>
        <v>0</v>
      </c>
      <c r="AW589" s="1030">
        <f t="shared" si="39"/>
        <v>0</v>
      </c>
      <c r="AX589" s="1030">
        <f>INDEX(V589:AG589,1,MATCH(Parametres!$B$3,V$1:AG$1,0))*IF(OR(C589="L",C589="S",C589="I"),-1,1)</f>
        <v>0</v>
      </c>
      <c r="AY589" s="598" t="s">
        <v>337</v>
      </c>
      <c r="AZ589" s="598" t="e">
        <f>+VLOOKUP($AJ589,Data_Validation!$A:$E,5,0)</f>
        <v>#N/A</v>
      </c>
    </row>
    <row r="590" spans="36:52" ht="15" customHeight="1">
      <c r="AJ590" s="1030">
        <f t="shared" si="36"/>
        <v>0</v>
      </c>
      <c r="AK590" s="1030">
        <f t="shared" si="36"/>
        <v>0</v>
      </c>
      <c r="AL590" s="1030">
        <f>IFERROR(INDEX(G590:R590,1,MATCH(Parametres!$B$3,G$1:R$1,0)-1)*IF(OR(F590="L",F590="S",F590="I"),-1,1),"")</f>
        <v>0</v>
      </c>
      <c r="AM590" s="1030">
        <f t="shared" si="37"/>
        <v>0</v>
      </c>
      <c r="AN590" s="1030">
        <f>INDEX(G590:R590,1,MATCH(Parametres!$B$3,G$1:R$1,0))*IF(OR(F590="L",F590="S",F590="I"),-1,1)</f>
        <v>0</v>
      </c>
      <c r="AO590" s="598" t="e">
        <f>+VLOOKUP($AJ590,Data_Validation!$A:$D,1,0)</f>
        <v>#N/A</v>
      </c>
      <c r="AP590" s="598" t="e">
        <f>+VLOOKUP($AJ590,Data_Validation!$A:$D,3,0)</f>
        <v>#N/A</v>
      </c>
      <c r="AQ590" s="598" t="e">
        <f>+VLOOKUP($AJ590,Data_Validation!$A:$D,4,0)</f>
        <v>#N/A</v>
      </c>
      <c r="AR590" s="598" t="s">
        <v>299</v>
      </c>
      <c r="AS590" s="598" t="e">
        <f>+VLOOKUP($AJ590,Data_Validation!$A:$E,5,0)</f>
        <v>#N/A</v>
      </c>
      <c r="AT590" s="1036">
        <f t="shared" si="38"/>
        <v>0</v>
      </c>
      <c r="AU590" s="599">
        <f t="shared" si="38"/>
        <v>0</v>
      </c>
      <c r="AV590" s="1030">
        <f>IFERROR(INDEX(V590:AG590,1,MATCH(Parametres!$B$3,V$1:AG$1,0)-1)*IF(OR(C590="L",C590="S",C590="I"),-1,1),"")</f>
        <v>0</v>
      </c>
      <c r="AW590" s="1030">
        <f t="shared" si="39"/>
        <v>0</v>
      </c>
      <c r="AX590" s="1030">
        <f>INDEX(V590:AG590,1,MATCH(Parametres!$B$3,V$1:AG$1,0))*IF(OR(C590="L",C590="S",C590="I"),-1,1)</f>
        <v>0</v>
      </c>
      <c r="AY590" s="598" t="s">
        <v>337</v>
      </c>
      <c r="AZ590" s="598" t="e">
        <f>+VLOOKUP($AJ590,Data_Validation!$A:$E,5,0)</f>
        <v>#N/A</v>
      </c>
    </row>
    <row r="591" spans="36:52" ht="15" customHeight="1">
      <c r="AJ591" s="1030">
        <f t="shared" si="36"/>
        <v>0</v>
      </c>
      <c r="AK591" s="1030">
        <f t="shared" si="36"/>
        <v>0</v>
      </c>
      <c r="AL591" s="1030">
        <f>IFERROR(INDEX(G591:R591,1,MATCH(Parametres!$B$3,G$1:R$1,0)-1)*IF(OR(F591="L",F591="S",F591="I"),-1,1),"")</f>
        <v>0</v>
      </c>
      <c r="AM591" s="1030">
        <f t="shared" si="37"/>
        <v>0</v>
      </c>
      <c r="AN591" s="1030">
        <f>INDEX(G591:R591,1,MATCH(Parametres!$B$3,G$1:R$1,0))*IF(OR(F591="L",F591="S",F591="I"),-1,1)</f>
        <v>0</v>
      </c>
      <c r="AO591" s="598" t="e">
        <f>+VLOOKUP($AJ591,Data_Validation!$A:$D,1,0)</f>
        <v>#N/A</v>
      </c>
      <c r="AP591" s="598" t="e">
        <f>+VLOOKUP($AJ591,Data_Validation!$A:$D,3,0)</f>
        <v>#N/A</v>
      </c>
      <c r="AQ591" s="598" t="e">
        <f>+VLOOKUP($AJ591,Data_Validation!$A:$D,4,0)</f>
        <v>#N/A</v>
      </c>
      <c r="AR591" s="598" t="s">
        <v>299</v>
      </c>
      <c r="AS591" s="598" t="e">
        <f>+VLOOKUP($AJ591,Data_Validation!$A:$E,5,0)</f>
        <v>#N/A</v>
      </c>
      <c r="AT591" s="1036">
        <f t="shared" si="38"/>
        <v>0</v>
      </c>
      <c r="AU591" s="599">
        <f t="shared" si="38"/>
        <v>0</v>
      </c>
      <c r="AV591" s="1030">
        <f>IFERROR(INDEX(V591:AG591,1,MATCH(Parametres!$B$3,V$1:AG$1,0)-1)*IF(OR(C591="L",C591="S",C591="I"),-1,1),"")</f>
        <v>0</v>
      </c>
      <c r="AW591" s="1030">
        <f t="shared" si="39"/>
        <v>0</v>
      </c>
      <c r="AX591" s="1030">
        <f>INDEX(V591:AG591,1,MATCH(Parametres!$B$3,V$1:AG$1,0))*IF(OR(C591="L",C591="S",C591="I"),-1,1)</f>
        <v>0</v>
      </c>
      <c r="AY591" s="598" t="s">
        <v>337</v>
      </c>
      <c r="AZ591" s="598" t="e">
        <f>+VLOOKUP($AJ591,Data_Validation!$A:$E,5,0)</f>
        <v>#N/A</v>
      </c>
    </row>
    <row r="592" spans="36:52" ht="15" customHeight="1">
      <c r="AJ592" s="1030">
        <f t="shared" si="36"/>
        <v>0</v>
      </c>
      <c r="AK592" s="1030">
        <f t="shared" si="36"/>
        <v>0</v>
      </c>
      <c r="AL592" s="1030">
        <f>IFERROR(INDEX(G592:R592,1,MATCH(Parametres!$B$3,G$1:R$1,0)-1)*IF(OR(F592="L",F592="S",F592="I"),-1,1),"")</f>
        <v>0</v>
      </c>
      <c r="AM592" s="1030">
        <f t="shared" si="37"/>
        <v>0</v>
      </c>
      <c r="AN592" s="1030">
        <f>INDEX(G592:R592,1,MATCH(Parametres!$B$3,G$1:R$1,0))*IF(OR(F592="L",F592="S",F592="I"),-1,1)</f>
        <v>0</v>
      </c>
      <c r="AO592" s="598" t="e">
        <f>+VLOOKUP($AJ592,Data_Validation!$A:$D,1,0)</f>
        <v>#N/A</v>
      </c>
      <c r="AP592" s="598" t="e">
        <f>+VLOOKUP($AJ592,Data_Validation!$A:$D,3,0)</f>
        <v>#N/A</v>
      </c>
      <c r="AQ592" s="598" t="e">
        <f>+VLOOKUP($AJ592,Data_Validation!$A:$D,4,0)</f>
        <v>#N/A</v>
      </c>
      <c r="AR592" s="598" t="s">
        <v>299</v>
      </c>
      <c r="AS592" s="598" t="e">
        <f>+VLOOKUP($AJ592,Data_Validation!$A:$E,5,0)</f>
        <v>#N/A</v>
      </c>
      <c r="AT592" s="1036">
        <f t="shared" si="38"/>
        <v>0</v>
      </c>
      <c r="AU592" s="599">
        <f t="shared" si="38"/>
        <v>0</v>
      </c>
      <c r="AV592" s="1030">
        <f>IFERROR(INDEX(V592:AG592,1,MATCH(Parametres!$B$3,V$1:AG$1,0)-1)*IF(OR(C592="L",C592="S",C592="I"),-1,1),"")</f>
        <v>0</v>
      </c>
      <c r="AW592" s="1030">
        <f t="shared" si="39"/>
        <v>0</v>
      </c>
      <c r="AX592" s="1030">
        <f>INDEX(V592:AG592,1,MATCH(Parametres!$B$3,V$1:AG$1,0))*IF(OR(C592="L",C592="S",C592="I"),-1,1)</f>
        <v>0</v>
      </c>
      <c r="AY592" s="598" t="s">
        <v>337</v>
      </c>
      <c r="AZ592" s="598" t="e">
        <f>+VLOOKUP($AJ592,Data_Validation!$A:$E,5,0)</f>
        <v>#N/A</v>
      </c>
    </row>
    <row r="593" spans="36:52" ht="15" customHeight="1">
      <c r="AJ593" s="1030">
        <f t="shared" si="36"/>
        <v>0</v>
      </c>
      <c r="AK593" s="1030">
        <f t="shared" si="36"/>
        <v>0</v>
      </c>
      <c r="AL593" s="1030">
        <f>IFERROR(INDEX(G593:R593,1,MATCH(Parametres!$B$3,G$1:R$1,0)-1)*IF(OR(F593="L",F593="S",F593="I"),-1,1),"")</f>
        <v>0</v>
      </c>
      <c r="AM593" s="1030">
        <f t="shared" si="37"/>
        <v>0</v>
      </c>
      <c r="AN593" s="1030">
        <f>INDEX(G593:R593,1,MATCH(Parametres!$B$3,G$1:R$1,0))*IF(OR(F593="L",F593="S",F593="I"),-1,1)</f>
        <v>0</v>
      </c>
      <c r="AO593" s="598" t="e">
        <f>+VLOOKUP($AJ593,Data_Validation!$A:$D,1,0)</f>
        <v>#N/A</v>
      </c>
      <c r="AP593" s="598" t="e">
        <f>+VLOOKUP($AJ593,Data_Validation!$A:$D,3,0)</f>
        <v>#N/A</v>
      </c>
      <c r="AQ593" s="598" t="e">
        <f>+VLOOKUP($AJ593,Data_Validation!$A:$D,4,0)</f>
        <v>#N/A</v>
      </c>
      <c r="AR593" s="598" t="s">
        <v>299</v>
      </c>
      <c r="AS593" s="598" t="e">
        <f>+VLOOKUP($AJ593,Data_Validation!$A:$E,5,0)</f>
        <v>#N/A</v>
      </c>
      <c r="AT593" s="1036">
        <f t="shared" si="38"/>
        <v>0</v>
      </c>
      <c r="AU593" s="599">
        <f t="shared" si="38"/>
        <v>0</v>
      </c>
      <c r="AV593" s="1030">
        <f>IFERROR(INDEX(V593:AG593,1,MATCH(Parametres!$B$3,V$1:AG$1,0)-1)*IF(OR(C593="L",C593="S",C593="I"),-1,1),"")</f>
        <v>0</v>
      </c>
      <c r="AW593" s="1030">
        <f t="shared" si="39"/>
        <v>0</v>
      </c>
      <c r="AX593" s="1030">
        <f>INDEX(V593:AG593,1,MATCH(Parametres!$B$3,V$1:AG$1,0))*IF(OR(C593="L",C593="S",C593="I"),-1,1)</f>
        <v>0</v>
      </c>
      <c r="AY593" s="598" t="s">
        <v>337</v>
      </c>
      <c r="AZ593" s="598" t="e">
        <f>+VLOOKUP($AJ593,Data_Validation!$A:$E,5,0)</f>
        <v>#N/A</v>
      </c>
    </row>
    <row r="594" spans="36:52" ht="15" customHeight="1">
      <c r="AJ594" s="1030">
        <f t="shared" si="36"/>
        <v>0</v>
      </c>
      <c r="AK594" s="1030">
        <f t="shared" si="36"/>
        <v>0</v>
      </c>
      <c r="AL594" s="1030">
        <f>IFERROR(INDEX(G594:R594,1,MATCH(Parametres!$B$3,G$1:R$1,0)-1)*IF(OR(F594="L",F594="S",F594="I"),-1,1),"")</f>
        <v>0</v>
      </c>
      <c r="AM594" s="1030">
        <f t="shared" si="37"/>
        <v>0</v>
      </c>
      <c r="AN594" s="1030">
        <f>INDEX(G594:R594,1,MATCH(Parametres!$B$3,G$1:R$1,0))*IF(OR(F594="L",F594="S",F594="I"),-1,1)</f>
        <v>0</v>
      </c>
      <c r="AO594" s="598" t="e">
        <f>+VLOOKUP($AJ594,Data_Validation!$A:$D,1,0)</f>
        <v>#N/A</v>
      </c>
      <c r="AP594" s="598" t="e">
        <f>+VLOOKUP($AJ594,Data_Validation!$A:$D,3,0)</f>
        <v>#N/A</v>
      </c>
      <c r="AQ594" s="598" t="e">
        <f>+VLOOKUP($AJ594,Data_Validation!$A:$D,4,0)</f>
        <v>#N/A</v>
      </c>
      <c r="AR594" s="598" t="s">
        <v>299</v>
      </c>
      <c r="AS594" s="598" t="e">
        <f>+VLOOKUP($AJ594,Data_Validation!$A:$E,5,0)</f>
        <v>#N/A</v>
      </c>
      <c r="AT594" s="1036">
        <f t="shared" si="38"/>
        <v>0</v>
      </c>
      <c r="AU594" s="599">
        <f t="shared" si="38"/>
        <v>0</v>
      </c>
      <c r="AV594" s="1030">
        <f>IFERROR(INDEX(V594:AG594,1,MATCH(Parametres!$B$3,V$1:AG$1,0)-1)*IF(OR(C594="L",C594="S",C594="I"),-1,1),"")</f>
        <v>0</v>
      </c>
      <c r="AW594" s="1030">
        <f t="shared" si="39"/>
        <v>0</v>
      </c>
      <c r="AX594" s="1030">
        <f>INDEX(V594:AG594,1,MATCH(Parametres!$B$3,V$1:AG$1,0))*IF(OR(C594="L",C594="S",C594="I"),-1,1)</f>
        <v>0</v>
      </c>
      <c r="AY594" s="598" t="s">
        <v>337</v>
      </c>
      <c r="AZ594" s="598" t="e">
        <f>+VLOOKUP($AJ594,Data_Validation!$A:$E,5,0)</f>
        <v>#N/A</v>
      </c>
    </row>
    <row r="595" spans="36:52" ht="15" customHeight="1">
      <c r="AJ595" s="1030">
        <f t="shared" si="36"/>
        <v>0</v>
      </c>
      <c r="AK595" s="1030">
        <f t="shared" si="36"/>
        <v>0</v>
      </c>
      <c r="AL595" s="1030">
        <f>IFERROR(INDEX(G595:R595,1,MATCH(Parametres!$B$3,G$1:R$1,0)-1)*IF(OR(F595="L",F595="S",F595="I"),-1,1),"")</f>
        <v>0</v>
      </c>
      <c r="AM595" s="1030">
        <f t="shared" si="37"/>
        <v>0</v>
      </c>
      <c r="AN595" s="1030">
        <f>INDEX(G595:R595,1,MATCH(Parametres!$B$3,G$1:R$1,0))*IF(OR(F595="L",F595="S",F595="I"),-1,1)</f>
        <v>0</v>
      </c>
      <c r="AO595" s="598" t="e">
        <f>+VLOOKUP($AJ595,Data_Validation!$A:$D,1,0)</f>
        <v>#N/A</v>
      </c>
      <c r="AP595" s="598" t="e">
        <f>+VLOOKUP($AJ595,Data_Validation!$A:$D,3,0)</f>
        <v>#N/A</v>
      </c>
      <c r="AQ595" s="598" t="e">
        <f>+VLOOKUP($AJ595,Data_Validation!$A:$D,4,0)</f>
        <v>#N/A</v>
      </c>
      <c r="AR595" s="598" t="s">
        <v>299</v>
      </c>
      <c r="AS595" s="598" t="e">
        <f>+VLOOKUP($AJ595,Data_Validation!$A:$E,5,0)</f>
        <v>#N/A</v>
      </c>
      <c r="AT595" s="1036">
        <f t="shared" si="38"/>
        <v>0</v>
      </c>
      <c r="AU595" s="599">
        <f t="shared" si="38"/>
        <v>0</v>
      </c>
      <c r="AV595" s="1030">
        <f>IFERROR(INDEX(V595:AG595,1,MATCH(Parametres!$B$3,V$1:AG$1,0)-1)*IF(OR(C595="L",C595="S",C595="I"),-1,1),"")</f>
        <v>0</v>
      </c>
      <c r="AW595" s="1030">
        <f t="shared" si="39"/>
        <v>0</v>
      </c>
      <c r="AX595" s="1030">
        <f>INDEX(V595:AG595,1,MATCH(Parametres!$B$3,V$1:AG$1,0))*IF(OR(C595="L",C595="S",C595="I"),-1,1)</f>
        <v>0</v>
      </c>
      <c r="AY595" s="598" t="s">
        <v>337</v>
      </c>
      <c r="AZ595" s="598" t="e">
        <f>+VLOOKUP($AJ595,Data_Validation!$A:$E,5,0)</f>
        <v>#N/A</v>
      </c>
    </row>
    <row r="596" spans="36:52" ht="15" customHeight="1">
      <c r="AJ596" s="1030">
        <f t="shared" ref="AJ596:AK659" si="40">C596</f>
        <v>0</v>
      </c>
      <c r="AK596" s="1030">
        <f t="shared" si="40"/>
        <v>0</v>
      </c>
      <c r="AL596" s="1030">
        <f>IFERROR(INDEX(G596:R596,1,MATCH(Parametres!$B$3,G$1:R$1,0)-1)*IF(OR(F596="L",F596="S",F596="I"),-1,1),"")</f>
        <v>0</v>
      </c>
      <c r="AM596" s="1030">
        <f t="shared" si="37"/>
        <v>0</v>
      </c>
      <c r="AN596" s="1030">
        <f>INDEX(G596:R596,1,MATCH(Parametres!$B$3,G$1:R$1,0))*IF(OR(F596="L",F596="S",F596="I"),-1,1)</f>
        <v>0</v>
      </c>
      <c r="AO596" s="598" t="e">
        <f>+VLOOKUP($AJ596,Data_Validation!$A:$D,1,0)</f>
        <v>#N/A</v>
      </c>
      <c r="AP596" s="598" t="e">
        <f>+VLOOKUP($AJ596,Data_Validation!$A:$D,3,0)</f>
        <v>#N/A</v>
      </c>
      <c r="AQ596" s="598" t="e">
        <f>+VLOOKUP($AJ596,Data_Validation!$A:$D,4,0)</f>
        <v>#N/A</v>
      </c>
      <c r="AR596" s="598" t="s">
        <v>299</v>
      </c>
      <c r="AS596" s="598" t="e">
        <f>+VLOOKUP($AJ596,Data_Validation!$A:$E,5,0)</f>
        <v>#N/A</v>
      </c>
      <c r="AT596" s="1036">
        <f t="shared" si="38"/>
        <v>0</v>
      </c>
      <c r="AU596" s="599">
        <f t="shared" si="38"/>
        <v>0</v>
      </c>
      <c r="AV596" s="1030">
        <f>IFERROR(INDEX(V596:AG596,1,MATCH(Parametres!$B$3,V$1:AG$1,0)-1)*IF(OR(C596="L",C596="S",C596="I"),-1,1),"")</f>
        <v>0</v>
      </c>
      <c r="AW596" s="1030">
        <f t="shared" si="39"/>
        <v>0</v>
      </c>
      <c r="AX596" s="1030">
        <f>INDEX(V596:AG596,1,MATCH(Parametres!$B$3,V$1:AG$1,0))*IF(OR(C596="L",C596="S",C596="I"),-1,1)</f>
        <v>0</v>
      </c>
      <c r="AY596" s="598" t="s">
        <v>337</v>
      </c>
      <c r="AZ596" s="598" t="e">
        <f>+VLOOKUP($AJ596,Data_Validation!$A:$E,5,0)</f>
        <v>#N/A</v>
      </c>
    </row>
    <row r="597" spans="36:52" ht="15" customHeight="1">
      <c r="AJ597" s="1030">
        <f t="shared" si="40"/>
        <v>0</v>
      </c>
      <c r="AK597" s="1030">
        <f t="shared" si="40"/>
        <v>0</v>
      </c>
      <c r="AL597" s="1030">
        <f>IFERROR(INDEX(G597:R597,1,MATCH(Parametres!$B$3,G$1:R$1,0)-1)*IF(OR(F597="L",F597="S",F597="I"),-1,1),"")</f>
        <v>0</v>
      </c>
      <c r="AM597" s="1030">
        <f t="shared" si="37"/>
        <v>0</v>
      </c>
      <c r="AN597" s="1030">
        <f>INDEX(G597:R597,1,MATCH(Parametres!$B$3,G$1:R$1,0))*IF(OR(F597="L",F597="S",F597="I"),-1,1)</f>
        <v>0</v>
      </c>
      <c r="AO597" s="598" t="e">
        <f>+VLOOKUP($AJ597,Data_Validation!$A:$D,1,0)</f>
        <v>#N/A</v>
      </c>
      <c r="AP597" s="598" t="e">
        <f>+VLOOKUP($AJ597,Data_Validation!$A:$D,3,0)</f>
        <v>#N/A</v>
      </c>
      <c r="AQ597" s="598" t="e">
        <f>+VLOOKUP($AJ597,Data_Validation!$A:$D,4,0)</f>
        <v>#N/A</v>
      </c>
      <c r="AR597" s="598" t="s">
        <v>299</v>
      </c>
      <c r="AS597" s="598" t="e">
        <f>+VLOOKUP($AJ597,Data_Validation!$A:$E,5,0)</f>
        <v>#N/A</v>
      </c>
      <c r="AT597" s="1036">
        <f t="shared" si="38"/>
        <v>0</v>
      </c>
      <c r="AU597" s="599">
        <f t="shared" si="38"/>
        <v>0</v>
      </c>
      <c r="AV597" s="1030">
        <f>IFERROR(INDEX(V597:AG597,1,MATCH(Parametres!$B$3,V$1:AG$1,0)-1)*IF(OR(C597="L",C597="S",C597="I"),-1,1),"")</f>
        <v>0</v>
      </c>
      <c r="AW597" s="1030">
        <f t="shared" si="39"/>
        <v>0</v>
      </c>
      <c r="AX597" s="1030">
        <f>INDEX(V597:AG597,1,MATCH(Parametres!$B$3,V$1:AG$1,0))*IF(OR(C597="L",C597="S",C597="I"),-1,1)</f>
        <v>0</v>
      </c>
      <c r="AY597" s="598" t="s">
        <v>337</v>
      </c>
      <c r="AZ597" s="598" t="e">
        <f>+VLOOKUP($AJ597,Data_Validation!$A:$E,5,0)</f>
        <v>#N/A</v>
      </c>
    </row>
    <row r="598" spans="36:52" ht="15" customHeight="1">
      <c r="AJ598" s="1030">
        <f t="shared" si="40"/>
        <v>0</v>
      </c>
      <c r="AK598" s="1030">
        <f t="shared" si="40"/>
        <v>0</v>
      </c>
      <c r="AL598" s="1030">
        <f>IFERROR(INDEX(G598:R598,1,MATCH(Parametres!$B$3,G$1:R$1,0)-1)*IF(OR(F598="L",F598="S",F598="I"),-1,1),"")</f>
        <v>0</v>
      </c>
      <c r="AM598" s="1030">
        <f t="shared" si="37"/>
        <v>0</v>
      </c>
      <c r="AN598" s="1030">
        <f>INDEX(G598:R598,1,MATCH(Parametres!$B$3,G$1:R$1,0))*IF(OR(F598="L",F598="S",F598="I"),-1,1)</f>
        <v>0</v>
      </c>
      <c r="AO598" s="598" t="e">
        <f>+VLOOKUP($AJ598,Data_Validation!$A:$D,1,0)</f>
        <v>#N/A</v>
      </c>
      <c r="AP598" s="598" t="e">
        <f>+VLOOKUP($AJ598,Data_Validation!$A:$D,3,0)</f>
        <v>#N/A</v>
      </c>
      <c r="AQ598" s="598" t="e">
        <f>+VLOOKUP($AJ598,Data_Validation!$A:$D,4,0)</f>
        <v>#N/A</v>
      </c>
      <c r="AR598" s="598" t="s">
        <v>299</v>
      </c>
      <c r="AS598" s="598" t="e">
        <f>+VLOOKUP($AJ598,Data_Validation!$A:$E,5,0)</f>
        <v>#N/A</v>
      </c>
      <c r="AT598" s="1036">
        <f t="shared" si="38"/>
        <v>0</v>
      </c>
      <c r="AU598" s="599">
        <f t="shared" si="38"/>
        <v>0</v>
      </c>
      <c r="AV598" s="1030">
        <f>IFERROR(INDEX(V598:AG598,1,MATCH(Parametres!$B$3,V$1:AG$1,0)-1)*IF(OR(C598="L",C598="S",C598="I"),-1,1),"")</f>
        <v>0</v>
      </c>
      <c r="AW598" s="1030">
        <f t="shared" si="39"/>
        <v>0</v>
      </c>
      <c r="AX598" s="1030">
        <f>INDEX(V598:AG598,1,MATCH(Parametres!$B$3,V$1:AG$1,0))*IF(OR(C598="L",C598="S",C598="I"),-1,1)</f>
        <v>0</v>
      </c>
      <c r="AY598" s="598" t="s">
        <v>337</v>
      </c>
      <c r="AZ598" s="598" t="e">
        <f>+VLOOKUP($AJ598,Data_Validation!$A:$E,5,0)</f>
        <v>#N/A</v>
      </c>
    </row>
    <row r="599" spans="36:52" ht="15" customHeight="1">
      <c r="AJ599" s="1030">
        <f t="shared" si="40"/>
        <v>0</v>
      </c>
      <c r="AK599" s="1030">
        <f t="shared" si="40"/>
        <v>0</v>
      </c>
      <c r="AL599" s="1030">
        <f>IFERROR(INDEX(G599:R599,1,MATCH(Parametres!$B$3,G$1:R$1,0)-1)*IF(OR(F599="L",F599="S",F599="I"),-1,1),"")</f>
        <v>0</v>
      </c>
      <c r="AM599" s="1030">
        <f t="shared" si="37"/>
        <v>0</v>
      </c>
      <c r="AN599" s="1030">
        <f>INDEX(G599:R599,1,MATCH(Parametres!$B$3,G$1:R$1,0))*IF(OR(F599="L",F599="S",F599="I"),-1,1)</f>
        <v>0</v>
      </c>
      <c r="AO599" s="598" t="e">
        <f>+VLOOKUP($AJ599,Data_Validation!$A:$D,1,0)</f>
        <v>#N/A</v>
      </c>
      <c r="AP599" s="598" t="e">
        <f>+VLOOKUP($AJ599,Data_Validation!$A:$D,3,0)</f>
        <v>#N/A</v>
      </c>
      <c r="AQ599" s="598" t="e">
        <f>+VLOOKUP($AJ599,Data_Validation!$A:$D,4,0)</f>
        <v>#N/A</v>
      </c>
      <c r="AR599" s="598" t="s">
        <v>299</v>
      </c>
      <c r="AS599" s="598" t="e">
        <f>+VLOOKUP($AJ599,Data_Validation!$A:$E,5,0)</f>
        <v>#N/A</v>
      </c>
      <c r="AT599" s="1036">
        <f t="shared" si="38"/>
        <v>0</v>
      </c>
      <c r="AU599" s="599">
        <f t="shared" si="38"/>
        <v>0</v>
      </c>
      <c r="AV599" s="1030">
        <f>IFERROR(INDEX(V599:AG599,1,MATCH(Parametres!$B$3,V$1:AG$1,0)-1)*IF(OR(C599="L",C599="S",C599="I"),-1,1),"")</f>
        <v>0</v>
      </c>
      <c r="AW599" s="1030">
        <f t="shared" si="39"/>
        <v>0</v>
      </c>
      <c r="AX599" s="1030">
        <f>INDEX(V599:AG599,1,MATCH(Parametres!$B$3,V$1:AG$1,0))*IF(OR(C599="L",C599="S",C599="I"),-1,1)</f>
        <v>0</v>
      </c>
      <c r="AY599" s="598" t="s">
        <v>337</v>
      </c>
      <c r="AZ599" s="598" t="e">
        <f>+VLOOKUP($AJ599,Data_Validation!$A:$E,5,0)</f>
        <v>#N/A</v>
      </c>
    </row>
    <row r="600" spans="36:52" ht="15" customHeight="1">
      <c r="AJ600" s="1030">
        <f t="shared" si="40"/>
        <v>0</v>
      </c>
      <c r="AK600" s="1030">
        <f t="shared" si="40"/>
        <v>0</v>
      </c>
      <c r="AL600" s="1030">
        <f>IFERROR(INDEX(G600:R600,1,MATCH(Parametres!$B$3,G$1:R$1,0)-1)*IF(OR(F600="L",F600="S",F600="I"),-1,1),"")</f>
        <v>0</v>
      </c>
      <c r="AM600" s="1030">
        <f t="shared" si="37"/>
        <v>0</v>
      </c>
      <c r="AN600" s="1030">
        <f>INDEX(G600:R600,1,MATCH(Parametres!$B$3,G$1:R$1,0))*IF(OR(F600="L",F600="S",F600="I"),-1,1)</f>
        <v>0</v>
      </c>
      <c r="AO600" s="598" t="e">
        <f>+VLOOKUP($AJ600,Data_Validation!$A:$D,1,0)</f>
        <v>#N/A</v>
      </c>
      <c r="AP600" s="598" t="e">
        <f>+VLOOKUP($AJ600,Data_Validation!$A:$D,3,0)</f>
        <v>#N/A</v>
      </c>
      <c r="AQ600" s="598" t="e">
        <f>+VLOOKUP($AJ600,Data_Validation!$A:$D,4,0)</f>
        <v>#N/A</v>
      </c>
      <c r="AR600" s="598" t="s">
        <v>299</v>
      </c>
      <c r="AS600" s="598" t="e">
        <f>+VLOOKUP($AJ600,Data_Validation!$A:$E,5,0)</f>
        <v>#N/A</v>
      </c>
      <c r="AT600" s="1036">
        <f t="shared" si="38"/>
        <v>0</v>
      </c>
      <c r="AU600" s="599">
        <f t="shared" si="38"/>
        <v>0</v>
      </c>
      <c r="AV600" s="1030">
        <f>IFERROR(INDEX(V600:AG600,1,MATCH(Parametres!$B$3,V$1:AG$1,0)-1)*IF(OR(C600="L",C600="S",C600="I"),-1,1),"")</f>
        <v>0</v>
      </c>
      <c r="AW600" s="1030">
        <f t="shared" si="39"/>
        <v>0</v>
      </c>
      <c r="AX600" s="1030">
        <f>INDEX(V600:AG600,1,MATCH(Parametres!$B$3,V$1:AG$1,0))*IF(OR(C600="L",C600="S",C600="I"),-1,1)</f>
        <v>0</v>
      </c>
      <c r="AY600" s="598" t="s">
        <v>337</v>
      </c>
      <c r="AZ600" s="598" t="e">
        <f>+VLOOKUP($AJ600,Data_Validation!$A:$E,5,0)</f>
        <v>#N/A</v>
      </c>
    </row>
    <row r="601" spans="36:52" ht="15" customHeight="1">
      <c r="AJ601" s="1030">
        <f t="shared" si="40"/>
        <v>0</v>
      </c>
      <c r="AK601" s="1030">
        <f t="shared" si="40"/>
        <v>0</v>
      </c>
      <c r="AL601" s="1030">
        <f>IFERROR(INDEX(G601:R601,1,MATCH(Parametres!$B$3,G$1:R$1,0)-1)*IF(OR(F601="L",F601="S",F601="I"),-1,1),"")</f>
        <v>0</v>
      </c>
      <c r="AM601" s="1030">
        <f t="shared" si="37"/>
        <v>0</v>
      </c>
      <c r="AN601" s="1030">
        <f>INDEX(G601:R601,1,MATCH(Parametres!$B$3,G$1:R$1,0))*IF(OR(F601="L",F601="S",F601="I"),-1,1)</f>
        <v>0</v>
      </c>
      <c r="AO601" s="598" t="e">
        <f>+VLOOKUP($AJ601,Data_Validation!$A:$D,1,0)</f>
        <v>#N/A</v>
      </c>
      <c r="AP601" s="598" t="e">
        <f>+VLOOKUP($AJ601,Data_Validation!$A:$D,3,0)</f>
        <v>#N/A</v>
      </c>
      <c r="AQ601" s="598" t="e">
        <f>+VLOOKUP($AJ601,Data_Validation!$A:$D,4,0)</f>
        <v>#N/A</v>
      </c>
      <c r="AR601" s="598" t="s">
        <v>299</v>
      </c>
      <c r="AS601" s="598" t="e">
        <f>+VLOOKUP($AJ601,Data_Validation!$A:$E,5,0)</f>
        <v>#N/A</v>
      </c>
      <c r="AT601" s="1036">
        <f t="shared" si="38"/>
        <v>0</v>
      </c>
      <c r="AU601" s="599">
        <f t="shared" si="38"/>
        <v>0</v>
      </c>
      <c r="AV601" s="1030">
        <f>IFERROR(INDEX(V601:AG601,1,MATCH(Parametres!$B$3,V$1:AG$1,0)-1)*IF(OR(C601="L",C601="S",C601="I"),-1,1),"")</f>
        <v>0</v>
      </c>
      <c r="AW601" s="1030">
        <f t="shared" si="39"/>
        <v>0</v>
      </c>
      <c r="AX601" s="1030">
        <f>INDEX(V601:AG601,1,MATCH(Parametres!$B$3,V$1:AG$1,0))*IF(OR(C601="L",C601="S",C601="I"),-1,1)</f>
        <v>0</v>
      </c>
      <c r="AY601" s="598" t="s">
        <v>337</v>
      </c>
      <c r="AZ601" s="598" t="e">
        <f>+VLOOKUP($AJ601,Data_Validation!$A:$E,5,0)</f>
        <v>#N/A</v>
      </c>
    </row>
    <row r="602" spans="36:52" ht="15" customHeight="1">
      <c r="AJ602" s="1030">
        <f t="shared" si="40"/>
        <v>0</v>
      </c>
      <c r="AK602" s="1030">
        <f t="shared" si="40"/>
        <v>0</v>
      </c>
      <c r="AL602" s="1030">
        <f>IFERROR(INDEX(G602:R602,1,MATCH(Parametres!$B$3,G$1:R$1,0)-1)*IF(OR(F602="L",F602="S",F602="I"),-1,1),"")</f>
        <v>0</v>
      </c>
      <c r="AM602" s="1030">
        <f t="shared" si="37"/>
        <v>0</v>
      </c>
      <c r="AN602" s="1030">
        <f>INDEX(G602:R602,1,MATCH(Parametres!$B$3,G$1:R$1,0))*IF(OR(F602="L",F602="S",F602="I"),-1,1)</f>
        <v>0</v>
      </c>
      <c r="AO602" s="598" t="e">
        <f>+VLOOKUP($AJ602,Data_Validation!$A:$D,1,0)</f>
        <v>#N/A</v>
      </c>
      <c r="AP602" s="598" t="e">
        <f>+VLOOKUP($AJ602,Data_Validation!$A:$D,3,0)</f>
        <v>#N/A</v>
      </c>
      <c r="AQ602" s="598" t="e">
        <f>+VLOOKUP($AJ602,Data_Validation!$A:$D,4,0)</f>
        <v>#N/A</v>
      </c>
      <c r="AR602" s="598" t="s">
        <v>299</v>
      </c>
      <c r="AS602" s="598" t="e">
        <f>+VLOOKUP($AJ602,Data_Validation!$A:$E,5,0)</f>
        <v>#N/A</v>
      </c>
      <c r="AT602" s="1036">
        <f t="shared" si="38"/>
        <v>0</v>
      </c>
      <c r="AU602" s="599">
        <f t="shared" si="38"/>
        <v>0</v>
      </c>
      <c r="AV602" s="1030">
        <f>IFERROR(INDEX(V602:AG602,1,MATCH(Parametres!$B$3,V$1:AG$1,0)-1)*IF(OR(C602="L",C602="S",C602="I"),-1,1),"")</f>
        <v>0</v>
      </c>
      <c r="AW602" s="1030">
        <f t="shared" si="39"/>
        <v>0</v>
      </c>
      <c r="AX602" s="1030">
        <f>INDEX(V602:AG602,1,MATCH(Parametres!$B$3,V$1:AG$1,0))*IF(OR(C602="L",C602="S",C602="I"),-1,1)</f>
        <v>0</v>
      </c>
      <c r="AY602" s="598" t="s">
        <v>337</v>
      </c>
      <c r="AZ602" s="598" t="e">
        <f>+VLOOKUP($AJ602,Data_Validation!$A:$E,5,0)</f>
        <v>#N/A</v>
      </c>
    </row>
    <row r="603" spans="36:52" ht="15" customHeight="1">
      <c r="AJ603" s="1030">
        <f t="shared" si="40"/>
        <v>0</v>
      </c>
      <c r="AK603" s="1030">
        <f t="shared" si="40"/>
        <v>0</v>
      </c>
      <c r="AL603" s="1030">
        <f>IFERROR(INDEX(G603:R603,1,MATCH(Parametres!$B$3,G$1:R$1,0)-1)*IF(OR(F603="L",F603="S",F603="I"),-1,1),"")</f>
        <v>0</v>
      </c>
      <c r="AM603" s="1030">
        <f t="shared" si="37"/>
        <v>0</v>
      </c>
      <c r="AN603" s="1030">
        <f>INDEX(G603:R603,1,MATCH(Parametres!$B$3,G$1:R$1,0))*IF(OR(F603="L",F603="S",F603="I"),-1,1)</f>
        <v>0</v>
      </c>
      <c r="AO603" s="598" t="e">
        <f>+VLOOKUP($AJ603,Data_Validation!$A:$D,1,0)</f>
        <v>#N/A</v>
      </c>
      <c r="AP603" s="598" t="e">
        <f>+VLOOKUP($AJ603,Data_Validation!$A:$D,3,0)</f>
        <v>#N/A</v>
      </c>
      <c r="AQ603" s="598" t="e">
        <f>+VLOOKUP($AJ603,Data_Validation!$A:$D,4,0)</f>
        <v>#N/A</v>
      </c>
      <c r="AR603" s="598" t="s">
        <v>299</v>
      </c>
      <c r="AS603" s="598" t="e">
        <f>+VLOOKUP($AJ603,Data_Validation!$A:$E,5,0)</f>
        <v>#N/A</v>
      </c>
      <c r="AT603" s="1036">
        <f t="shared" si="38"/>
        <v>0</v>
      </c>
      <c r="AU603" s="599">
        <f t="shared" si="38"/>
        <v>0</v>
      </c>
      <c r="AV603" s="1030">
        <f>IFERROR(INDEX(V603:AG603,1,MATCH(Parametres!$B$3,V$1:AG$1,0)-1)*IF(OR(C603="L",C603="S",C603="I"),-1,1),"")</f>
        <v>0</v>
      </c>
      <c r="AW603" s="1030">
        <f t="shared" si="39"/>
        <v>0</v>
      </c>
      <c r="AX603" s="1030">
        <f>INDEX(V603:AG603,1,MATCH(Parametres!$B$3,V$1:AG$1,0))*IF(OR(C603="L",C603="S",C603="I"),-1,1)</f>
        <v>0</v>
      </c>
      <c r="AY603" s="598" t="s">
        <v>337</v>
      </c>
      <c r="AZ603" s="598" t="e">
        <f>+VLOOKUP($AJ603,Data_Validation!$A:$E,5,0)</f>
        <v>#N/A</v>
      </c>
    </row>
    <row r="604" spans="36:52" ht="15" customHeight="1">
      <c r="AJ604" s="1030">
        <f t="shared" si="40"/>
        <v>0</v>
      </c>
      <c r="AK604" s="1030">
        <f t="shared" si="40"/>
        <v>0</v>
      </c>
      <c r="AL604" s="1030">
        <f>IFERROR(INDEX(G604:R604,1,MATCH(Parametres!$B$3,G$1:R$1,0)-1)*IF(OR(F604="L",F604="S",F604="I"),-1,1),"")</f>
        <v>0</v>
      </c>
      <c r="AM604" s="1030">
        <f t="shared" si="37"/>
        <v>0</v>
      </c>
      <c r="AN604" s="1030">
        <f>INDEX(G604:R604,1,MATCH(Parametres!$B$3,G$1:R$1,0))*IF(OR(F604="L",F604="S",F604="I"),-1,1)</f>
        <v>0</v>
      </c>
      <c r="AO604" s="598" t="e">
        <f>+VLOOKUP($AJ604,Data_Validation!$A:$D,1,0)</f>
        <v>#N/A</v>
      </c>
      <c r="AP604" s="598" t="e">
        <f>+VLOOKUP($AJ604,Data_Validation!$A:$D,3,0)</f>
        <v>#N/A</v>
      </c>
      <c r="AQ604" s="598" t="e">
        <f>+VLOOKUP($AJ604,Data_Validation!$A:$D,4,0)</f>
        <v>#N/A</v>
      </c>
      <c r="AR604" s="598" t="s">
        <v>299</v>
      </c>
      <c r="AS604" s="598" t="e">
        <f>+VLOOKUP($AJ604,Data_Validation!$A:$E,5,0)</f>
        <v>#N/A</v>
      </c>
      <c r="AT604" s="1036">
        <f t="shared" si="38"/>
        <v>0</v>
      </c>
      <c r="AU604" s="599">
        <f t="shared" si="38"/>
        <v>0</v>
      </c>
      <c r="AV604" s="1030">
        <f>IFERROR(INDEX(V604:AG604,1,MATCH(Parametres!$B$3,V$1:AG$1,0)-1)*IF(OR(C604="L",C604="S",C604="I"),-1,1),"")</f>
        <v>0</v>
      </c>
      <c r="AW604" s="1030">
        <f t="shared" si="39"/>
        <v>0</v>
      </c>
      <c r="AX604" s="1030">
        <f>INDEX(V604:AG604,1,MATCH(Parametres!$B$3,V$1:AG$1,0))*IF(OR(C604="L",C604="S",C604="I"),-1,1)</f>
        <v>0</v>
      </c>
      <c r="AY604" s="598" t="s">
        <v>337</v>
      </c>
      <c r="AZ604" s="598" t="e">
        <f>+VLOOKUP($AJ604,Data_Validation!$A:$E,5,0)</f>
        <v>#N/A</v>
      </c>
    </row>
    <row r="605" spans="36:52" ht="15" customHeight="1">
      <c r="AJ605" s="1030">
        <f t="shared" si="40"/>
        <v>0</v>
      </c>
      <c r="AK605" s="1030">
        <f t="shared" si="40"/>
        <v>0</v>
      </c>
      <c r="AL605" s="1030">
        <f>IFERROR(INDEX(G605:R605,1,MATCH(Parametres!$B$3,G$1:R$1,0)-1)*IF(OR(F605="L",F605="S",F605="I"),-1,1),"")</f>
        <v>0</v>
      </c>
      <c r="AM605" s="1030">
        <f t="shared" si="37"/>
        <v>0</v>
      </c>
      <c r="AN605" s="1030">
        <f>INDEX(G605:R605,1,MATCH(Parametres!$B$3,G$1:R$1,0))*IF(OR(F605="L",F605="S",F605="I"),-1,1)</f>
        <v>0</v>
      </c>
      <c r="AO605" s="598" t="e">
        <f>+VLOOKUP($AJ605,Data_Validation!$A:$D,1,0)</f>
        <v>#N/A</v>
      </c>
      <c r="AP605" s="598" t="e">
        <f>+VLOOKUP($AJ605,Data_Validation!$A:$D,3,0)</f>
        <v>#N/A</v>
      </c>
      <c r="AQ605" s="598" t="e">
        <f>+VLOOKUP($AJ605,Data_Validation!$A:$D,4,0)</f>
        <v>#N/A</v>
      </c>
      <c r="AR605" s="598" t="s">
        <v>299</v>
      </c>
      <c r="AS605" s="598" t="e">
        <f>+VLOOKUP($AJ605,Data_Validation!$A:$E,5,0)</f>
        <v>#N/A</v>
      </c>
      <c r="AT605" s="1036">
        <f t="shared" si="38"/>
        <v>0</v>
      </c>
      <c r="AU605" s="599">
        <f t="shared" si="38"/>
        <v>0</v>
      </c>
      <c r="AV605" s="1030">
        <f>IFERROR(INDEX(V605:AG605,1,MATCH(Parametres!$B$3,V$1:AG$1,0)-1)*IF(OR(C605="L",C605="S",C605="I"),-1,1),"")</f>
        <v>0</v>
      </c>
      <c r="AW605" s="1030">
        <f t="shared" si="39"/>
        <v>0</v>
      </c>
      <c r="AX605" s="1030">
        <f>INDEX(V605:AG605,1,MATCH(Parametres!$B$3,V$1:AG$1,0))*IF(OR(C605="L",C605="S",C605="I"),-1,1)</f>
        <v>0</v>
      </c>
      <c r="AY605" s="598" t="s">
        <v>337</v>
      </c>
      <c r="AZ605" s="598" t="e">
        <f>+VLOOKUP($AJ605,Data_Validation!$A:$E,5,0)</f>
        <v>#N/A</v>
      </c>
    </row>
    <row r="606" spans="36:52" ht="15" customHeight="1">
      <c r="AJ606" s="1030">
        <f t="shared" si="40"/>
        <v>0</v>
      </c>
      <c r="AK606" s="1030">
        <f t="shared" si="40"/>
        <v>0</v>
      </c>
      <c r="AL606" s="1030">
        <f>IFERROR(INDEX(G606:R606,1,MATCH(Parametres!$B$3,G$1:R$1,0)-1)*IF(OR(F606="L",F606="S",F606="I"),-1,1),"")</f>
        <v>0</v>
      </c>
      <c r="AM606" s="1030">
        <f t="shared" si="37"/>
        <v>0</v>
      </c>
      <c r="AN606" s="1030">
        <f>INDEX(G606:R606,1,MATCH(Parametres!$B$3,G$1:R$1,0))*IF(OR(F606="L",F606="S",F606="I"),-1,1)</f>
        <v>0</v>
      </c>
      <c r="AO606" s="598" t="e">
        <f>+VLOOKUP($AJ606,Data_Validation!$A:$D,1,0)</f>
        <v>#N/A</v>
      </c>
      <c r="AP606" s="598" t="e">
        <f>+VLOOKUP($AJ606,Data_Validation!$A:$D,3,0)</f>
        <v>#N/A</v>
      </c>
      <c r="AQ606" s="598" t="e">
        <f>+VLOOKUP($AJ606,Data_Validation!$A:$D,4,0)</f>
        <v>#N/A</v>
      </c>
      <c r="AR606" s="598" t="s">
        <v>299</v>
      </c>
      <c r="AS606" s="598" t="e">
        <f>+VLOOKUP($AJ606,Data_Validation!$A:$E,5,0)</f>
        <v>#N/A</v>
      </c>
      <c r="AT606" s="1036">
        <f t="shared" si="38"/>
        <v>0</v>
      </c>
      <c r="AU606" s="599">
        <f t="shared" si="38"/>
        <v>0</v>
      </c>
      <c r="AV606" s="1030">
        <f>IFERROR(INDEX(V606:AG606,1,MATCH(Parametres!$B$3,V$1:AG$1,0)-1)*IF(OR(C606="L",C606="S",C606="I"),-1,1),"")</f>
        <v>0</v>
      </c>
      <c r="AW606" s="1030">
        <f t="shared" si="39"/>
        <v>0</v>
      </c>
      <c r="AX606" s="1030">
        <f>INDEX(V606:AG606,1,MATCH(Parametres!$B$3,V$1:AG$1,0))*IF(OR(C606="L",C606="S",C606="I"),-1,1)</f>
        <v>0</v>
      </c>
      <c r="AY606" s="598" t="s">
        <v>337</v>
      </c>
      <c r="AZ606" s="598" t="e">
        <f>+VLOOKUP($AJ606,Data_Validation!$A:$E,5,0)</f>
        <v>#N/A</v>
      </c>
    </row>
    <row r="607" spans="36:52" ht="15" customHeight="1">
      <c r="AJ607" s="1030">
        <f t="shared" si="40"/>
        <v>0</v>
      </c>
      <c r="AK607" s="1030">
        <f t="shared" si="40"/>
        <v>0</v>
      </c>
      <c r="AL607" s="1030">
        <f>IFERROR(INDEX(G607:R607,1,MATCH(Parametres!$B$3,G$1:R$1,0)-1)*IF(OR(F607="L",F607="S",F607="I"),-1,1),"")</f>
        <v>0</v>
      </c>
      <c r="AM607" s="1030">
        <f t="shared" si="37"/>
        <v>0</v>
      </c>
      <c r="AN607" s="1030">
        <f>INDEX(G607:R607,1,MATCH(Parametres!$B$3,G$1:R$1,0))*IF(OR(F607="L",F607="S",F607="I"),-1,1)</f>
        <v>0</v>
      </c>
      <c r="AO607" s="598" t="e">
        <f>+VLOOKUP($AJ607,Data_Validation!$A:$D,1,0)</f>
        <v>#N/A</v>
      </c>
      <c r="AP607" s="598" t="e">
        <f>+VLOOKUP($AJ607,Data_Validation!$A:$D,3,0)</f>
        <v>#N/A</v>
      </c>
      <c r="AQ607" s="598" t="e">
        <f>+VLOOKUP($AJ607,Data_Validation!$A:$D,4,0)</f>
        <v>#N/A</v>
      </c>
      <c r="AR607" s="598" t="s">
        <v>299</v>
      </c>
      <c r="AS607" s="598" t="e">
        <f>+VLOOKUP($AJ607,Data_Validation!$A:$E,5,0)</f>
        <v>#N/A</v>
      </c>
      <c r="AT607" s="1036">
        <f t="shared" si="38"/>
        <v>0</v>
      </c>
      <c r="AU607" s="599">
        <f t="shared" si="38"/>
        <v>0</v>
      </c>
      <c r="AV607" s="1030">
        <f>IFERROR(INDEX(V607:AG607,1,MATCH(Parametres!$B$3,V$1:AG$1,0)-1)*IF(OR(C607="L",C607="S",C607="I"),-1,1),"")</f>
        <v>0</v>
      </c>
      <c r="AW607" s="1030">
        <f t="shared" si="39"/>
        <v>0</v>
      </c>
      <c r="AX607" s="1030">
        <f>INDEX(V607:AG607,1,MATCH(Parametres!$B$3,V$1:AG$1,0))*IF(OR(C607="L",C607="S",C607="I"),-1,1)</f>
        <v>0</v>
      </c>
      <c r="AY607" s="598" t="s">
        <v>337</v>
      </c>
      <c r="AZ607" s="598" t="e">
        <f>+VLOOKUP($AJ607,Data_Validation!$A:$E,5,0)</f>
        <v>#N/A</v>
      </c>
    </row>
    <row r="608" spans="36:52" ht="15" customHeight="1">
      <c r="AJ608" s="1030">
        <f t="shared" si="40"/>
        <v>0</v>
      </c>
      <c r="AK608" s="1030">
        <f t="shared" si="40"/>
        <v>0</v>
      </c>
      <c r="AL608" s="1030">
        <f>IFERROR(INDEX(G608:R608,1,MATCH(Parametres!$B$3,G$1:R$1,0)-1)*IF(OR(F608="L",F608="S",F608="I"),-1,1),"")</f>
        <v>0</v>
      </c>
      <c r="AM608" s="1030">
        <f t="shared" si="37"/>
        <v>0</v>
      </c>
      <c r="AN608" s="1030">
        <f>INDEX(G608:R608,1,MATCH(Parametres!$B$3,G$1:R$1,0))*IF(OR(F608="L",F608="S",F608="I"),-1,1)</f>
        <v>0</v>
      </c>
      <c r="AO608" s="598" t="e">
        <f>+VLOOKUP($AJ608,Data_Validation!$A:$D,1,0)</f>
        <v>#N/A</v>
      </c>
      <c r="AP608" s="598" t="e">
        <f>+VLOOKUP($AJ608,Data_Validation!$A:$D,3,0)</f>
        <v>#N/A</v>
      </c>
      <c r="AQ608" s="598" t="e">
        <f>+VLOOKUP($AJ608,Data_Validation!$A:$D,4,0)</f>
        <v>#N/A</v>
      </c>
      <c r="AR608" s="598" t="s">
        <v>299</v>
      </c>
      <c r="AS608" s="598" t="e">
        <f>+VLOOKUP($AJ608,Data_Validation!$A:$E,5,0)</f>
        <v>#N/A</v>
      </c>
      <c r="AT608" s="1036">
        <f t="shared" si="38"/>
        <v>0</v>
      </c>
      <c r="AU608" s="599">
        <f t="shared" si="38"/>
        <v>0</v>
      </c>
      <c r="AV608" s="1030">
        <f>IFERROR(INDEX(V608:AG608,1,MATCH(Parametres!$B$3,V$1:AG$1,0)-1)*IF(OR(C608="L",C608="S",C608="I"),-1,1),"")</f>
        <v>0</v>
      </c>
      <c r="AW608" s="1030">
        <f t="shared" si="39"/>
        <v>0</v>
      </c>
      <c r="AX608" s="1030">
        <f>INDEX(V608:AG608,1,MATCH(Parametres!$B$3,V$1:AG$1,0))*IF(OR(C608="L",C608="S",C608="I"),-1,1)</f>
        <v>0</v>
      </c>
      <c r="AY608" s="598" t="s">
        <v>337</v>
      </c>
      <c r="AZ608" s="598" t="e">
        <f>+VLOOKUP($AJ608,Data_Validation!$A:$E,5,0)</f>
        <v>#N/A</v>
      </c>
    </row>
    <row r="609" spans="36:52" ht="15" customHeight="1">
      <c r="AJ609" s="1030">
        <f t="shared" si="40"/>
        <v>0</v>
      </c>
      <c r="AK609" s="1030">
        <f t="shared" si="40"/>
        <v>0</v>
      </c>
      <c r="AL609" s="1030">
        <f>IFERROR(INDEX(G609:R609,1,MATCH(Parametres!$B$3,G$1:R$1,0)-1)*IF(OR(F609="L",F609="S",F609="I"),-1,1),"")</f>
        <v>0</v>
      </c>
      <c r="AM609" s="1030">
        <f t="shared" si="37"/>
        <v>0</v>
      </c>
      <c r="AN609" s="1030">
        <f>INDEX(G609:R609,1,MATCH(Parametres!$B$3,G$1:R$1,0))*IF(OR(F609="L",F609="S",F609="I"),-1,1)</f>
        <v>0</v>
      </c>
      <c r="AO609" s="598" t="e">
        <f>+VLOOKUP($AJ609,Data_Validation!$A:$D,1,0)</f>
        <v>#N/A</v>
      </c>
      <c r="AP609" s="598" t="e">
        <f>+VLOOKUP($AJ609,Data_Validation!$A:$D,3,0)</f>
        <v>#N/A</v>
      </c>
      <c r="AQ609" s="598" t="e">
        <f>+VLOOKUP($AJ609,Data_Validation!$A:$D,4,0)</f>
        <v>#N/A</v>
      </c>
      <c r="AR609" s="598" t="s">
        <v>299</v>
      </c>
      <c r="AS609" s="598" t="e">
        <f>+VLOOKUP($AJ609,Data_Validation!$A:$E,5,0)</f>
        <v>#N/A</v>
      </c>
      <c r="AT609" s="1036">
        <f t="shared" si="38"/>
        <v>0</v>
      </c>
      <c r="AU609" s="599">
        <f t="shared" si="38"/>
        <v>0</v>
      </c>
      <c r="AV609" s="1030">
        <f>IFERROR(INDEX(V609:AG609,1,MATCH(Parametres!$B$3,V$1:AG$1,0)-1)*IF(OR(C609="L",C609="S",C609="I"),-1,1),"")</f>
        <v>0</v>
      </c>
      <c r="AW609" s="1030">
        <f t="shared" si="39"/>
        <v>0</v>
      </c>
      <c r="AX609" s="1030">
        <f>INDEX(V609:AG609,1,MATCH(Parametres!$B$3,V$1:AG$1,0))*IF(OR(C609="L",C609="S",C609="I"),-1,1)</f>
        <v>0</v>
      </c>
      <c r="AY609" s="598" t="s">
        <v>337</v>
      </c>
      <c r="AZ609" s="598" t="e">
        <f>+VLOOKUP($AJ609,Data_Validation!$A:$E,5,0)</f>
        <v>#N/A</v>
      </c>
    </row>
    <row r="610" spans="36:52" ht="15" customHeight="1">
      <c r="AJ610" s="1030">
        <f t="shared" si="40"/>
        <v>0</v>
      </c>
      <c r="AK610" s="1030">
        <f t="shared" si="40"/>
        <v>0</v>
      </c>
      <c r="AL610" s="1030">
        <f>IFERROR(INDEX(G610:R610,1,MATCH(Parametres!$B$3,G$1:R$1,0)-1)*IF(OR(F610="L",F610="S",F610="I"),-1,1),"")</f>
        <v>0</v>
      </c>
      <c r="AM610" s="1030">
        <f t="shared" si="37"/>
        <v>0</v>
      </c>
      <c r="AN610" s="1030">
        <f>INDEX(G610:R610,1,MATCH(Parametres!$B$3,G$1:R$1,0))*IF(OR(F610="L",F610="S",F610="I"),-1,1)</f>
        <v>0</v>
      </c>
      <c r="AO610" s="598" t="e">
        <f>+VLOOKUP($AJ610,Data_Validation!$A:$D,1,0)</f>
        <v>#N/A</v>
      </c>
      <c r="AP610" s="598" t="e">
        <f>+VLOOKUP($AJ610,Data_Validation!$A:$D,3,0)</f>
        <v>#N/A</v>
      </c>
      <c r="AQ610" s="598" t="e">
        <f>+VLOOKUP($AJ610,Data_Validation!$A:$D,4,0)</f>
        <v>#N/A</v>
      </c>
      <c r="AR610" s="598" t="s">
        <v>299</v>
      </c>
      <c r="AS610" s="598" t="e">
        <f>+VLOOKUP($AJ610,Data_Validation!$A:$E,5,0)</f>
        <v>#N/A</v>
      </c>
      <c r="AT610" s="1036">
        <f t="shared" si="38"/>
        <v>0</v>
      </c>
      <c r="AU610" s="599">
        <f t="shared" si="38"/>
        <v>0</v>
      </c>
      <c r="AV610" s="1030">
        <f>IFERROR(INDEX(V610:AG610,1,MATCH(Parametres!$B$3,V$1:AG$1,0)-1)*IF(OR(C610="L",C610="S",C610="I"),-1,1),"")</f>
        <v>0</v>
      </c>
      <c r="AW610" s="1030">
        <f t="shared" si="39"/>
        <v>0</v>
      </c>
      <c r="AX610" s="1030">
        <f>INDEX(V610:AG610,1,MATCH(Parametres!$B$3,V$1:AG$1,0))*IF(OR(C610="L",C610="S",C610="I"),-1,1)</f>
        <v>0</v>
      </c>
      <c r="AY610" s="598" t="s">
        <v>337</v>
      </c>
      <c r="AZ610" s="598" t="e">
        <f>+VLOOKUP($AJ610,Data_Validation!$A:$E,5,0)</f>
        <v>#N/A</v>
      </c>
    </row>
    <row r="611" spans="36:52" ht="15" customHeight="1">
      <c r="AJ611" s="1030">
        <f t="shared" si="40"/>
        <v>0</v>
      </c>
      <c r="AK611" s="1030">
        <f t="shared" si="40"/>
        <v>0</v>
      </c>
      <c r="AL611" s="1030">
        <f>IFERROR(INDEX(G611:R611,1,MATCH(Parametres!$B$3,G$1:R$1,0)-1)*IF(OR(F611="L",F611="S",F611="I"),-1,1),"")</f>
        <v>0</v>
      </c>
      <c r="AM611" s="1030">
        <f t="shared" si="37"/>
        <v>0</v>
      </c>
      <c r="AN611" s="1030">
        <f>INDEX(G611:R611,1,MATCH(Parametres!$B$3,G$1:R$1,0))*IF(OR(F611="L",F611="S",F611="I"),-1,1)</f>
        <v>0</v>
      </c>
      <c r="AO611" s="598" t="e">
        <f>+VLOOKUP($AJ611,Data_Validation!$A:$D,1,0)</f>
        <v>#N/A</v>
      </c>
      <c r="AP611" s="598" t="e">
        <f>+VLOOKUP($AJ611,Data_Validation!$A:$D,3,0)</f>
        <v>#N/A</v>
      </c>
      <c r="AQ611" s="598" t="e">
        <f>+VLOOKUP($AJ611,Data_Validation!$A:$D,4,0)</f>
        <v>#N/A</v>
      </c>
      <c r="AR611" s="598" t="s">
        <v>299</v>
      </c>
      <c r="AS611" s="598" t="e">
        <f>+VLOOKUP($AJ611,Data_Validation!$A:$E,5,0)</f>
        <v>#N/A</v>
      </c>
      <c r="AT611" s="1036">
        <f t="shared" si="38"/>
        <v>0</v>
      </c>
      <c r="AU611" s="599">
        <f t="shared" si="38"/>
        <v>0</v>
      </c>
      <c r="AV611" s="1030">
        <f>IFERROR(INDEX(V611:AG611,1,MATCH(Parametres!$B$3,V$1:AG$1,0)-1)*IF(OR(C611="L",C611="S",C611="I"),-1,1),"")</f>
        <v>0</v>
      </c>
      <c r="AW611" s="1030">
        <f t="shared" si="39"/>
        <v>0</v>
      </c>
      <c r="AX611" s="1030">
        <f>INDEX(V611:AG611,1,MATCH(Parametres!$B$3,V$1:AG$1,0))*IF(OR(C611="L",C611="S",C611="I"),-1,1)</f>
        <v>0</v>
      </c>
      <c r="AY611" s="598" t="s">
        <v>337</v>
      </c>
      <c r="AZ611" s="598" t="e">
        <f>+VLOOKUP($AJ611,Data_Validation!$A:$E,5,0)</f>
        <v>#N/A</v>
      </c>
    </row>
    <row r="612" spans="36:52" ht="15" customHeight="1">
      <c r="AJ612" s="1030">
        <f t="shared" si="40"/>
        <v>0</v>
      </c>
      <c r="AK612" s="1030">
        <f t="shared" si="40"/>
        <v>0</v>
      </c>
      <c r="AL612" s="1030">
        <f>IFERROR(INDEX(G612:R612,1,MATCH(Parametres!$B$3,G$1:R$1,0)-1)*IF(OR(F612="L",F612="S",F612="I"),-1,1),"")</f>
        <v>0</v>
      </c>
      <c r="AM612" s="1030">
        <f t="shared" si="37"/>
        <v>0</v>
      </c>
      <c r="AN612" s="1030">
        <f>INDEX(G612:R612,1,MATCH(Parametres!$B$3,G$1:R$1,0))*IF(OR(F612="L",F612="S",F612="I"),-1,1)</f>
        <v>0</v>
      </c>
      <c r="AO612" s="598" t="e">
        <f>+VLOOKUP($AJ612,Data_Validation!$A:$D,1,0)</f>
        <v>#N/A</v>
      </c>
      <c r="AP612" s="598" t="e">
        <f>+VLOOKUP($AJ612,Data_Validation!$A:$D,3,0)</f>
        <v>#N/A</v>
      </c>
      <c r="AQ612" s="598" t="e">
        <f>+VLOOKUP($AJ612,Data_Validation!$A:$D,4,0)</f>
        <v>#N/A</v>
      </c>
      <c r="AR612" s="598" t="s">
        <v>299</v>
      </c>
      <c r="AS612" s="598" t="e">
        <f>+VLOOKUP($AJ612,Data_Validation!$A:$E,5,0)</f>
        <v>#N/A</v>
      </c>
      <c r="AT612" s="1036">
        <f t="shared" si="38"/>
        <v>0</v>
      </c>
      <c r="AU612" s="599">
        <f t="shared" si="38"/>
        <v>0</v>
      </c>
      <c r="AV612" s="1030">
        <f>IFERROR(INDEX(V612:AG612,1,MATCH(Parametres!$B$3,V$1:AG$1,0)-1)*IF(OR(C612="L",C612="S",C612="I"),-1,1),"")</f>
        <v>0</v>
      </c>
      <c r="AW612" s="1030">
        <f t="shared" si="39"/>
        <v>0</v>
      </c>
      <c r="AX612" s="1030">
        <f>INDEX(V612:AG612,1,MATCH(Parametres!$B$3,V$1:AG$1,0))*IF(OR(C612="L",C612="S",C612="I"),-1,1)</f>
        <v>0</v>
      </c>
      <c r="AY612" s="598" t="s">
        <v>337</v>
      </c>
      <c r="AZ612" s="598" t="e">
        <f>+VLOOKUP($AJ612,Data_Validation!$A:$E,5,0)</f>
        <v>#N/A</v>
      </c>
    </row>
    <row r="613" spans="36:52" ht="15" customHeight="1">
      <c r="AJ613" s="1030">
        <f t="shared" si="40"/>
        <v>0</v>
      </c>
      <c r="AK613" s="1030">
        <f t="shared" si="40"/>
        <v>0</v>
      </c>
      <c r="AL613" s="1030">
        <f>IFERROR(INDEX(G613:R613,1,MATCH(Parametres!$B$3,G$1:R$1,0)-1)*IF(OR(F613="L",F613="S",F613="I"),-1,1),"")</f>
        <v>0</v>
      </c>
      <c r="AM613" s="1030">
        <f t="shared" si="37"/>
        <v>0</v>
      </c>
      <c r="AN613" s="1030">
        <f>INDEX(G613:R613,1,MATCH(Parametres!$B$3,G$1:R$1,0))*IF(OR(F613="L",F613="S",F613="I"),-1,1)</f>
        <v>0</v>
      </c>
      <c r="AO613" s="598" t="e">
        <f>+VLOOKUP($AJ613,Data_Validation!$A:$D,1,0)</f>
        <v>#N/A</v>
      </c>
      <c r="AP613" s="598" t="e">
        <f>+VLOOKUP($AJ613,Data_Validation!$A:$D,3,0)</f>
        <v>#N/A</v>
      </c>
      <c r="AQ613" s="598" t="e">
        <f>+VLOOKUP($AJ613,Data_Validation!$A:$D,4,0)</f>
        <v>#N/A</v>
      </c>
      <c r="AR613" s="598" t="s">
        <v>299</v>
      </c>
      <c r="AS613" s="598" t="e">
        <f>+VLOOKUP($AJ613,Data_Validation!$A:$E,5,0)</f>
        <v>#N/A</v>
      </c>
      <c r="AT613" s="1036">
        <f t="shared" si="38"/>
        <v>0</v>
      </c>
      <c r="AU613" s="599">
        <f t="shared" si="38"/>
        <v>0</v>
      </c>
      <c r="AV613" s="1030">
        <f>IFERROR(INDEX(V613:AG613,1,MATCH(Parametres!$B$3,V$1:AG$1,0)-1)*IF(OR(C613="L",C613="S",C613="I"),-1,1),"")</f>
        <v>0</v>
      </c>
      <c r="AW613" s="1030">
        <f t="shared" si="39"/>
        <v>0</v>
      </c>
      <c r="AX613" s="1030">
        <f>INDEX(V613:AG613,1,MATCH(Parametres!$B$3,V$1:AG$1,0))*IF(OR(C613="L",C613="S",C613="I"),-1,1)</f>
        <v>0</v>
      </c>
      <c r="AY613" s="598" t="s">
        <v>337</v>
      </c>
      <c r="AZ613" s="598" t="e">
        <f>+VLOOKUP($AJ613,Data_Validation!$A:$E,5,0)</f>
        <v>#N/A</v>
      </c>
    </row>
    <row r="614" spans="36:52" ht="15" customHeight="1">
      <c r="AJ614" s="1030">
        <f t="shared" si="40"/>
        <v>0</v>
      </c>
      <c r="AK614" s="1030">
        <f t="shared" si="40"/>
        <v>0</v>
      </c>
      <c r="AL614" s="1030">
        <f>IFERROR(INDEX(G614:R614,1,MATCH(Parametres!$B$3,G$1:R$1,0)-1)*IF(OR(F614="L",F614="S",F614="I"),-1,1),"")</f>
        <v>0</v>
      </c>
      <c r="AM614" s="1030">
        <f t="shared" si="37"/>
        <v>0</v>
      </c>
      <c r="AN614" s="1030">
        <f>INDEX(G614:R614,1,MATCH(Parametres!$B$3,G$1:R$1,0))*IF(OR(F614="L",F614="S",F614="I"),-1,1)</f>
        <v>0</v>
      </c>
      <c r="AO614" s="598" t="e">
        <f>+VLOOKUP($AJ614,Data_Validation!$A:$D,1,0)</f>
        <v>#N/A</v>
      </c>
      <c r="AP614" s="598" t="e">
        <f>+VLOOKUP($AJ614,Data_Validation!$A:$D,3,0)</f>
        <v>#N/A</v>
      </c>
      <c r="AQ614" s="598" t="e">
        <f>+VLOOKUP($AJ614,Data_Validation!$A:$D,4,0)</f>
        <v>#N/A</v>
      </c>
      <c r="AR614" s="598" t="s">
        <v>299</v>
      </c>
      <c r="AS614" s="598" t="e">
        <f>+VLOOKUP($AJ614,Data_Validation!$A:$E,5,0)</f>
        <v>#N/A</v>
      </c>
      <c r="AT614" s="1036">
        <f t="shared" si="38"/>
        <v>0</v>
      </c>
      <c r="AU614" s="599">
        <f t="shared" si="38"/>
        <v>0</v>
      </c>
      <c r="AV614" s="1030">
        <f>IFERROR(INDEX(V614:AG614,1,MATCH(Parametres!$B$3,V$1:AG$1,0)-1)*IF(OR(C614="L",C614="S",C614="I"),-1,1),"")</f>
        <v>0</v>
      </c>
      <c r="AW614" s="1030">
        <f t="shared" si="39"/>
        <v>0</v>
      </c>
      <c r="AX614" s="1030">
        <f>INDEX(V614:AG614,1,MATCH(Parametres!$B$3,V$1:AG$1,0))*IF(OR(C614="L",C614="S",C614="I"),-1,1)</f>
        <v>0</v>
      </c>
      <c r="AY614" s="598" t="s">
        <v>337</v>
      </c>
      <c r="AZ614" s="598" t="e">
        <f>+VLOOKUP($AJ614,Data_Validation!$A:$E,5,0)</f>
        <v>#N/A</v>
      </c>
    </row>
    <row r="615" spans="36:52" ht="15" customHeight="1">
      <c r="AJ615" s="1030">
        <f t="shared" si="40"/>
        <v>0</v>
      </c>
      <c r="AK615" s="1030">
        <f t="shared" si="40"/>
        <v>0</v>
      </c>
      <c r="AL615" s="1030">
        <f>IFERROR(INDEX(G615:R615,1,MATCH(Parametres!$B$3,G$1:R$1,0)-1)*IF(OR(F615="L",F615="S",F615="I"),-1,1),"")</f>
        <v>0</v>
      </c>
      <c r="AM615" s="1030">
        <f t="shared" si="37"/>
        <v>0</v>
      </c>
      <c r="AN615" s="1030">
        <f>INDEX(G615:R615,1,MATCH(Parametres!$B$3,G$1:R$1,0))*IF(OR(F615="L",F615="S",F615="I"),-1,1)</f>
        <v>0</v>
      </c>
      <c r="AO615" s="598" t="e">
        <f>+VLOOKUP($AJ615,Data_Validation!$A:$D,1,0)</f>
        <v>#N/A</v>
      </c>
      <c r="AP615" s="598" t="e">
        <f>+VLOOKUP($AJ615,Data_Validation!$A:$D,3,0)</f>
        <v>#N/A</v>
      </c>
      <c r="AQ615" s="598" t="e">
        <f>+VLOOKUP($AJ615,Data_Validation!$A:$D,4,0)</f>
        <v>#N/A</v>
      </c>
      <c r="AR615" s="598" t="s">
        <v>299</v>
      </c>
      <c r="AS615" s="598" t="e">
        <f>+VLOOKUP($AJ615,Data_Validation!$A:$E,5,0)</f>
        <v>#N/A</v>
      </c>
      <c r="AT615" s="1036">
        <f t="shared" si="38"/>
        <v>0</v>
      </c>
      <c r="AU615" s="599">
        <f t="shared" si="38"/>
        <v>0</v>
      </c>
      <c r="AV615" s="1030">
        <f>IFERROR(INDEX(V615:AG615,1,MATCH(Parametres!$B$3,V$1:AG$1,0)-1)*IF(OR(C615="L",C615="S",C615="I"),-1,1),"")</f>
        <v>0</v>
      </c>
      <c r="AW615" s="1030">
        <f t="shared" si="39"/>
        <v>0</v>
      </c>
      <c r="AX615" s="1030">
        <f>INDEX(V615:AG615,1,MATCH(Parametres!$B$3,V$1:AG$1,0))*IF(OR(C615="L",C615="S",C615="I"),-1,1)</f>
        <v>0</v>
      </c>
      <c r="AY615" s="598" t="s">
        <v>337</v>
      </c>
      <c r="AZ615" s="598" t="e">
        <f>+VLOOKUP($AJ615,Data_Validation!$A:$E,5,0)</f>
        <v>#N/A</v>
      </c>
    </row>
    <row r="616" spans="36:52" ht="15" customHeight="1">
      <c r="AJ616" s="1030">
        <f t="shared" si="40"/>
        <v>0</v>
      </c>
      <c r="AK616" s="1030">
        <f t="shared" si="40"/>
        <v>0</v>
      </c>
      <c r="AL616" s="1030">
        <f>IFERROR(INDEX(G616:R616,1,MATCH(Parametres!$B$3,G$1:R$1,0)-1)*IF(OR(F616="L",F616="S",F616="I"),-1,1),"")</f>
        <v>0</v>
      </c>
      <c r="AM616" s="1030">
        <f t="shared" si="37"/>
        <v>0</v>
      </c>
      <c r="AN616" s="1030">
        <f>INDEX(G616:R616,1,MATCH(Parametres!$B$3,G$1:R$1,0))*IF(OR(F616="L",F616="S",F616="I"),-1,1)</f>
        <v>0</v>
      </c>
      <c r="AO616" s="598" t="e">
        <f>+VLOOKUP($AJ616,Data_Validation!$A:$D,1,0)</f>
        <v>#N/A</v>
      </c>
      <c r="AP616" s="598" t="e">
        <f>+VLOOKUP($AJ616,Data_Validation!$A:$D,3,0)</f>
        <v>#N/A</v>
      </c>
      <c r="AQ616" s="598" t="e">
        <f>+VLOOKUP($AJ616,Data_Validation!$A:$D,4,0)</f>
        <v>#N/A</v>
      </c>
      <c r="AR616" s="598" t="s">
        <v>299</v>
      </c>
      <c r="AS616" s="598" t="e">
        <f>+VLOOKUP($AJ616,Data_Validation!$A:$E,5,0)</f>
        <v>#N/A</v>
      </c>
      <c r="AT616" s="1036">
        <f t="shared" si="38"/>
        <v>0</v>
      </c>
      <c r="AU616" s="599">
        <f t="shared" si="38"/>
        <v>0</v>
      </c>
      <c r="AV616" s="1030">
        <f>IFERROR(INDEX(V616:AG616,1,MATCH(Parametres!$B$3,V$1:AG$1,0)-1)*IF(OR(C616="L",C616="S",C616="I"),-1,1),"")</f>
        <v>0</v>
      </c>
      <c r="AW616" s="1030">
        <f t="shared" si="39"/>
        <v>0</v>
      </c>
      <c r="AX616" s="1030">
        <f>INDEX(V616:AG616,1,MATCH(Parametres!$B$3,V$1:AG$1,0))*IF(OR(C616="L",C616="S",C616="I"),-1,1)</f>
        <v>0</v>
      </c>
      <c r="AY616" s="598" t="s">
        <v>337</v>
      </c>
      <c r="AZ616" s="598" t="e">
        <f>+VLOOKUP($AJ616,Data_Validation!$A:$E,5,0)</f>
        <v>#N/A</v>
      </c>
    </row>
    <row r="617" spans="36:52" ht="15" customHeight="1">
      <c r="AJ617" s="1030">
        <f t="shared" si="40"/>
        <v>0</v>
      </c>
      <c r="AK617" s="1030">
        <f t="shared" si="40"/>
        <v>0</v>
      </c>
      <c r="AL617" s="1030">
        <f>IFERROR(INDEX(G617:R617,1,MATCH(Parametres!$B$3,G$1:R$1,0)-1)*IF(OR(F617="L",F617="S",F617="I"),-1,1),"")</f>
        <v>0</v>
      </c>
      <c r="AM617" s="1030">
        <f t="shared" si="37"/>
        <v>0</v>
      </c>
      <c r="AN617" s="1030">
        <f>INDEX(G617:R617,1,MATCH(Parametres!$B$3,G$1:R$1,0))*IF(OR(F617="L",F617="S",F617="I"),-1,1)</f>
        <v>0</v>
      </c>
      <c r="AO617" s="598" t="e">
        <f>+VLOOKUP($AJ617,Data_Validation!$A:$D,1,0)</f>
        <v>#N/A</v>
      </c>
      <c r="AP617" s="598" t="e">
        <f>+VLOOKUP($AJ617,Data_Validation!$A:$D,3,0)</f>
        <v>#N/A</v>
      </c>
      <c r="AQ617" s="598" t="e">
        <f>+VLOOKUP($AJ617,Data_Validation!$A:$D,4,0)</f>
        <v>#N/A</v>
      </c>
      <c r="AR617" s="598" t="s">
        <v>299</v>
      </c>
      <c r="AS617" s="598" t="e">
        <f>+VLOOKUP($AJ617,Data_Validation!$A:$E,5,0)</f>
        <v>#N/A</v>
      </c>
      <c r="AT617" s="1036">
        <f t="shared" si="38"/>
        <v>0</v>
      </c>
      <c r="AU617" s="599">
        <f t="shared" si="38"/>
        <v>0</v>
      </c>
      <c r="AV617" s="1030">
        <f>IFERROR(INDEX(V617:AG617,1,MATCH(Parametres!$B$3,V$1:AG$1,0)-1)*IF(OR(C617="L",C617="S",C617="I"),-1,1),"")</f>
        <v>0</v>
      </c>
      <c r="AW617" s="1030">
        <f t="shared" si="39"/>
        <v>0</v>
      </c>
      <c r="AX617" s="1030">
        <f>INDEX(V617:AG617,1,MATCH(Parametres!$B$3,V$1:AG$1,0))*IF(OR(C617="L",C617="S",C617="I"),-1,1)</f>
        <v>0</v>
      </c>
      <c r="AY617" s="598" t="s">
        <v>337</v>
      </c>
      <c r="AZ617" s="598" t="e">
        <f>+VLOOKUP($AJ617,Data_Validation!$A:$E,5,0)</f>
        <v>#N/A</v>
      </c>
    </row>
    <row r="618" spans="36:52" ht="15" customHeight="1">
      <c r="AJ618" s="1030">
        <f t="shared" si="40"/>
        <v>0</v>
      </c>
      <c r="AK618" s="1030">
        <f t="shared" si="40"/>
        <v>0</v>
      </c>
      <c r="AL618" s="1030">
        <f>IFERROR(INDEX(G618:R618,1,MATCH(Parametres!$B$3,G$1:R$1,0)-1)*IF(OR(F618="L",F618="S",F618="I"),-1,1),"")</f>
        <v>0</v>
      </c>
      <c r="AM618" s="1030">
        <f t="shared" si="37"/>
        <v>0</v>
      </c>
      <c r="AN618" s="1030">
        <f>INDEX(G618:R618,1,MATCH(Parametres!$B$3,G$1:R$1,0))*IF(OR(F618="L",F618="S",F618="I"),-1,1)</f>
        <v>0</v>
      </c>
      <c r="AO618" s="598" t="e">
        <f>+VLOOKUP($AJ618,Data_Validation!$A:$D,1,0)</f>
        <v>#N/A</v>
      </c>
      <c r="AP618" s="598" t="e">
        <f>+VLOOKUP($AJ618,Data_Validation!$A:$D,3,0)</f>
        <v>#N/A</v>
      </c>
      <c r="AQ618" s="598" t="e">
        <f>+VLOOKUP($AJ618,Data_Validation!$A:$D,4,0)</f>
        <v>#N/A</v>
      </c>
      <c r="AR618" s="598" t="s">
        <v>299</v>
      </c>
      <c r="AS618" s="598" t="e">
        <f>+VLOOKUP($AJ618,Data_Validation!$A:$E,5,0)</f>
        <v>#N/A</v>
      </c>
      <c r="AT618" s="1036">
        <f t="shared" si="38"/>
        <v>0</v>
      </c>
      <c r="AU618" s="599">
        <f t="shared" si="38"/>
        <v>0</v>
      </c>
      <c r="AV618" s="1030">
        <f>IFERROR(INDEX(V618:AG618,1,MATCH(Parametres!$B$3,V$1:AG$1,0)-1)*IF(OR(C618="L",C618="S",C618="I"),-1,1),"")</f>
        <v>0</v>
      </c>
      <c r="AW618" s="1030">
        <f t="shared" si="39"/>
        <v>0</v>
      </c>
      <c r="AX618" s="1030">
        <f>INDEX(V618:AG618,1,MATCH(Parametres!$B$3,V$1:AG$1,0))*IF(OR(C618="L",C618="S",C618="I"),-1,1)</f>
        <v>0</v>
      </c>
      <c r="AY618" s="598" t="s">
        <v>337</v>
      </c>
      <c r="AZ618" s="598" t="e">
        <f>+VLOOKUP($AJ618,Data_Validation!$A:$E,5,0)</f>
        <v>#N/A</v>
      </c>
    </row>
    <row r="619" spans="36:52" ht="15" customHeight="1">
      <c r="AJ619" s="1030">
        <f t="shared" si="40"/>
        <v>0</v>
      </c>
      <c r="AK619" s="1030">
        <f t="shared" si="40"/>
        <v>0</v>
      </c>
      <c r="AL619" s="1030">
        <f>IFERROR(INDEX(G619:R619,1,MATCH(Parametres!$B$3,G$1:R$1,0)-1)*IF(OR(F619="L",F619="S",F619="I"),-1,1),"")</f>
        <v>0</v>
      </c>
      <c r="AM619" s="1030">
        <f t="shared" si="37"/>
        <v>0</v>
      </c>
      <c r="AN619" s="1030">
        <f>INDEX(G619:R619,1,MATCH(Parametres!$B$3,G$1:R$1,0))*IF(OR(F619="L",F619="S",F619="I"),-1,1)</f>
        <v>0</v>
      </c>
      <c r="AO619" s="598" t="e">
        <f>+VLOOKUP($AJ619,Data_Validation!$A:$D,1,0)</f>
        <v>#N/A</v>
      </c>
      <c r="AP619" s="598" t="e">
        <f>+VLOOKUP($AJ619,Data_Validation!$A:$D,3,0)</f>
        <v>#N/A</v>
      </c>
      <c r="AQ619" s="598" t="e">
        <f>+VLOOKUP($AJ619,Data_Validation!$A:$D,4,0)</f>
        <v>#N/A</v>
      </c>
      <c r="AR619" s="598" t="s">
        <v>299</v>
      </c>
      <c r="AS619" s="598" t="e">
        <f>+VLOOKUP($AJ619,Data_Validation!$A:$E,5,0)</f>
        <v>#N/A</v>
      </c>
      <c r="AT619" s="1036">
        <f t="shared" si="38"/>
        <v>0</v>
      </c>
      <c r="AU619" s="599">
        <f t="shared" si="38"/>
        <v>0</v>
      </c>
      <c r="AV619" s="1030">
        <f>IFERROR(INDEX(V619:AG619,1,MATCH(Parametres!$B$3,V$1:AG$1,0)-1)*IF(OR(C619="L",C619="S",C619="I"),-1,1),"")</f>
        <v>0</v>
      </c>
      <c r="AW619" s="1030">
        <f t="shared" si="39"/>
        <v>0</v>
      </c>
      <c r="AX619" s="1030">
        <f>INDEX(V619:AG619,1,MATCH(Parametres!$B$3,V$1:AG$1,0))*IF(OR(C619="L",C619="S",C619="I"),-1,1)</f>
        <v>0</v>
      </c>
      <c r="AY619" s="598" t="s">
        <v>337</v>
      </c>
      <c r="AZ619" s="598" t="e">
        <f>+VLOOKUP($AJ619,Data_Validation!$A:$E,5,0)</f>
        <v>#N/A</v>
      </c>
    </row>
    <row r="620" spans="36:52" ht="15" customHeight="1">
      <c r="AJ620" s="1030">
        <f t="shared" si="40"/>
        <v>0</v>
      </c>
      <c r="AK620" s="1030">
        <f t="shared" si="40"/>
        <v>0</v>
      </c>
      <c r="AL620" s="1030">
        <f>IFERROR(INDEX(G620:R620,1,MATCH(Parametres!$B$3,G$1:R$1,0)-1)*IF(OR(F620="L",F620="S",F620="I"),-1,1),"")</f>
        <v>0</v>
      </c>
      <c r="AM620" s="1030">
        <f t="shared" si="37"/>
        <v>0</v>
      </c>
      <c r="AN620" s="1030">
        <f>INDEX(G620:R620,1,MATCH(Parametres!$B$3,G$1:R$1,0))*IF(OR(F620="L",F620="S",F620="I"),-1,1)</f>
        <v>0</v>
      </c>
      <c r="AO620" s="598" t="e">
        <f>+VLOOKUP($AJ620,Data_Validation!$A:$D,1,0)</f>
        <v>#N/A</v>
      </c>
      <c r="AP620" s="598" t="e">
        <f>+VLOOKUP($AJ620,Data_Validation!$A:$D,3,0)</f>
        <v>#N/A</v>
      </c>
      <c r="AQ620" s="598" t="e">
        <f>+VLOOKUP($AJ620,Data_Validation!$A:$D,4,0)</f>
        <v>#N/A</v>
      </c>
      <c r="AR620" s="598" t="s">
        <v>299</v>
      </c>
      <c r="AS620" s="598" t="e">
        <f>+VLOOKUP($AJ620,Data_Validation!$A:$E,5,0)</f>
        <v>#N/A</v>
      </c>
      <c r="AT620" s="1036">
        <f t="shared" si="38"/>
        <v>0</v>
      </c>
      <c r="AU620" s="599">
        <f t="shared" si="38"/>
        <v>0</v>
      </c>
      <c r="AV620" s="1030">
        <f>IFERROR(INDEX(V620:AG620,1,MATCH(Parametres!$B$3,V$1:AG$1,0)-1)*IF(OR(C620="L",C620="S",C620="I"),-1,1),"")</f>
        <v>0</v>
      </c>
      <c r="AW620" s="1030">
        <f t="shared" si="39"/>
        <v>0</v>
      </c>
      <c r="AX620" s="1030">
        <f>INDEX(V620:AG620,1,MATCH(Parametres!$B$3,V$1:AG$1,0))*IF(OR(C620="L",C620="S",C620="I"),-1,1)</f>
        <v>0</v>
      </c>
      <c r="AY620" s="598" t="s">
        <v>337</v>
      </c>
      <c r="AZ620" s="598" t="e">
        <f>+VLOOKUP($AJ620,Data_Validation!$A:$E,5,0)</f>
        <v>#N/A</v>
      </c>
    </row>
    <row r="621" spans="36:52" ht="15" customHeight="1">
      <c r="AJ621" s="1030">
        <f t="shared" si="40"/>
        <v>0</v>
      </c>
      <c r="AK621" s="1030">
        <f t="shared" si="40"/>
        <v>0</v>
      </c>
      <c r="AL621" s="1030">
        <f>IFERROR(INDEX(G621:R621,1,MATCH(Parametres!$B$3,G$1:R$1,0)-1)*IF(OR(F621="L",F621="S",F621="I"),-1,1),"")</f>
        <v>0</v>
      </c>
      <c r="AM621" s="1030">
        <f t="shared" si="37"/>
        <v>0</v>
      </c>
      <c r="AN621" s="1030">
        <f>INDEX(G621:R621,1,MATCH(Parametres!$B$3,G$1:R$1,0))*IF(OR(F621="L",F621="S",F621="I"),-1,1)</f>
        <v>0</v>
      </c>
      <c r="AO621" s="598" t="e">
        <f>+VLOOKUP($AJ621,Data_Validation!$A:$D,1,0)</f>
        <v>#N/A</v>
      </c>
      <c r="AP621" s="598" t="e">
        <f>+VLOOKUP($AJ621,Data_Validation!$A:$D,3,0)</f>
        <v>#N/A</v>
      </c>
      <c r="AQ621" s="598" t="e">
        <f>+VLOOKUP($AJ621,Data_Validation!$A:$D,4,0)</f>
        <v>#N/A</v>
      </c>
      <c r="AR621" s="598" t="s">
        <v>299</v>
      </c>
      <c r="AS621" s="598" t="e">
        <f>+VLOOKUP($AJ621,Data_Validation!$A:$E,5,0)</f>
        <v>#N/A</v>
      </c>
      <c r="AT621" s="1036">
        <f t="shared" si="38"/>
        <v>0</v>
      </c>
      <c r="AU621" s="599">
        <f t="shared" si="38"/>
        <v>0</v>
      </c>
      <c r="AV621" s="1030">
        <f>IFERROR(INDEX(V621:AG621,1,MATCH(Parametres!$B$3,V$1:AG$1,0)-1)*IF(OR(C621="L",C621="S",C621="I"),-1,1),"")</f>
        <v>0</v>
      </c>
      <c r="AW621" s="1030">
        <f t="shared" si="39"/>
        <v>0</v>
      </c>
      <c r="AX621" s="1030">
        <f>INDEX(V621:AG621,1,MATCH(Parametres!$B$3,V$1:AG$1,0))*IF(OR(C621="L",C621="S",C621="I"),-1,1)</f>
        <v>0</v>
      </c>
      <c r="AY621" s="598" t="s">
        <v>337</v>
      </c>
      <c r="AZ621" s="598" t="e">
        <f>+VLOOKUP($AJ621,Data_Validation!$A:$E,5,0)</f>
        <v>#N/A</v>
      </c>
    </row>
    <row r="622" spans="36:52" ht="15" customHeight="1">
      <c r="AJ622" s="1030">
        <f t="shared" si="40"/>
        <v>0</v>
      </c>
      <c r="AK622" s="1030">
        <f t="shared" si="40"/>
        <v>0</v>
      </c>
      <c r="AL622" s="1030">
        <f>IFERROR(INDEX(G622:R622,1,MATCH(Parametres!$B$3,G$1:R$1,0)-1)*IF(OR(F622="L",F622="S",F622="I"),-1,1),"")</f>
        <v>0</v>
      </c>
      <c r="AM622" s="1030">
        <f t="shared" si="37"/>
        <v>0</v>
      </c>
      <c r="AN622" s="1030">
        <f>INDEX(G622:R622,1,MATCH(Parametres!$B$3,G$1:R$1,0))*IF(OR(F622="L",F622="S",F622="I"),-1,1)</f>
        <v>0</v>
      </c>
      <c r="AO622" s="598" t="e">
        <f>+VLOOKUP($AJ622,Data_Validation!$A:$D,1,0)</f>
        <v>#N/A</v>
      </c>
      <c r="AP622" s="598" t="e">
        <f>+VLOOKUP($AJ622,Data_Validation!$A:$D,3,0)</f>
        <v>#N/A</v>
      </c>
      <c r="AQ622" s="598" t="e">
        <f>+VLOOKUP($AJ622,Data_Validation!$A:$D,4,0)</f>
        <v>#N/A</v>
      </c>
      <c r="AR622" s="598" t="s">
        <v>299</v>
      </c>
      <c r="AS622" s="598" t="e">
        <f>+VLOOKUP($AJ622,Data_Validation!$A:$E,5,0)</f>
        <v>#N/A</v>
      </c>
      <c r="AT622" s="1036">
        <f t="shared" si="38"/>
        <v>0</v>
      </c>
      <c r="AU622" s="599">
        <f t="shared" si="38"/>
        <v>0</v>
      </c>
      <c r="AV622" s="1030">
        <f>IFERROR(INDEX(V622:AG622,1,MATCH(Parametres!$B$3,V$1:AG$1,0)-1)*IF(OR(C622="L",C622="S",C622="I"),-1,1),"")</f>
        <v>0</v>
      </c>
      <c r="AW622" s="1030">
        <f t="shared" si="39"/>
        <v>0</v>
      </c>
      <c r="AX622" s="1030">
        <f>INDEX(V622:AG622,1,MATCH(Parametres!$B$3,V$1:AG$1,0))*IF(OR(C622="L",C622="S",C622="I"),-1,1)</f>
        <v>0</v>
      </c>
      <c r="AY622" s="598" t="s">
        <v>337</v>
      </c>
      <c r="AZ622" s="598" t="e">
        <f>+VLOOKUP($AJ622,Data_Validation!$A:$E,5,0)</f>
        <v>#N/A</v>
      </c>
    </row>
    <row r="623" spans="36:52" ht="15" customHeight="1">
      <c r="AJ623" s="1030">
        <f t="shared" si="40"/>
        <v>0</v>
      </c>
      <c r="AK623" s="1030">
        <f t="shared" si="40"/>
        <v>0</v>
      </c>
      <c r="AL623" s="1030">
        <f>IFERROR(INDEX(G623:R623,1,MATCH(Parametres!$B$3,G$1:R$1,0)-1)*IF(OR(F623="L",F623="S",F623="I"),-1,1),"")</f>
        <v>0</v>
      </c>
      <c r="AM623" s="1030">
        <f t="shared" si="37"/>
        <v>0</v>
      </c>
      <c r="AN623" s="1030">
        <f>INDEX(G623:R623,1,MATCH(Parametres!$B$3,G$1:R$1,0))*IF(OR(F623="L",F623="S",F623="I"),-1,1)</f>
        <v>0</v>
      </c>
      <c r="AO623" s="598" t="e">
        <f>+VLOOKUP($AJ623,Data_Validation!$A:$D,1,0)</f>
        <v>#N/A</v>
      </c>
      <c r="AP623" s="598" t="e">
        <f>+VLOOKUP($AJ623,Data_Validation!$A:$D,3,0)</f>
        <v>#N/A</v>
      </c>
      <c r="AQ623" s="598" t="e">
        <f>+VLOOKUP($AJ623,Data_Validation!$A:$D,4,0)</f>
        <v>#N/A</v>
      </c>
      <c r="AR623" s="598" t="s">
        <v>299</v>
      </c>
      <c r="AS623" s="598" t="e">
        <f>+VLOOKUP($AJ623,Data_Validation!$A:$E,5,0)</f>
        <v>#N/A</v>
      </c>
      <c r="AT623" s="1036">
        <f t="shared" si="38"/>
        <v>0</v>
      </c>
      <c r="AU623" s="599">
        <f t="shared" si="38"/>
        <v>0</v>
      </c>
      <c r="AV623" s="1030">
        <f>IFERROR(INDEX(V623:AG623,1,MATCH(Parametres!$B$3,V$1:AG$1,0)-1)*IF(OR(C623="L",C623="S",C623="I"),-1,1),"")</f>
        <v>0</v>
      </c>
      <c r="AW623" s="1030">
        <f t="shared" si="39"/>
        <v>0</v>
      </c>
      <c r="AX623" s="1030">
        <f>INDEX(V623:AG623,1,MATCH(Parametres!$B$3,V$1:AG$1,0))*IF(OR(C623="L",C623="S",C623="I"),-1,1)</f>
        <v>0</v>
      </c>
      <c r="AY623" s="598" t="s">
        <v>337</v>
      </c>
      <c r="AZ623" s="598" t="e">
        <f>+VLOOKUP($AJ623,Data_Validation!$A:$E,5,0)</f>
        <v>#N/A</v>
      </c>
    </row>
    <row r="624" spans="36:52" ht="15" customHeight="1">
      <c r="AJ624" s="1030">
        <f t="shared" si="40"/>
        <v>0</v>
      </c>
      <c r="AK624" s="1030">
        <f t="shared" si="40"/>
        <v>0</v>
      </c>
      <c r="AL624" s="1030">
        <f>IFERROR(INDEX(G624:R624,1,MATCH(Parametres!$B$3,G$1:R$1,0)-1)*IF(OR(F624="L",F624="S",F624="I"),-1,1),"")</f>
        <v>0</v>
      </c>
      <c r="AM624" s="1030">
        <f t="shared" si="37"/>
        <v>0</v>
      </c>
      <c r="AN624" s="1030">
        <f>INDEX(G624:R624,1,MATCH(Parametres!$B$3,G$1:R$1,0))*IF(OR(F624="L",F624="S",F624="I"),-1,1)</f>
        <v>0</v>
      </c>
      <c r="AO624" s="598" t="e">
        <f>+VLOOKUP($AJ624,Data_Validation!$A:$D,1,0)</f>
        <v>#N/A</v>
      </c>
      <c r="AP624" s="598" t="e">
        <f>+VLOOKUP($AJ624,Data_Validation!$A:$D,3,0)</f>
        <v>#N/A</v>
      </c>
      <c r="AQ624" s="598" t="e">
        <f>+VLOOKUP($AJ624,Data_Validation!$A:$D,4,0)</f>
        <v>#N/A</v>
      </c>
      <c r="AR624" s="598" t="s">
        <v>299</v>
      </c>
      <c r="AS624" s="598" t="e">
        <f>+VLOOKUP($AJ624,Data_Validation!$A:$E,5,0)</f>
        <v>#N/A</v>
      </c>
      <c r="AT624" s="1036">
        <f t="shared" si="38"/>
        <v>0</v>
      </c>
      <c r="AU624" s="599">
        <f t="shared" si="38"/>
        <v>0</v>
      </c>
      <c r="AV624" s="1030">
        <f>IFERROR(INDEX(V624:AG624,1,MATCH(Parametres!$B$3,V$1:AG$1,0)-1)*IF(OR(C624="L",C624="S",C624="I"),-1,1),"")</f>
        <v>0</v>
      </c>
      <c r="AW624" s="1030">
        <f t="shared" si="39"/>
        <v>0</v>
      </c>
      <c r="AX624" s="1030">
        <f>INDEX(V624:AG624,1,MATCH(Parametres!$B$3,V$1:AG$1,0))*IF(OR(C624="L",C624="S",C624="I"),-1,1)</f>
        <v>0</v>
      </c>
      <c r="AY624" s="598" t="s">
        <v>337</v>
      </c>
      <c r="AZ624" s="598" t="e">
        <f>+VLOOKUP($AJ624,Data_Validation!$A:$E,5,0)</f>
        <v>#N/A</v>
      </c>
    </row>
    <row r="625" spans="36:52" ht="15" customHeight="1">
      <c r="AJ625" s="1030">
        <f t="shared" si="40"/>
        <v>0</v>
      </c>
      <c r="AK625" s="1030">
        <f t="shared" si="40"/>
        <v>0</v>
      </c>
      <c r="AL625" s="1030">
        <f>IFERROR(INDEX(G625:R625,1,MATCH(Parametres!$B$3,G$1:R$1,0)-1)*IF(OR(F625="L",F625="S",F625="I"),-1,1),"")</f>
        <v>0</v>
      </c>
      <c r="AM625" s="1030">
        <f t="shared" si="37"/>
        <v>0</v>
      </c>
      <c r="AN625" s="1030">
        <f>INDEX(G625:R625,1,MATCH(Parametres!$B$3,G$1:R$1,0))*IF(OR(F625="L",F625="S",F625="I"),-1,1)</f>
        <v>0</v>
      </c>
      <c r="AO625" s="598" t="e">
        <f>+VLOOKUP($AJ625,Data_Validation!$A:$D,1,0)</f>
        <v>#N/A</v>
      </c>
      <c r="AP625" s="598" t="e">
        <f>+VLOOKUP($AJ625,Data_Validation!$A:$D,3,0)</f>
        <v>#N/A</v>
      </c>
      <c r="AQ625" s="598" t="e">
        <f>+VLOOKUP($AJ625,Data_Validation!$A:$D,4,0)</f>
        <v>#N/A</v>
      </c>
      <c r="AR625" s="598" t="s">
        <v>299</v>
      </c>
      <c r="AS625" s="598" t="e">
        <f>+VLOOKUP($AJ625,Data_Validation!$A:$E,5,0)</f>
        <v>#N/A</v>
      </c>
      <c r="AT625" s="1036">
        <f t="shared" si="38"/>
        <v>0</v>
      </c>
      <c r="AU625" s="599">
        <f t="shared" si="38"/>
        <v>0</v>
      </c>
      <c r="AV625" s="1030">
        <f>IFERROR(INDEX(V625:AG625,1,MATCH(Parametres!$B$3,V$1:AG$1,0)-1)*IF(OR(C625="L",C625="S",C625="I"),-1,1),"")</f>
        <v>0</v>
      </c>
      <c r="AW625" s="1030">
        <f t="shared" si="39"/>
        <v>0</v>
      </c>
      <c r="AX625" s="1030">
        <f>INDEX(V625:AG625,1,MATCH(Parametres!$B$3,V$1:AG$1,0))*IF(OR(C625="L",C625="S",C625="I"),-1,1)</f>
        <v>0</v>
      </c>
      <c r="AY625" s="598" t="s">
        <v>337</v>
      </c>
      <c r="AZ625" s="598" t="e">
        <f>+VLOOKUP($AJ625,Data_Validation!$A:$E,5,0)</f>
        <v>#N/A</v>
      </c>
    </row>
    <row r="626" spans="36:52" ht="15" customHeight="1">
      <c r="AJ626" s="1030">
        <f t="shared" si="40"/>
        <v>0</v>
      </c>
      <c r="AK626" s="1030">
        <f t="shared" si="40"/>
        <v>0</v>
      </c>
      <c r="AL626" s="1030">
        <f>IFERROR(INDEX(G626:R626,1,MATCH(Parametres!$B$3,G$1:R$1,0)-1)*IF(OR(F626="L",F626="S",F626="I"),-1,1),"")</f>
        <v>0</v>
      </c>
      <c r="AM626" s="1030">
        <f t="shared" si="37"/>
        <v>0</v>
      </c>
      <c r="AN626" s="1030">
        <f>INDEX(G626:R626,1,MATCH(Parametres!$B$3,G$1:R$1,0))*IF(OR(F626="L",F626="S",F626="I"),-1,1)</f>
        <v>0</v>
      </c>
      <c r="AO626" s="598" t="e">
        <f>+VLOOKUP($AJ626,Data_Validation!$A:$D,1,0)</f>
        <v>#N/A</v>
      </c>
      <c r="AP626" s="598" t="e">
        <f>+VLOOKUP($AJ626,Data_Validation!$A:$D,3,0)</f>
        <v>#N/A</v>
      </c>
      <c r="AQ626" s="598" t="e">
        <f>+VLOOKUP($AJ626,Data_Validation!$A:$D,4,0)</f>
        <v>#N/A</v>
      </c>
      <c r="AR626" s="598" t="s">
        <v>299</v>
      </c>
      <c r="AS626" s="598" t="e">
        <f>+VLOOKUP($AJ626,Data_Validation!$A:$E,5,0)</f>
        <v>#N/A</v>
      </c>
      <c r="AT626" s="1036">
        <f t="shared" si="38"/>
        <v>0</v>
      </c>
      <c r="AU626" s="599">
        <f t="shared" si="38"/>
        <v>0</v>
      </c>
      <c r="AV626" s="1030">
        <f>IFERROR(INDEX(V626:AG626,1,MATCH(Parametres!$B$3,V$1:AG$1,0)-1)*IF(OR(C626="L",C626="S",C626="I"),-1,1),"")</f>
        <v>0</v>
      </c>
      <c r="AW626" s="1030">
        <f t="shared" si="39"/>
        <v>0</v>
      </c>
      <c r="AX626" s="1030">
        <f>INDEX(V626:AG626,1,MATCH(Parametres!$B$3,V$1:AG$1,0))*IF(OR(C626="L",C626="S",C626="I"),-1,1)</f>
        <v>0</v>
      </c>
      <c r="AY626" s="598" t="s">
        <v>337</v>
      </c>
      <c r="AZ626" s="598" t="e">
        <f>+VLOOKUP($AJ626,Data_Validation!$A:$E,5,0)</f>
        <v>#N/A</v>
      </c>
    </row>
    <row r="627" spans="36:52" ht="15" customHeight="1">
      <c r="AJ627" s="1030">
        <f t="shared" si="40"/>
        <v>0</v>
      </c>
      <c r="AK627" s="1030">
        <f t="shared" si="40"/>
        <v>0</v>
      </c>
      <c r="AL627" s="1030">
        <f>IFERROR(INDEX(G627:R627,1,MATCH(Parametres!$B$3,G$1:R$1,0)-1)*IF(OR(F627="L",F627="S",F627="I"),-1,1),"")</f>
        <v>0</v>
      </c>
      <c r="AM627" s="1030">
        <f t="shared" si="37"/>
        <v>0</v>
      </c>
      <c r="AN627" s="1030">
        <f>INDEX(G627:R627,1,MATCH(Parametres!$B$3,G$1:R$1,0))*IF(OR(F627="L",F627="S",F627="I"),-1,1)</f>
        <v>0</v>
      </c>
      <c r="AO627" s="598" t="e">
        <f>+VLOOKUP($AJ627,Data_Validation!$A:$D,1,0)</f>
        <v>#N/A</v>
      </c>
      <c r="AP627" s="598" t="e">
        <f>+VLOOKUP($AJ627,Data_Validation!$A:$D,3,0)</f>
        <v>#N/A</v>
      </c>
      <c r="AQ627" s="598" t="e">
        <f>+VLOOKUP($AJ627,Data_Validation!$A:$D,4,0)</f>
        <v>#N/A</v>
      </c>
      <c r="AR627" s="598" t="s">
        <v>299</v>
      </c>
      <c r="AS627" s="598" t="e">
        <f>+VLOOKUP($AJ627,Data_Validation!$A:$E,5,0)</f>
        <v>#N/A</v>
      </c>
      <c r="AT627" s="1036">
        <f t="shared" si="38"/>
        <v>0</v>
      </c>
      <c r="AU627" s="599">
        <f t="shared" si="38"/>
        <v>0</v>
      </c>
      <c r="AV627" s="1030">
        <f>IFERROR(INDEX(V627:AG627,1,MATCH(Parametres!$B$3,V$1:AG$1,0)-1)*IF(OR(C627="L",C627="S",C627="I"),-1,1),"")</f>
        <v>0</v>
      </c>
      <c r="AW627" s="1030">
        <f t="shared" si="39"/>
        <v>0</v>
      </c>
      <c r="AX627" s="1030">
        <f>INDEX(V627:AG627,1,MATCH(Parametres!$B$3,V$1:AG$1,0))*IF(OR(C627="L",C627="S",C627="I"),-1,1)</f>
        <v>0</v>
      </c>
      <c r="AY627" s="598" t="s">
        <v>337</v>
      </c>
      <c r="AZ627" s="598" t="e">
        <f>+VLOOKUP($AJ627,Data_Validation!$A:$E,5,0)</f>
        <v>#N/A</v>
      </c>
    </row>
    <row r="628" spans="36:52" ht="15" customHeight="1">
      <c r="AJ628" s="1030">
        <f t="shared" si="40"/>
        <v>0</v>
      </c>
      <c r="AK628" s="1030">
        <f t="shared" si="40"/>
        <v>0</v>
      </c>
      <c r="AL628" s="1030">
        <f>IFERROR(INDEX(G628:R628,1,MATCH(Parametres!$B$3,G$1:R$1,0)-1)*IF(OR(F628="L",F628="S",F628="I"),-1,1),"")</f>
        <v>0</v>
      </c>
      <c r="AM628" s="1030">
        <f t="shared" si="37"/>
        <v>0</v>
      </c>
      <c r="AN628" s="1030">
        <f>INDEX(G628:R628,1,MATCH(Parametres!$B$3,G$1:R$1,0))*IF(OR(F628="L",F628="S",F628="I"),-1,1)</f>
        <v>0</v>
      </c>
      <c r="AO628" s="598" t="e">
        <f>+VLOOKUP($AJ628,Data_Validation!$A:$D,1,0)</f>
        <v>#N/A</v>
      </c>
      <c r="AP628" s="598" t="e">
        <f>+VLOOKUP($AJ628,Data_Validation!$A:$D,3,0)</f>
        <v>#N/A</v>
      </c>
      <c r="AQ628" s="598" t="e">
        <f>+VLOOKUP($AJ628,Data_Validation!$A:$D,4,0)</f>
        <v>#N/A</v>
      </c>
      <c r="AR628" s="598" t="s">
        <v>299</v>
      </c>
      <c r="AS628" s="598" t="e">
        <f>+VLOOKUP($AJ628,Data_Validation!$A:$E,5,0)</f>
        <v>#N/A</v>
      </c>
      <c r="AT628" s="1036">
        <f t="shared" si="38"/>
        <v>0</v>
      </c>
      <c r="AU628" s="599">
        <f t="shared" si="38"/>
        <v>0</v>
      </c>
      <c r="AV628" s="1030">
        <f>IFERROR(INDEX(V628:AG628,1,MATCH(Parametres!$B$3,V$1:AG$1,0)-1)*IF(OR(C628="L",C628="S",C628="I"),-1,1),"")</f>
        <v>0</v>
      </c>
      <c r="AW628" s="1030">
        <f t="shared" si="39"/>
        <v>0</v>
      </c>
      <c r="AX628" s="1030">
        <f>INDEX(V628:AG628,1,MATCH(Parametres!$B$3,V$1:AG$1,0))*IF(OR(C628="L",C628="S",C628="I"),-1,1)</f>
        <v>0</v>
      </c>
      <c r="AY628" s="598" t="s">
        <v>337</v>
      </c>
      <c r="AZ628" s="598" t="e">
        <f>+VLOOKUP($AJ628,Data_Validation!$A:$E,5,0)</f>
        <v>#N/A</v>
      </c>
    </row>
    <row r="629" spans="36:52" ht="15" customHeight="1">
      <c r="AJ629" s="1030">
        <f t="shared" si="40"/>
        <v>0</v>
      </c>
      <c r="AK629" s="1030">
        <f t="shared" si="40"/>
        <v>0</v>
      </c>
      <c r="AL629" s="1030">
        <f>IFERROR(INDEX(G629:R629,1,MATCH(Parametres!$B$3,G$1:R$1,0)-1)*IF(OR(F629="L",F629="S",F629="I"),-1,1),"")</f>
        <v>0</v>
      </c>
      <c r="AM629" s="1030">
        <f t="shared" si="37"/>
        <v>0</v>
      </c>
      <c r="AN629" s="1030">
        <f>INDEX(G629:R629,1,MATCH(Parametres!$B$3,G$1:R$1,0))*IF(OR(F629="L",F629="S",F629="I"),-1,1)</f>
        <v>0</v>
      </c>
      <c r="AO629" s="598" t="e">
        <f>+VLOOKUP($AJ629,Data_Validation!$A:$D,1,0)</f>
        <v>#N/A</v>
      </c>
      <c r="AP629" s="598" t="e">
        <f>+VLOOKUP($AJ629,Data_Validation!$A:$D,3,0)</f>
        <v>#N/A</v>
      </c>
      <c r="AQ629" s="598" t="e">
        <f>+VLOOKUP($AJ629,Data_Validation!$A:$D,4,0)</f>
        <v>#N/A</v>
      </c>
      <c r="AR629" s="598" t="s">
        <v>299</v>
      </c>
      <c r="AS629" s="598" t="e">
        <f>+VLOOKUP($AJ629,Data_Validation!$A:$E,5,0)</f>
        <v>#N/A</v>
      </c>
      <c r="AT629" s="1036">
        <f t="shared" si="38"/>
        <v>0</v>
      </c>
      <c r="AU629" s="599">
        <f t="shared" si="38"/>
        <v>0</v>
      </c>
      <c r="AV629" s="1030">
        <f>IFERROR(INDEX(V629:AG629,1,MATCH(Parametres!$B$3,V$1:AG$1,0)-1)*IF(OR(C629="L",C629="S",C629="I"),-1,1),"")</f>
        <v>0</v>
      </c>
      <c r="AW629" s="1030">
        <f t="shared" si="39"/>
        <v>0</v>
      </c>
      <c r="AX629" s="1030">
        <f>INDEX(V629:AG629,1,MATCH(Parametres!$B$3,V$1:AG$1,0))*IF(OR(C629="L",C629="S",C629="I"),-1,1)</f>
        <v>0</v>
      </c>
      <c r="AY629" s="598" t="s">
        <v>337</v>
      </c>
      <c r="AZ629" s="598" t="e">
        <f>+VLOOKUP($AJ629,Data_Validation!$A:$E,5,0)</f>
        <v>#N/A</v>
      </c>
    </row>
    <row r="630" spans="36:52" ht="15" customHeight="1">
      <c r="AJ630" s="1030">
        <f t="shared" si="40"/>
        <v>0</v>
      </c>
      <c r="AK630" s="1030">
        <f t="shared" si="40"/>
        <v>0</v>
      </c>
      <c r="AL630" s="1030">
        <f>IFERROR(INDEX(G630:R630,1,MATCH(Parametres!$B$3,G$1:R$1,0)-1)*IF(OR(F630="L",F630="S",F630="I"),-1,1),"")</f>
        <v>0</v>
      </c>
      <c r="AM630" s="1030">
        <f t="shared" si="37"/>
        <v>0</v>
      </c>
      <c r="AN630" s="1030">
        <f>INDEX(G630:R630,1,MATCH(Parametres!$B$3,G$1:R$1,0))*IF(OR(F630="L",F630="S",F630="I"),-1,1)</f>
        <v>0</v>
      </c>
      <c r="AO630" s="598" t="e">
        <f>+VLOOKUP($AJ630,Data_Validation!$A:$D,1,0)</f>
        <v>#N/A</v>
      </c>
      <c r="AP630" s="598" t="e">
        <f>+VLOOKUP($AJ630,Data_Validation!$A:$D,3,0)</f>
        <v>#N/A</v>
      </c>
      <c r="AQ630" s="598" t="e">
        <f>+VLOOKUP($AJ630,Data_Validation!$A:$D,4,0)</f>
        <v>#N/A</v>
      </c>
      <c r="AR630" s="598" t="s">
        <v>299</v>
      </c>
      <c r="AS630" s="598" t="e">
        <f>+VLOOKUP($AJ630,Data_Validation!$A:$E,5,0)</f>
        <v>#N/A</v>
      </c>
      <c r="AT630" s="1036">
        <f t="shared" si="38"/>
        <v>0</v>
      </c>
      <c r="AU630" s="599">
        <f t="shared" si="38"/>
        <v>0</v>
      </c>
      <c r="AV630" s="1030">
        <f>IFERROR(INDEX(V630:AG630,1,MATCH(Parametres!$B$3,V$1:AG$1,0)-1)*IF(OR(C630="L",C630="S",C630="I"),-1,1),"")</f>
        <v>0</v>
      </c>
      <c r="AW630" s="1030">
        <f t="shared" si="39"/>
        <v>0</v>
      </c>
      <c r="AX630" s="1030">
        <f>INDEX(V630:AG630,1,MATCH(Parametres!$B$3,V$1:AG$1,0))*IF(OR(C630="L",C630="S",C630="I"),-1,1)</f>
        <v>0</v>
      </c>
      <c r="AY630" s="598" t="s">
        <v>337</v>
      </c>
      <c r="AZ630" s="598" t="e">
        <f>+VLOOKUP($AJ630,Data_Validation!$A:$E,5,0)</f>
        <v>#N/A</v>
      </c>
    </row>
    <row r="631" spans="36:52" ht="15" customHeight="1">
      <c r="AJ631" s="1030">
        <f t="shared" si="40"/>
        <v>0</v>
      </c>
      <c r="AK631" s="1030">
        <f t="shared" si="40"/>
        <v>0</v>
      </c>
      <c r="AL631" s="1030">
        <f>IFERROR(INDEX(G631:R631,1,MATCH(Parametres!$B$3,G$1:R$1,0)-1)*IF(OR(F631="L",F631="S",F631="I"),-1,1),"")</f>
        <v>0</v>
      </c>
      <c r="AM631" s="1030">
        <f t="shared" si="37"/>
        <v>0</v>
      </c>
      <c r="AN631" s="1030">
        <f>INDEX(G631:R631,1,MATCH(Parametres!$B$3,G$1:R$1,0))*IF(OR(F631="L",F631="S",F631="I"),-1,1)</f>
        <v>0</v>
      </c>
      <c r="AO631" s="598" t="e">
        <f>+VLOOKUP($AJ631,Data_Validation!$A:$D,1,0)</f>
        <v>#N/A</v>
      </c>
      <c r="AP631" s="598" t="e">
        <f>+VLOOKUP($AJ631,Data_Validation!$A:$D,3,0)</f>
        <v>#N/A</v>
      </c>
      <c r="AQ631" s="598" t="e">
        <f>+VLOOKUP($AJ631,Data_Validation!$A:$D,4,0)</f>
        <v>#N/A</v>
      </c>
      <c r="AR631" s="598" t="s">
        <v>299</v>
      </c>
      <c r="AS631" s="598" t="e">
        <f>+VLOOKUP($AJ631,Data_Validation!$A:$E,5,0)</f>
        <v>#N/A</v>
      </c>
      <c r="AT631" s="1036">
        <f t="shared" si="38"/>
        <v>0</v>
      </c>
      <c r="AU631" s="599">
        <f t="shared" si="38"/>
        <v>0</v>
      </c>
      <c r="AV631" s="1030">
        <f>IFERROR(INDEX(V631:AG631,1,MATCH(Parametres!$B$3,V$1:AG$1,0)-1)*IF(OR(C631="L",C631="S",C631="I"),-1,1),"")</f>
        <v>0</v>
      </c>
      <c r="AW631" s="1030">
        <f t="shared" si="39"/>
        <v>0</v>
      </c>
      <c r="AX631" s="1030">
        <f>INDEX(V631:AG631,1,MATCH(Parametres!$B$3,V$1:AG$1,0))*IF(OR(C631="L",C631="S",C631="I"),-1,1)</f>
        <v>0</v>
      </c>
      <c r="AY631" s="598" t="s">
        <v>337</v>
      </c>
      <c r="AZ631" s="598" t="e">
        <f>+VLOOKUP($AJ631,Data_Validation!$A:$E,5,0)</f>
        <v>#N/A</v>
      </c>
    </row>
    <row r="632" spans="36:52" ht="15" customHeight="1">
      <c r="AJ632" s="1030">
        <f t="shared" si="40"/>
        <v>0</v>
      </c>
      <c r="AK632" s="1030">
        <f t="shared" si="40"/>
        <v>0</v>
      </c>
      <c r="AL632" s="1030">
        <f>IFERROR(INDEX(G632:R632,1,MATCH(Parametres!$B$3,G$1:R$1,0)-1)*IF(OR(F632="L",F632="S",F632="I"),-1,1),"")</f>
        <v>0</v>
      </c>
      <c r="AM632" s="1030">
        <f t="shared" si="37"/>
        <v>0</v>
      </c>
      <c r="AN632" s="1030">
        <f>INDEX(G632:R632,1,MATCH(Parametres!$B$3,G$1:R$1,0))*IF(OR(F632="L",F632="S",F632="I"),-1,1)</f>
        <v>0</v>
      </c>
      <c r="AO632" s="598" t="e">
        <f>+VLOOKUP($AJ632,Data_Validation!$A:$D,1,0)</f>
        <v>#N/A</v>
      </c>
      <c r="AP632" s="598" t="e">
        <f>+VLOOKUP($AJ632,Data_Validation!$A:$D,3,0)</f>
        <v>#N/A</v>
      </c>
      <c r="AQ632" s="598" t="e">
        <f>+VLOOKUP($AJ632,Data_Validation!$A:$D,4,0)</f>
        <v>#N/A</v>
      </c>
      <c r="AR632" s="598" t="s">
        <v>299</v>
      </c>
      <c r="AS632" s="598" t="e">
        <f>+VLOOKUP($AJ632,Data_Validation!$A:$E,5,0)</f>
        <v>#N/A</v>
      </c>
      <c r="AT632" s="1036">
        <f t="shared" si="38"/>
        <v>0</v>
      </c>
      <c r="AU632" s="599">
        <f t="shared" si="38"/>
        <v>0</v>
      </c>
      <c r="AV632" s="1030">
        <f>IFERROR(INDEX(V632:AG632,1,MATCH(Parametres!$B$3,V$1:AG$1,0)-1)*IF(OR(C632="L",C632="S",C632="I"),-1,1),"")</f>
        <v>0</v>
      </c>
      <c r="AW632" s="1030">
        <f t="shared" si="39"/>
        <v>0</v>
      </c>
      <c r="AX632" s="1030">
        <f>INDEX(V632:AG632,1,MATCH(Parametres!$B$3,V$1:AG$1,0))*IF(OR(C632="L",C632="S",C632="I"),-1,1)</f>
        <v>0</v>
      </c>
      <c r="AY632" s="598" t="s">
        <v>337</v>
      </c>
      <c r="AZ632" s="598" t="e">
        <f>+VLOOKUP($AJ632,Data_Validation!$A:$E,5,0)</f>
        <v>#N/A</v>
      </c>
    </row>
    <row r="633" spans="36:52" ht="15" customHeight="1">
      <c r="AJ633" s="1030">
        <f t="shared" si="40"/>
        <v>0</v>
      </c>
      <c r="AK633" s="1030">
        <f t="shared" si="40"/>
        <v>0</v>
      </c>
      <c r="AL633" s="1030">
        <f>IFERROR(INDEX(G633:R633,1,MATCH(Parametres!$B$3,G$1:R$1,0)-1)*IF(OR(F633="L",F633="S",F633="I"),-1,1),"")</f>
        <v>0</v>
      </c>
      <c r="AM633" s="1030">
        <f t="shared" si="37"/>
        <v>0</v>
      </c>
      <c r="AN633" s="1030">
        <f>INDEX(G633:R633,1,MATCH(Parametres!$B$3,G$1:R$1,0))*IF(OR(F633="L",F633="S",F633="I"),-1,1)</f>
        <v>0</v>
      </c>
      <c r="AO633" s="598" t="e">
        <f>+VLOOKUP($AJ633,Data_Validation!$A:$D,1,0)</f>
        <v>#N/A</v>
      </c>
      <c r="AP633" s="598" t="e">
        <f>+VLOOKUP($AJ633,Data_Validation!$A:$D,3,0)</f>
        <v>#N/A</v>
      </c>
      <c r="AQ633" s="598" t="e">
        <f>+VLOOKUP($AJ633,Data_Validation!$A:$D,4,0)</f>
        <v>#N/A</v>
      </c>
      <c r="AR633" s="598" t="s">
        <v>299</v>
      </c>
      <c r="AS633" s="598" t="e">
        <f>+VLOOKUP($AJ633,Data_Validation!$A:$E,5,0)</f>
        <v>#N/A</v>
      </c>
      <c r="AT633" s="1036">
        <f t="shared" si="38"/>
        <v>0</v>
      </c>
      <c r="AU633" s="599">
        <f t="shared" si="38"/>
        <v>0</v>
      </c>
      <c r="AV633" s="1030">
        <f>IFERROR(INDEX(V633:AG633,1,MATCH(Parametres!$B$3,V$1:AG$1,0)-1)*IF(OR(C633="L",C633="S",C633="I"),-1,1),"")</f>
        <v>0</v>
      </c>
      <c r="AW633" s="1030">
        <f t="shared" si="39"/>
        <v>0</v>
      </c>
      <c r="AX633" s="1030">
        <f>INDEX(V633:AG633,1,MATCH(Parametres!$B$3,V$1:AG$1,0))*IF(OR(C633="L",C633="S",C633="I"),-1,1)</f>
        <v>0</v>
      </c>
      <c r="AY633" s="598" t="s">
        <v>337</v>
      </c>
      <c r="AZ633" s="598" t="e">
        <f>+VLOOKUP($AJ633,Data_Validation!$A:$E,5,0)</f>
        <v>#N/A</v>
      </c>
    </row>
    <row r="634" spans="36:52" ht="15" customHeight="1">
      <c r="AJ634" s="1030">
        <f t="shared" si="40"/>
        <v>0</v>
      </c>
      <c r="AK634" s="1030">
        <f t="shared" si="40"/>
        <v>0</v>
      </c>
      <c r="AL634" s="1030">
        <f>IFERROR(INDEX(G634:R634,1,MATCH(Parametres!$B$3,G$1:R$1,0)-1)*IF(OR(F634="L",F634="S",F634="I"),-1,1),"")</f>
        <v>0</v>
      </c>
      <c r="AM634" s="1030">
        <f t="shared" si="37"/>
        <v>0</v>
      </c>
      <c r="AN634" s="1030">
        <f>INDEX(G634:R634,1,MATCH(Parametres!$B$3,G$1:R$1,0))*IF(OR(F634="L",F634="S",F634="I"),-1,1)</f>
        <v>0</v>
      </c>
      <c r="AO634" s="598" t="e">
        <f>+VLOOKUP($AJ634,Data_Validation!$A:$D,1,0)</f>
        <v>#N/A</v>
      </c>
      <c r="AP634" s="598" t="e">
        <f>+VLOOKUP($AJ634,Data_Validation!$A:$D,3,0)</f>
        <v>#N/A</v>
      </c>
      <c r="AQ634" s="598" t="e">
        <f>+VLOOKUP($AJ634,Data_Validation!$A:$D,4,0)</f>
        <v>#N/A</v>
      </c>
      <c r="AR634" s="598" t="s">
        <v>299</v>
      </c>
      <c r="AS634" s="598" t="e">
        <f>+VLOOKUP($AJ634,Data_Validation!$A:$E,5,0)</f>
        <v>#N/A</v>
      </c>
      <c r="AT634" s="1036">
        <f t="shared" si="38"/>
        <v>0</v>
      </c>
      <c r="AU634" s="599">
        <f t="shared" si="38"/>
        <v>0</v>
      </c>
      <c r="AV634" s="1030">
        <f>IFERROR(INDEX(V634:AG634,1,MATCH(Parametres!$B$3,V$1:AG$1,0)-1)*IF(OR(C634="L",C634="S",C634="I"),-1,1),"")</f>
        <v>0</v>
      </c>
      <c r="AW634" s="1030">
        <f t="shared" si="39"/>
        <v>0</v>
      </c>
      <c r="AX634" s="1030">
        <f>INDEX(V634:AG634,1,MATCH(Parametres!$B$3,V$1:AG$1,0))*IF(OR(C634="L",C634="S",C634="I"),-1,1)</f>
        <v>0</v>
      </c>
      <c r="AY634" s="598" t="s">
        <v>337</v>
      </c>
      <c r="AZ634" s="598" t="e">
        <f>+VLOOKUP($AJ634,Data_Validation!$A:$E,5,0)</f>
        <v>#N/A</v>
      </c>
    </row>
    <row r="635" spans="36:52" ht="15" customHeight="1">
      <c r="AJ635" s="1030">
        <f t="shared" si="40"/>
        <v>0</v>
      </c>
      <c r="AK635" s="1030">
        <f t="shared" si="40"/>
        <v>0</v>
      </c>
      <c r="AL635" s="1030">
        <f>IFERROR(INDEX(G635:R635,1,MATCH(Parametres!$B$3,G$1:R$1,0)-1)*IF(OR(F635="L",F635="S",F635="I"),-1,1),"")</f>
        <v>0</v>
      </c>
      <c r="AM635" s="1030">
        <f t="shared" si="37"/>
        <v>0</v>
      </c>
      <c r="AN635" s="1030">
        <f>INDEX(G635:R635,1,MATCH(Parametres!$B$3,G$1:R$1,0))*IF(OR(F635="L",F635="S",F635="I"),-1,1)</f>
        <v>0</v>
      </c>
      <c r="AO635" s="598" t="e">
        <f>+VLOOKUP($AJ635,Data_Validation!$A:$D,1,0)</f>
        <v>#N/A</v>
      </c>
      <c r="AP635" s="598" t="e">
        <f>+VLOOKUP($AJ635,Data_Validation!$A:$D,3,0)</f>
        <v>#N/A</v>
      </c>
      <c r="AQ635" s="598" t="e">
        <f>+VLOOKUP($AJ635,Data_Validation!$A:$D,4,0)</f>
        <v>#N/A</v>
      </c>
      <c r="AR635" s="598" t="s">
        <v>299</v>
      </c>
      <c r="AS635" s="598" t="e">
        <f>+VLOOKUP($AJ635,Data_Validation!$A:$E,5,0)</f>
        <v>#N/A</v>
      </c>
      <c r="AT635" s="1036">
        <f t="shared" si="38"/>
        <v>0</v>
      </c>
      <c r="AU635" s="599">
        <f t="shared" si="38"/>
        <v>0</v>
      </c>
      <c r="AV635" s="1030">
        <f>IFERROR(INDEX(V635:AG635,1,MATCH(Parametres!$B$3,V$1:AG$1,0)-1)*IF(OR(C635="L",C635="S",C635="I"),-1,1),"")</f>
        <v>0</v>
      </c>
      <c r="AW635" s="1030">
        <f t="shared" si="39"/>
        <v>0</v>
      </c>
      <c r="AX635" s="1030">
        <f>INDEX(V635:AG635,1,MATCH(Parametres!$B$3,V$1:AG$1,0))*IF(OR(C635="L",C635="S",C635="I"),-1,1)</f>
        <v>0</v>
      </c>
      <c r="AY635" s="598" t="s">
        <v>337</v>
      </c>
      <c r="AZ635" s="598" t="e">
        <f>+VLOOKUP($AJ635,Data_Validation!$A:$E,5,0)</f>
        <v>#N/A</v>
      </c>
    </row>
    <row r="636" spans="36:52" ht="15" customHeight="1">
      <c r="AJ636" s="1030">
        <f t="shared" si="40"/>
        <v>0</v>
      </c>
      <c r="AK636" s="1030">
        <f t="shared" si="40"/>
        <v>0</v>
      </c>
      <c r="AL636" s="1030">
        <f>IFERROR(INDEX(G636:R636,1,MATCH(Parametres!$B$3,G$1:R$1,0)-1)*IF(OR(F636="L",F636="S",F636="I"),-1,1),"")</f>
        <v>0</v>
      </c>
      <c r="AM636" s="1030">
        <f t="shared" si="37"/>
        <v>0</v>
      </c>
      <c r="AN636" s="1030">
        <f>INDEX(G636:R636,1,MATCH(Parametres!$B$3,G$1:R$1,0))*IF(OR(F636="L",F636="S",F636="I"),-1,1)</f>
        <v>0</v>
      </c>
      <c r="AO636" s="598" t="e">
        <f>+VLOOKUP($AJ636,Data_Validation!$A:$D,1,0)</f>
        <v>#N/A</v>
      </c>
      <c r="AP636" s="598" t="e">
        <f>+VLOOKUP($AJ636,Data_Validation!$A:$D,3,0)</f>
        <v>#N/A</v>
      </c>
      <c r="AQ636" s="598" t="e">
        <f>+VLOOKUP($AJ636,Data_Validation!$A:$D,4,0)</f>
        <v>#N/A</v>
      </c>
      <c r="AR636" s="598" t="s">
        <v>299</v>
      </c>
      <c r="AS636" s="598" t="e">
        <f>+VLOOKUP($AJ636,Data_Validation!$A:$E,5,0)</f>
        <v>#N/A</v>
      </c>
      <c r="AT636" s="1036">
        <f t="shared" si="38"/>
        <v>0</v>
      </c>
      <c r="AU636" s="599">
        <f t="shared" si="38"/>
        <v>0</v>
      </c>
      <c r="AV636" s="1030">
        <f>IFERROR(INDEX(V636:AG636,1,MATCH(Parametres!$B$3,V$1:AG$1,0)-1)*IF(OR(C636="L",C636="S",C636="I"),-1,1),"")</f>
        <v>0</v>
      </c>
      <c r="AW636" s="1030">
        <f t="shared" si="39"/>
        <v>0</v>
      </c>
      <c r="AX636" s="1030">
        <f>INDEX(V636:AG636,1,MATCH(Parametres!$B$3,V$1:AG$1,0))*IF(OR(C636="L",C636="S",C636="I"),-1,1)</f>
        <v>0</v>
      </c>
      <c r="AY636" s="598" t="s">
        <v>337</v>
      </c>
      <c r="AZ636" s="598" t="e">
        <f>+VLOOKUP($AJ636,Data_Validation!$A:$E,5,0)</f>
        <v>#N/A</v>
      </c>
    </row>
    <row r="637" spans="36:52" ht="15" customHeight="1">
      <c r="AJ637" s="1030">
        <f t="shared" si="40"/>
        <v>0</v>
      </c>
      <c r="AK637" s="1030">
        <f t="shared" si="40"/>
        <v>0</v>
      </c>
      <c r="AL637" s="1030">
        <f>IFERROR(INDEX(G637:R637,1,MATCH(Parametres!$B$3,G$1:R$1,0)-1)*IF(OR(F637="L",F637="S",F637="I"),-1,1),"")</f>
        <v>0</v>
      </c>
      <c r="AM637" s="1030">
        <f t="shared" si="37"/>
        <v>0</v>
      </c>
      <c r="AN637" s="1030">
        <f>INDEX(G637:R637,1,MATCH(Parametres!$B$3,G$1:R$1,0))*IF(OR(F637="L",F637="S",F637="I"),-1,1)</f>
        <v>0</v>
      </c>
      <c r="AO637" s="598" t="e">
        <f>+VLOOKUP($AJ637,Data_Validation!$A:$D,1,0)</f>
        <v>#N/A</v>
      </c>
      <c r="AP637" s="598" t="e">
        <f>+VLOOKUP($AJ637,Data_Validation!$A:$D,3,0)</f>
        <v>#N/A</v>
      </c>
      <c r="AQ637" s="598" t="e">
        <f>+VLOOKUP($AJ637,Data_Validation!$A:$D,4,0)</f>
        <v>#N/A</v>
      </c>
      <c r="AR637" s="598" t="s">
        <v>299</v>
      </c>
      <c r="AS637" s="598" t="e">
        <f>+VLOOKUP($AJ637,Data_Validation!$A:$E,5,0)</f>
        <v>#N/A</v>
      </c>
      <c r="AT637" s="1036">
        <f t="shared" si="38"/>
        <v>0</v>
      </c>
      <c r="AU637" s="599">
        <f t="shared" si="38"/>
        <v>0</v>
      </c>
      <c r="AV637" s="1030">
        <f>IFERROR(INDEX(V637:AG637,1,MATCH(Parametres!$B$3,V$1:AG$1,0)-1)*IF(OR(C637="L",C637="S",C637="I"),-1,1),"")</f>
        <v>0</v>
      </c>
      <c r="AW637" s="1030">
        <f t="shared" si="39"/>
        <v>0</v>
      </c>
      <c r="AX637" s="1030">
        <f>INDEX(V637:AG637,1,MATCH(Parametres!$B$3,V$1:AG$1,0))*IF(OR(C637="L",C637="S",C637="I"),-1,1)</f>
        <v>0</v>
      </c>
      <c r="AY637" s="598" t="s">
        <v>337</v>
      </c>
      <c r="AZ637" s="598" t="e">
        <f>+VLOOKUP($AJ637,Data_Validation!$A:$E,5,0)</f>
        <v>#N/A</v>
      </c>
    </row>
    <row r="638" spans="36:52" ht="15" customHeight="1">
      <c r="AJ638" s="1030">
        <f t="shared" si="40"/>
        <v>0</v>
      </c>
      <c r="AK638" s="1030">
        <f t="shared" si="40"/>
        <v>0</v>
      </c>
      <c r="AL638" s="1030">
        <f>IFERROR(INDEX(G638:R638,1,MATCH(Parametres!$B$3,G$1:R$1,0)-1)*IF(OR(F638="L",F638="S",F638="I"),-1,1),"")</f>
        <v>0</v>
      </c>
      <c r="AM638" s="1030">
        <f t="shared" si="37"/>
        <v>0</v>
      </c>
      <c r="AN638" s="1030">
        <f>INDEX(G638:R638,1,MATCH(Parametres!$B$3,G$1:R$1,0))*IF(OR(F638="L",F638="S",F638="I"),-1,1)</f>
        <v>0</v>
      </c>
      <c r="AO638" s="598" t="e">
        <f>+VLOOKUP($AJ638,Data_Validation!$A:$D,1,0)</f>
        <v>#N/A</v>
      </c>
      <c r="AP638" s="598" t="e">
        <f>+VLOOKUP($AJ638,Data_Validation!$A:$D,3,0)</f>
        <v>#N/A</v>
      </c>
      <c r="AQ638" s="598" t="e">
        <f>+VLOOKUP($AJ638,Data_Validation!$A:$D,4,0)</f>
        <v>#N/A</v>
      </c>
      <c r="AR638" s="598" t="s">
        <v>299</v>
      </c>
      <c r="AS638" s="598" t="e">
        <f>+VLOOKUP($AJ638,Data_Validation!$A:$E,5,0)</f>
        <v>#N/A</v>
      </c>
      <c r="AT638" s="1036">
        <f t="shared" si="38"/>
        <v>0</v>
      </c>
      <c r="AU638" s="599">
        <f t="shared" si="38"/>
        <v>0</v>
      </c>
      <c r="AV638" s="1030">
        <f>IFERROR(INDEX(V638:AG638,1,MATCH(Parametres!$B$3,V$1:AG$1,0)-1)*IF(OR(C638="L",C638="S",C638="I"),-1,1),"")</f>
        <v>0</v>
      </c>
      <c r="AW638" s="1030">
        <f t="shared" si="39"/>
        <v>0</v>
      </c>
      <c r="AX638" s="1030">
        <f>INDEX(V638:AG638,1,MATCH(Parametres!$B$3,V$1:AG$1,0))*IF(OR(C638="L",C638="S",C638="I"),-1,1)</f>
        <v>0</v>
      </c>
      <c r="AY638" s="598" t="s">
        <v>337</v>
      </c>
      <c r="AZ638" s="598" t="e">
        <f>+VLOOKUP($AJ638,Data_Validation!$A:$E,5,0)</f>
        <v>#N/A</v>
      </c>
    </row>
    <row r="639" spans="36:52" ht="15" customHeight="1">
      <c r="AJ639" s="1030">
        <f t="shared" si="40"/>
        <v>0</v>
      </c>
      <c r="AK639" s="1030">
        <f t="shared" si="40"/>
        <v>0</v>
      </c>
      <c r="AL639" s="1030">
        <f>IFERROR(INDEX(G639:R639,1,MATCH(Parametres!$B$3,G$1:R$1,0)-1)*IF(OR(F639="L",F639="S",F639="I"),-1,1),"")</f>
        <v>0</v>
      </c>
      <c r="AM639" s="1030">
        <f t="shared" si="37"/>
        <v>0</v>
      </c>
      <c r="AN639" s="1030">
        <f>INDEX(G639:R639,1,MATCH(Parametres!$B$3,G$1:R$1,0))*IF(OR(F639="L",F639="S",F639="I"),-1,1)</f>
        <v>0</v>
      </c>
      <c r="AO639" s="598" t="e">
        <f>+VLOOKUP($AJ639,Data_Validation!$A:$D,1,0)</f>
        <v>#N/A</v>
      </c>
      <c r="AP639" s="598" t="e">
        <f>+VLOOKUP($AJ639,Data_Validation!$A:$D,3,0)</f>
        <v>#N/A</v>
      </c>
      <c r="AQ639" s="598" t="e">
        <f>+VLOOKUP($AJ639,Data_Validation!$A:$D,4,0)</f>
        <v>#N/A</v>
      </c>
      <c r="AR639" s="598" t="s">
        <v>299</v>
      </c>
      <c r="AS639" s="598" t="e">
        <f>+VLOOKUP($AJ639,Data_Validation!$A:$E,5,0)</f>
        <v>#N/A</v>
      </c>
      <c r="AT639" s="1036">
        <f t="shared" si="38"/>
        <v>0</v>
      </c>
      <c r="AU639" s="599">
        <f t="shared" si="38"/>
        <v>0</v>
      </c>
      <c r="AV639" s="1030">
        <f>IFERROR(INDEX(V639:AG639,1,MATCH(Parametres!$B$3,V$1:AG$1,0)-1)*IF(OR(C639="L",C639="S",C639="I"),-1,1),"")</f>
        <v>0</v>
      </c>
      <c r="AW639" s="1030">
        <f t="shared" si="39"/>
        <v>0</v>
      </c>
      <c r="AX639" s="1030">
        <f>INDEX(V639:AG639,1,MATCH(Parametres!$B$3,V$1:AG$1,0))*IF(OR(C639="L",C639="S",C639="I"),-1,1)</f>
        <v>0</v>
      </c>
      <c r="AY639" s="598" t="s">
        <v>337</v>
      </c>
      <c r="AZ639" s="598" t="e">
        <f>+VLOOKUP($AJ639,Data_Validation!$A:$E,5,0)</f>
        <v>#N/A</v>
      </c>
    </row>
    <row r="640" spans="36:52" ht="15" customHeight="1">
      <c r="AJ640" s="1030">
        <f t="shared" si="40"/>
        <v>0</v>
      </c>
      <c r="AK640" s="1030">
        <f t="shared" si="40"/>
        <v>0</v>
      </c>
      <c r="AL640" s="1030">
        <f>IFERROR(INDEX(G640:R640,1,MATCH(Parametres!$B$3,G$1:R$1,0)-1)*IF(OR(F640="L",F640="S",F640="I"),-1,1),"")</f>
        <v>0</v>
      </c>
      <c r="AM640" s="1030">
        <f t="shared" si="37"/>
        <v>0</v>
      </c>
      <c r="AN640" s="1030">
        <f>INDEX(G640:R640,1,MATCH(Parametres!$B$3,G$1:R$1,0))*IF(OR(F640="L",F640="S",F640="I"),-1,1)</f>
        <v>0</v>
      </c>
      <c r="AO640" s="598" t="e">
        <f>+VLOOKUP($AJ640,Data_Validation!$A:$D,1,0)</f>
        <v>#N/A</v>
      </c>
      <c r="AP640" s="598" t="e">
        <f>+VLOOKUP($AJ640,Data_Validation!$A:$D,3,0)</f>
        <v>#N/A</v>
      </c>
      <c r="AQ640" s="598" t="e">
        <f>+VLOOKUP($AJ640,Data_Validation!$A:$D,4,0)</f>
        <v>#N/A</v>
      </c>
      <c r="AR640" s="598" t="s">
        <v>299</v>
      </c>
      <c r="AS640" s="598" t="e">
        <f>+VLOOKUP($AJ640,Data_Validation!$A:$E,5,0)</f>
        <v>#N/A</v>
      </c>
      <c r="AT640" s="1036">
        <f t="shared" si="38"/>
        <v>0</v>
      </c>
      <c r="AU640" s="599">
        <f t="shared" si="38"/>
        <v>0</v>
      </c>
      <c r="AV640" s="1030">
        <f>IFERROR(INDEX(V640:AG640,1,MATCH(Parametres!$B$3,V$1:AG$1,0)-1)*IF(OR(C640="L",C640="S",C640="I"),-1,1),"")</f>
        <v>0</v>
      </c>
      <c r="AW640" s="1030">
        <f t="shared" si="39"/>
        <v>0</v>
      </c>
      <c r="AX640" s="1030">
        <f>INDEX(V640:AG640,1,MATCH(Parametres!$B$3,V$1:AG$1,0))*IF(OR(C640="L",C640="S",C640="I"),-1,1)</f>
        <v>0</v>
      </c>
      <c r="AY640" s="598" t="s">
        <v>337</v>
      </c>
      <c r="AZ640" s="598" t="e">
        <f>+VLOOKUP($AJ640,Data_Validation!$A:$E,5,0)</f>
        <v>#N/A</v>
      </c>
    </row>
    <row r="641" spans="36:52" ht="15" customHeight="1">
      <c r="AJ641" s="1030">
        <f t="shared" si="40"/>
        <v>0</v>
      </c>
      <c r="AK641" s="1030">
        <f t="shared" si="40"/>
        <v>0</v>
      </c>
      <c r="AL641" s="1030">
        <f>IFERROR(INDEX(G641:R641,1,MATCH(Parametres!$B$3,G$1:R$1,0)-1)*IF(OR(F641="L",F641="S",F641="I"),-1,1),"")</f>
        <v>0</v>
      </c>
      <c r="AM641" s="1030">
        <f t="shared" si="37"/>
        <v>0</v>
      </c>
      <c r="AN641" s="1030">
        <f>INDEX(G641:R641,1,MATCH(Parametres!$B$3,G$1:R$1,0))*IF(OR(F641="L",F641="S",F641="I"),-1,1)</f>
        <v>0</v>
      </c>
      <c r="AO641" s="598" t="e">
        <f>+VLOOKUP($AJ641,Data_Validation!$A:$D,1,0)</f>
        <v>#N/A</v>
      </c>
      <c r="AP641" s="598" t="e">
        <f>+VLOOKUP($AJ641,Data_Validation!$A:$D,3,0)</f>
        <v>#N/A</v>
      </c>
      <c r="AQ641" s="598" t="e">
        <f>+VLOOKUP($AJ641,Data_Validation!$A:$D,4,0)</f>
        <v>#N/A</v>
      </c>
      <c r="AR641" s="598" t="s">
        <v>299</v>
      </c>
      <c r="AS641" s="598" t="e">
        <f>+VLOOKUP($AJ641,Data_Validation!$A:$E,5,0)</f>
        <v>#N/A</v>
      </c>
      <c r="AT641" s="1036">
        <f t="shared" si="38"/>
        <v>0</v>
      </c>
      <c r="AU641" s="599">
        <f t="shared" si="38"/>
        <v>0</v>
      </c>
      <c r="AV641" s="1030">
        <f>IFERROR(INDEX(V641:AG641,1,MATCH(Parametres!$B$3,V$1:AG$1,0)-1)*IF(OR(C641="L",C641="S",C641="I"),-1,1),"")</f>
        <v>0</v>
      </c>
      <c r="AW641" s="1030">
        <f t="shared" si="39"/>
        <v>0</v>
      </c>
      <c r="AX641" s="1030">
        <f>INDEX(V641:AG641,1,MATCH(Parametres!$B$3,V$1:AG$1,0))*IF(OR(C641="L",C641="S",C641="I"),-1,1)</f>
        <v>0</v>
      </c>
      <c r="AY641" s="598" t="s">
        <v>337</v>
      </c>
      <c r="AZ641" s="598" t="e">
        <f>+VLOOKUP($AJ641,Data_Validation!$A:$E,5,0)</f>
        <v>#N/A</v>
      </c>
    </row>
    <row r="642" spans="36:52" ht="15" customHeight="1">
      <c r="AJ642" s="1030">
        <f t="shared" si="40"/>
        <v>0</v>
      </c>
      <c r="AK642" s="1030">
        <f t="shared" si="40"/>
        <v>0</v>
      </c>
      <c r="AL642" s="1030">
        <f>IFERROR(INDEX(G642:R642,1,MATCH(Parametres!$B$3,G$1:R$1,0)-1)*IF(OR(F642="L",F642="S",F642="I"),-1,1),"")</f>
        <v>0</v>
      </c>
      <c r="AM642" s="1030">
        <f t="shared" si="37"/>
        <v>0</v>
      </c>
      <c r="AN642" s="1030">
        <f>INDEX(G642:R642,1,MATCH(Parametres!$B$3,G$1:R$1,0))*IF(OR(F642="L",F642="S",F642="I"),-1,1)</f>
        <v>0</v>
      </c>
      <c r="AO642" s="598" t="e">
        <f>+VLOOKUP($AJ642,Data_Validation!$A:$D,1,0)</f>
        <v>#N/A</v>
      </c>
      <c r="AP642" s="598" t="e">
        <f>+VLOOKUP($AJ642,Data_Validation!$A:$D,3,0)</f>
        <v>#N/A</v>
      </c>
      <c r="AQ642" s="598" t="e">
        <f>+VLOOKUP($AJ642,Data_Validation!$A:$D,4,0)</f>
        <v>#N/A</v>
      </c>
      <c r="AR642" s="598" t="s">
        <v>299</v>
      </c>
      <c r="AS642" s="598" t="e">
        <f>+VLOOKUP($AJ642,Data_Validation!$A:$E,5,0)</f>
        <v>#N/A</v>
      </c>
      <c r="AT642" s="1036">
        <f t="shared" si="38"/>
        <v>0</v>
      </c>
      <c r="AU642" s="599">
        <f t="shared" si="38"/>
        <v>0</v>
      </c>
      <c r="AV642" s="1030">
        <f>IFERROR(INDEX(V642:AG642,1,MATCH(Parametres!$B$3,V$1:AG$1,0)-1)*IF(OR(C642="L",C642="S",C642="I"),-1,1),"")</f>
        <v>0</v>
      </c>
      <c r="AW642" s="1030">
        <f t="shared" si="39"/>
        <v>0</v>
      </c>
      <c r="AX642" s="1030">
        <f>INDEX(V642:AG642,1,MATCH(Parametres!$B$3,V$1:AG$1,0))*IF(OR(C642="L",C642="S",C642="I"),-1,1)</f>
        <v>0</v>
      </c>
      <c r="AY642" s="598" t="s">
        <v>337</v>
      </c>
      <c r="AZ642" s="598" t="e">
        <f>+VLOOKUP($AJ642,Data_Validation!$A:$E,5,0)</f>
        <v>#N/A</v>
      </c>
    </row>
    <row r="643" spans="36:52" ht="15" customHeight="1">
      <c r="AJ643" s="1030">
        <f t="shared" si="40"/>
        <v>0</v>
      </c>
      <c r="AK643" s="1030">
        <f t="shared" si="40"/>
        <v>0</v>
      </c>
      <c r="AL643" s="1030">
        <f>IFERROR(INDEX(G643:R643,1,MATCH(Parametres!$B$3,G$1:R$1,0)-1)*IF(OR(F643="L",F643="S",F643="I"),-1,1),"")</f>
        <v>0</v>
      </c>
      <c r="AM643" s="1030">
        <f t="shared" si="37"/>
        <v>0</v>
      </c>
      <c r="AN643" s="1030">
        <f>INDEX(G643:R643,1,MATCH(Parametres!$B$3,G$1:R$1,0))*IF(OR(F643="L",F643="S",F643="I"),-1,1)</f>
        <v>0</v>
      </c>
      <c r="AO643" s="598" t="e">
        <f>+VLOOKUP($AJ643,Data_Validation!$A:$D,1,0)</f>
        <v>#N/A</v>
      </c>
      <c r="AP643" s="598" t="e">
        <f>+VLOOKUP($AJ643,Data_Validation!$A:$D,3,0)</f>
        <v>#N/A</v>
      </c>
      <c r="AQ643" s="598" t="e">
        <f>+VLOOKUP($AJ643,Data_Validation!$A:$D,4,0)</f>
        <v>#N/A</v>
      </c>
      <c r="AR643" s="598" t="s">
        <v>299</v>
      </c>
      <c r="AS643" s="598" t="e">
        <f>+VLOOKUP($AJ643,Data_Validation!$A:$E,5,0)</f>
        <v>#N/A</v>
      </c>
      <c r="AT643" s="1036">
        <f t="shared" si="38"/>
        <v>0</v>
      </c>
      <c r="AU643" s="599">
        <f t="shared" si="38"/>
        <v>0</v>
      </c>
      <c r="AV643" s="1030">
        <f>IFERROR(INDEX(V643:AG643,1,MATCH(Parametres!$B$3,V$1:AG$1,0)-1)*IF(OR(C643="L",C643="S",C643="I"),-1,1),"")</f>
        <v>0</v>
      </c>
      <c r="AW643" s="1030">
        <f t="shared" si="39"/>
        <v>0</v>
      </c>
      <c r="AX643" s="1030">
        <f>INDEX(V643:AG643,1,MATCH(Parametres!$B$3,V$1:AG$1,0))*IF(OR(C643="L",C643="S",C643="I"),-1,1)</f>
        <v>0</v>
      </c>
      <c r="AY643" s="598" t="s">
        <v>337</v>
      </c>
      <c r="AZ643" s="598" t="e">
        <f>+VLOOKUP($AJ643,Data_Validation!$A:$E,5,0)</f>
        <v>#N/A</v>
      </c>
    </row>
    <row r="644" spans="36:52" ht="15" customHeight="1">
      <c r="AJ644" s="1030">
        <f t="shared" si="40"/>
        <v>0</v>
      </c>
      <c r="AK644" s="1030">
        <f t="shared" si="40"/>
        <v>0</v>
      </c>
      <c r="AL644" s="1030">
        <f>IFERROR(INDEX(G644:R644,1,MATCH(Parametres!$B$3,G$1:R$1,0)-1)*IF(OR(F644="L",F644="S",F644="I"),-1,1),"")</f>
        <v>0</v>
      </c>
      <c r="AM644" s="1030">
        <f t="shared" ref="AM644:AM707" si="41">AN644-N(AL644)</f>
        <v>0</v>
      </c>
      <c r="AN644" s="1030">
        <f>INDEX(G644:R644,1,MATCH(Parametres!$B$3,G$1:R$1,0))*IF(OR(F644="L",F644="S",F644="I"),-1,1)</f>
        <v>0</v>
      </c>
      <c r="AO644" s="598" t="e">
        <f>+VLOOKUP($AJ644,Data_Validation!$A:$D,1,0)</f>
        <v>#N/A</v>
      </c>
      <c r="AP644" s="598" t="e">
        <f>+VLOOKUP($AJ644,Data_Validation!$A:$D,3,0)</f>
        <v>#N/A</v>
      </c>
      <c r="AQ644" s="598" t="e">
        <f>+VLOOKUP($AJ644,Data_Validation!$A:$D,4,0)</f>
        <v>#N/A</v>
      </c>
      <c r="AR644" s="598" t="s">
        <v>299</v>
      </c>
      <c r="AS644" s="598" t="e">
        <f>+VLOOKUP($AJ644,Data_Validation!$A:$E,5,0)</f>
        <v>#N/A</v>
      </c>
      <c r="AT644" s="1036">
        <f t="shared" ref="AT644:AU707" si="42">C644</f>
        <v>0</v>
      </c>
      <c r="AU644" s="599">
        <f t="shared" si="42"/>
        <v>0</v>
      </c>
      <c r="AV644" s="1030">
        <f>IFERROR(INDEX(V644:AG644,1,MATCH(Parametres!$B$3,V$1:AG$1,0)-1)*IF(OR(C644="L",C644="S",C644="I"),-1,1),"")</f>
        <v>0</v>
      </c>
      <c r="AW644" s="1030">
        <f t="shared" ref="AW644:AW707" si="43">AX644-AV644</f>
        <v>0</v>
      </c>
      <c r="AX644" s="1030">
        <f>INDEX(V644:AG644,1,MATCH(Parametres!$B$3,V$1:AG$1,0))*IF(OR(C644="L",C644="S",C644="I"),-1,1)</f>
        <v>0</v>
      </c>
      <c r="AY644" s="598" t="s">
        <v>337</v>
      </c>
      <c r="AZ644" s="598" t="e">
        <f>+VLOOKUP($AJ644,Data_Validation!$A:$E,5,0)</f>
        <v>#N/A</v>
      </c>
    </row>
    <row r="645" spans="36:52" ht="15" customHeight="1">
      <c r="AJ645" s="1030">
        <f t="shared" si="40"/>
        <v>0</v>
      </c>
      <c r="AK645" s="1030">
        <f t="shared" si="40"/>
        <v>0</v>
      </c>
      <c r="AL645" s="1030">
        <f>IFERROR(INDEX(G645:R645,1,MATCH(Parametres!$B$3,G$1:R$1,0)-1)*IF(OR(F645="L",F645="S",F645="I"),-1,1),"")</f>
        <v>0</v>
      </c>
      <c r="AM645" s="1030">
        <f t="shared" si="41"/>
        <v>0</v>
      </c>
      <c r="AN645" s="1030">
        <f>INDEX(G645:R645,1,MATCH(Parametres!$B$3,G$1:R$1,0))*IF(OR(F645="L",F645="S",F645="I"),-1,1)</f>
        <v>0</v>
      </c>
      <c r="AO645" s="598" t="e">
        <f>+VLOOKUP($AJ645,Data_Validation!$A:$D,1,0)</f>
        <v>#N/A</v>
      </c>
      <c r="AP645" s="598" t="e">
        <f>+VLOOKUP($AJ645,Data_Validation!$A:$D,3,0)</f>
        <v>#N/A</v>
      </c>
      <c r="AQ645" s="598" t="e">
        <f>+VLOOKUP($AJ645,Data_Validation!$A:$D,4,0)</f>
        <v>#N/A</v>
      </c>
      <c r="AR645" s="598" t="s">
        <v>299</v>
      </c>
      <c r="AS645" s="598" t="e">
        <f>+VLOOKUP($AJ645,Data_Validation!$A:$E,5,0)</f>
        <v>#N/A</v>
      </c>
      <c r="AT645" s="1036">
        <f t="shared" si="42"/>
        <v>0</v>
      </c>
      <c r="AU645" s="599">
        <f t="shared" si="42"/>
        <v>0</v>
      </c>
      <c r="AV645" s="1030">
        <f>IFERROR(INDEX(V645:AG645,1,MATCH(Parametres!$B$3,V$1:AG$1,0)-1)*IF(OR(C645="L",C645="S",C645="I"),-1,1),"")</f>
        <v>0</v>
      </c>
      <c r="AW645" s="1030">
        <f t="shared" si="43"/>
        <v>0</v>
      </c>
      <c r="AX645" s="1030">
        <f>INDEX(V645:AG645,1,MATCH(Parametres!$B$3,V$1:AG$1,0))*IF(OR(C645="L",C645="S",C645="I"),-1,1)</f>
        <v>0</v>
      </c>
      <c r="AY645" s="598" t="s">
        <v>337</v>
      </c>
      <c r="AZ645" s="598" t="e">
        <f>+VLOOKUP($AJ645,Data_Validation!$A:$E,5,0)</f>
        <v>#N/A</v>
      </c>
    </row>
    <row r="646" spans="36:52" ht="15" customHeight="1">
      <c r="AJ646" s="1030">
        <f t="shared" si="40"/>
        <v>0</v>
      </c>
      <c r="AK646" s="1030">
        <f t="shared" si="40"/>
        <v>0</v>
      </c>
      <c r="AL646" s="1030">
        <f>IFERROR(INDEX(G646:R646,1,MATCH(Parametres!$B$3,G$1:R$1,0)-1)*IF(OR(F646="L",F646="S",F646="I"),-1,1),"")</f>
        <v>0</v>
      </c>
      <c r="AM646" s="1030">
        <f t="shared" si="41"/>
        <v>0</v>
      </c>
      <c r="AN646" s="1030">
        <f>INDEX(G646:R646,1,MATCH(Parametres!$B$3,G$1:R$1,0))*IF(OR(F646="L",F646="S",F646="I"),-1,1)</f>
        <v>0</v>
      </c>
      <c r="AO646" s="598" t="e">
        <f>+VLOOKUP($AJ646,Data_Validation!$A:$D,1,0)</f>
        <v>#N/A</v>
      </c>
      <c r="AP646" s="598" t="e">
        <f>+VLOOKUP($AJ646,Data_Validation!$A:$D,3,0)</f>
        <v>#N/A</v>
      </c>
      <c r="AQ646" s="598" t="e">
        <f>+VLOOKUP($AJ646,Data_Validation!$A:$D,4,0)</f>
        <v>#N/A</v>
      </c>
      <c r="AR646" s="598" t="s">
        <v>299</v>
      </c>
      <c r="AS646" s="598" t="e">
        <f>+VLOOKUP($AJ646,Data_Validation!$A:$E,5,0)</f>
        <v>#N/A</v>
      </c>
      <c r="AT646" s="1036">
        <f t="shared" si="42"/>
        <v>0</v>
      </c>
      <c r="AU646" s="599">
        <f t="shared" si="42"/>
        <v>0</v>
      </c>
      <c r="AV646" s="1030">
        <f>IFERROR(INDEX(V646:AG646,1,MATCH(Parametres!$B$3,V$1:AG$1,0)-1)*IF(OR(C646="L",C646="S",C646="I"),-1,1),"")</f>
        <v>0</v>
      </c>
      <c r="AW646" s="1030">
        <f t="shared" si="43"/>
        <v>0</v>
      </c>
      <c r="AX646" s="1030">
        <f>INDEX(V646:AG646,1,MATCH(Parametres!$B$3,V$1:AG$1,0))*IF(OR(C646="L",C646="S",C646="I"),-1,1)</f>
        <v>0</v>
      </c>
      <c r="AY646" s="598" t="s">
        <v>337</v>
      </c>
      <c r="AZ646" s="598" t="e">
        <f>+VLOOKUP($AJ646,Data_Validation!$A:$E,5,0)</f>
        <v>#N/A</v>
      </c>
    </row>
    <row r="647" spans="36:52" ht="15" customHeight="1">
      <c r="AJ647" s="1030">
        <f t="shared" si="40"/>
        <v>0</v>
      </c>
      <c r="AK647" s="1030">
        <f t="shared" si="40"/>
        <v>0</v>
      </c>
      <c r="AL647" s="1030">
        <f>IFERROR(INDEX(G647:R647,1,MATCH(Parametres!$B$3,G$1:R$1,0)-1)*IF(OR(F647="L",F647="S",F647="I"),-1,1),"")</f>
        <v>0</v>
      </c>
      <c r="AM647" s="1030">
        <f t="shared" si="41"/>
        <v>0</v>
      </c>
      <c r="AN647" s="1030">
        <f>INDEX(G647:R647,1,MATCH(Parametres!$B$3,G$1:R$1,0))*IF(OR(F647="L",F647="S",F647="I"),-1,1)</f>
        <v>0</v>
      </c>
      <c r="AO647" s="598" t="e">
        <f>+VLOOKUP($AJ647,Data_Validation!$A:$D,1,0)</f>
        <v>#N/A</v>
      </c>
      <c r="AP647" s="598" t="e">
        <f>+VLOOKUP($AJ647,Data_Validation!$A:$D,3,0)</f>
        <v>#N/A</v>
      </c>
      <c r="AQ647" s="598" t="e">
        <f>+VLOOKUP($AJ647,Data_Validation!$A:$D,4,0)</f>
        <v>#N/A</v>
      </c>
      <c r="AR647" s="598" t="s">
        <v>299</v>
      </c>
      <c r="AS647" s="598" t="e">
        <f>+VLOOKUP($AJ647,Data_Validation!$A:$E,5,0)</f>
        <v>#N/A</v>
      </c>
      <c r="AT647" s="1036">
        <f t="shared" si="42"/>
        <v>0</v>
      </c>
      <c r="AU647" s="599">
        <f t="shared" si="42"/>
        <v>0</v>
      </c>
      <c r="AV647" s="1030">
        <f>IFERROR(INDEX(V647:AG647,1,MATCH(Parametres!$B$3,V$1:AG$1,0)-1)*IF(OR(C647="L",C647="S",C647="I"),-1,1),"")</f>
        <v>0</v>
      </c>
      <c r="AW647" s="1030">
        <f t="shared" si="43"/>
        <v>0</v>
      </c>
      <c r="AX647" s="1030">
        <f>INDEX(V647:AG647,1,MATCH(Parametres!$B$3,V$1:AG$1,0))*IF(OR(C647="L",C647="S",C647="I"),-1,1)</f>
        <v>0</v>
      </c>
      <c r="AY647" s="598" t="s">
        <v>337</v>
      </c>
      <c r="AZ647" s="598" t="e">
        <f>+VLOOKUP($AJ647,Data_Validation!$A:$E,5,0)</f>
        <v>#N/A</v>
      </c>
    </row>
    <row r="648" spans="36:52" ht="15" customHeight="1">
      <c r="AJ648" s="1030">
        <f t="shared" si="40"/>
        <v>0</v>
      </c>
      <c r="AK648" s="1030">
        <f t="shared" si="40"/>
        <v>0</v>
      </c>
      <c r="AL648" s="1030">
        <f>IFERROR(INDEX(G648:R648,1,MATCH(Parametres!$B$3,G$1:R$1,0)-1)*IF(OR(F648="L",F648="S",F648="I"),-1,1),"")</f>
        <v>0</v>
      </c>
      <c r="AM648" s="1030">
        <f t="shared" si="41"/>
        <v>0</v>
      </c>
      <c r="AN648" s="1030">
        <f>INDEX(G648:R648,1,MATCH(Parametres!$B$3,G$1:R$1,0))*IF(OR(F648="L",F648="S",F648="I"),-1,1)</f>
        <v>0</v>
      </c>
      <c r="AO648" s="598" t="e">
        <f>+VLOOKUP($AJ648,Data_Validation!$A:$D,1,0)</f>
        <v>#N/A</v>
      </c>
      <c r="AP648" s="598" t="e">
        <f>+VLOOKUP($AJ648,Data_Validation!$A:$D,3,0)</f>
        <v>#N/A</v>
      </c>
      <c r="AQ648" s="598" t="e">
        <f>+VLOOKUP($AJ648,Data_Validation!$A:$D,4,0)</f>
        <v>#N/A</v>
      </c>
      <c r="AR648" s="598" t="s">
        <v>299</v>
      </c>
      <c r="AS648" s="598" t="e">
        <f>+VLOOKUP($AJ648,Data_Validation!$A:$E,5,0)</f>
        <v>#N/A</v>
      </c>
      <c r="AT648" s="1036">
        <f t="shared" si="42"/>
        <v>0</v>
      </c>
      <c r="AU648" s="599">
        <f t="shared" si="42"/>
        <v>0</v>
      </c>
      <c r="AV648" s="1030">
        <f>IFERROR(INDEX(V648:AG648,1,MATCH(Parametres!$B$3,V$1:AG$1,0)-1)*IF(OR(C648="L",C648="S",C648="I"),-1,1),"")</f>
        <v>0</v>
      </c>
      <c r="AW648" s="1030">
        <f t="shared" si="43"/>
        <v>0</v>
      </c>
      <c r="AX648" s="1030">
        <f>INDEX(V648:AG648,1,MATCH(Parametres!$B$3,V$1:AG$1,0))*IF(OR(C648="L",C648="S",C648="I"),-1,1)</f>
        <v>0</v>
      </c>
      <c r="AY648" s="598" t="s">
        <v>337</v>
      </c>
      <c r="AZ648" s="598" t="e">
        <f>+VLOOKUP($AJ648,Data_Validation!$A:$E,5,0)</f>
        <v>#N/A</v>
      </c>
    </row>
    <row r="649" spans="36:52" ht="15" customHeight="1">
      <c r="AJ649" s="1030">
        <f t="shared" si="40"/>
        <v>0</v>
      </c>
      <c r="AK649" s="1030">
        <f t="shared" si="40"/>
        <v>0</v>
      </c>
      <c r="AL649" s="1030">
        <f>IFERROR(INDEX(G649:R649,1,MATCH(Parametres!$B$3,G$1:R$1,0)-1)*IF(OR(F649="L",F649="S",F649="I"),-1,1),"")</f>
        <v>0</v>
      </c>
      <c r="AM649" s="1030">
        <f t="shared" si="41"/>
        <v>0</v>
      </c>
      <c r="AN649" s="1030">
        <f>INDEX(G649:R649,1,MATCH(Parametres!$B$3,G$1:R$1,0))*IF(OR(F649="L",F649="S",F649="I"),-1,1)</f>
        <v>0</v>
      </c>
      <c r="AO649" s="598" t="e">
        <f>+VLOOKUP($AJ649,Data_Validation!$A:$D,1,0)</f>
        <v>#N/A</v>
      </c>
      <c r="AP649" s="598" t="e">
        <f>+VLOOKUP($AJ649,Data_Validation!$A:$D,3,0)</f>
        <v>#N/A</v>
      </c>
      <c r="AQ649" s="598" t="e">
        <f>+VLOOKUP($AJ649,Data_Validation!$A:$D,4,0)</f>
        <v>#N/A</v>
      </c>
      <c r="AR649" s="598" t="s">
        <v>299</v>
      </c>
      <c r="AS649" s="598" t="e">
        <f>+VLOOKUP($AJ649,Data_Validation!$A:$E,5,0)</f>
        <v>#N/A</v>
      </c>
      <c r="AT649" s="1036">
        <f t="shared" si="42"/>
        <v>0</v>
      </c>
      <c r="AU649" s="599">
        <f t="shared" si="42"/>
        <v>0</v>
      </c>
      <c r="AV649" s="1030">
        <f>IFERROR(INDEX(V649:AG649,1,MATCH(Parametres!$B$3,V$1:AG$1,0)-1)*IF(OR(C649="L",C649="S",C649="I"),-1,1),"")</f>
        <v>0</v>
      </c>
      <c r="AW649" s="1030">
        <f t="shared" si="43"/>
        <v>0</v>
      </c>
      <c r="AX649" s="1030">
        <f>INDEX(V649:AG649,1,MATCH(Parametres!$B$3,V$1:AG$1,0))*IF(OR(C649="L",C649="S",C649="I"),-1,1)</f>
        <v>0</v>
      </c>
      <c r="AY649" s="598" t="s">
        <v>337</v>
      </c>
      <c r="AZ649" s="598" t="e">
        <f>+VLOOKUP($AJ649,Data_Validation!$A:$E,5,0)</f>
        <v>#N/A</v>
      </c>
    </row>
    <row r="650" spans="36:52" ht="15" customHeight="1">
      <c r="AJ650" s="1030">
        <f t="shared" si="40"/>
        <v>0</v>
      </c>
      <c r="AK650" s="1030">
        <f t="shared" si="40"/>
        <v>0</v>
      </c>
      <c r="AL650" s="1030">
        <f>IFERROR(INDEX(G650:R650,1,MATCH(Parametres!$B$3,G$1:R$1,0)-1)*IF(OR(F650="L",F650="S",F650="I"),-1,1),"")</f>
        <v>0</v>
      </c>
      <c r="AM650" s="1030">
        <f t="shared" si="41"/>
        <v>0</v>
      </c>
      <c r="AN650" s="1030">
        <f>INDEX(G650:R650,1,MATCH(Parametres!$B$3,G$1:R$1,0))*IF(OR(F650="L",F650="S",F650="I"),-1,1)</f>
        <v>0</v>
      </c>
      <c r="AO650" s="598" t="e">
        <f>+VLOOKUP($AJ650,Data_Validation!$A:$D,1,0)</f>
        <v>#N/A</v>
      </c>
      <c r="AP650" s="598" t="e">
        <f>+VLOOKUP($AJ650,Data_Validation!$A:$D,3,0)</f>
        <v>#N/A</v>
      </c>
      <c r="AQ650" s="598" t="e">
        <f>+VLOOKUP($AJ650,Data_Validation!$A:$D,4,0)</f>
        <v>#N/A</v>
      </c>
      <c r="AR650" s="598" t="s">
        <v>299</v>
      </c>
      <c r="AS650" s="598" t="e">
        <f>+VLOOKUP($AJ650,Data_Validation!$A:$E,5,0)</f>
        <v>#N/A</v>
      </c>
      <c r="AT650" s="1036">
        <f t="shared" si="42"/>
        <v>0</v>
      </c>
      <c r="AU650" s="599">
        <f t="shared" si="42"/>
        <v>0</v>
      </c>
      <c r="AV650" s="1030">
        <f>IFERROR(INDEX(V650:AG650,1,MATCH(Parametres!$B$3,V$1:AG$1,0)-1)*IF(OR(C650="L",C650="S",C650="I"),-1,1),"")</f>
        <v>0</v>
      </c>
      <c r="AW650" s="1030">
        <f t="shared" si="43"/>
        <v>0</v>
      </c>
      <c r="AX650" s="1030">
        <f>INDEX(V650:AG650,1,MATCH(Parametres!$B$3,V$1:AG$1,0))*IF(OR(C650="L",C650="S",C650="I"),-1,1)</f>
        <v>0</v>
      </c>
      <c r="AY650" s="598" t="s">
        <v>337</v>
      </c>
      <c r="AZ650" s="598" t="e">
        <f>+VLOOKUP($AJ650,Data_Validation!$A:$E,5,0)</f>
        <v>#N/A</v>
      </c>
    </row>
    <row r="651" spans="36:52" ht="15" customHeight="1">
      <c r="AJ651" s="1030">
        <f t="shared" si="40"/>
        <v>0</v>
      </c>
      <c r="AK651" s="1030">
        <f t="shared" si="40"/>
        <v>0</v>
      </c>
      <c r="AL651" s="1030">
        <f>IFERROR(INDEX(G651:R651,1,MATCH(Parametres!$B$3,G$1:R$1,0)-1)*IF(OR(F651="L",F651="S",F651="I"),-1,1),"")</f>
        <v>0</v>
      </c>
      <c r="AM651" s="1030">
        <f t="shared" si="41"/>
        <v>0</v>
      </c>
      <c r="AN651" s="1030">
        <f>INDEX(G651:R651,1,MATCH(Parametres!$B$3,G$1:R$1,0))*IF(OR(F651="L",F651="S",F651="I"),-1,1)</f>
        <v>0</v>
      </c>
      <c r="AO651" s="598" t="e">
        <f>+VLOOKUP($AJ651,Data_Validation!$A:$D,1,0)</f>
        <v>#N/A</v>
      </c>
      <c r="AP651" s="598" t="e">
        <f>+VLOOKUP($AJ651,Data_Validation!$A:$D,3,0)</f>
        <v>#N/A</v>
      </c>
      <c r="AQ651" s="598" t="e">
        <f>+VLOOKUP($AJ651,Data_Validation!$A:$D,4,0)</f>
        <v>#N/A</v>
      </c>
      <c r="AR651" s="598" t="s">
        <v>299</v>
      </c>
      <c r="AS651" s="598" t="e">
        <f>+VLOOKUP($AJ651,Data_Validation!$A:$E,5,0)</f>
        <v>#N/A</v>
      </c>
      <c r="AT651" s="1036">
        <f t="shared" si="42"/>
        <v>0</v>
      </c>
      <c r="AU651" s="599">
        <f t="shared" si="42"/>
        <v>0</v>
      </c>
      <c r="AV651" s="1030">
        <f>IFERROR(INDEX(V651:AG651,1,MATCH(Parametres!$B$3,V$1:AG$1,0)-1)*IF(OR(C651="L",C651="S",C651="I"),-1,1),"")</f>
        <v>0</v>
      </c>
      <c r="AW651" s="1030">
        <f t="shared" si="43"/>
        <v>0</v>
      </c>
      <c r="AX651" s="1030">
        <f>INDEX(V651:AG651,1,MATCH(Parametres!$B$3,V$1:AG$1,0))*IF(OR(C651="L",C651="S",C651="I"),-1,1)</f>
        <v>0</v>
      </c>
      <c r="AY651" s="598" t="s">
        <v>337</v>
      </c>
      <c r="AZ651" s="598" t="e">
        <f>+VLOOKUP($AJ651,Data_Validation!$A:$E,5,0)</f>
        <v>#N/A</v>
      </c>
    </row>
    <row r="652" spans="36:52" ht="15" customHeight="1">
      <c r="AJ652" s="1030">
        <f t="shared" si="40"/>
        <v>0</v>
      </c>
      <c r="AK652" s="1030">
        <f t="shared" si="40"/>
        <v>0</v>
      </c>
      <c r="AL652" s="1030">
        <f>IFERROR(INDEX(G652:R652,1,MATCH(Parametres!$B$3,G$1:R$1,0)-1)*IF(OR(F652="L",F652="S",F652="I"),-1,1),"")</f>
        <v>0</v>
      </c>
      <c r="AM652" s="1030">
        <f t="shared" si="41"/>
        <v>0</v>
      </c>
      <c r="AN652" s="1030">
        <f>INDEX(G652:R652,1,MATCH(Parametres!$B$3,G$1:R$1,0))*IF(OR(F652="L",F652="S",F652="I"),-1,1)</f>
        <v>0</v>
      </c>
      <c r="AO652" s="598" t="e">
        <f>+VLOOKUP($AJ652,Data_Validation!$A:$D,1,0)</f>
        <v>#N/A</v>
      </c>
      <c r="AP652" s="598" t="e">
        <f>+VLOOKUP($AJ652,Data_Validation!$A:$D,3,0)</f>
        <v>#N/A</v>
      </c>
      <c r="AQ652" s="598" t="e">
        <f>+VLOOKUP($AJ652,Data_Validation!$A:$D,4,0)</f>
        <v>#N/A</v>
      </c>
      <c r="AR652" s="598" t="s">
        <v>299</v>
      </c>
      <c r="AS652" s="598" t="e">
        <f>+VLOOKUP($AJ652,Data_Validation!$A:$E,5,0)</f>
        <v>#N/A</v>
      </c>
      <c r="AT652" s="1036">
        <f t="shared" si="42"/>
        <v>0</v>
      </c>
      <c r="AU652" s="599">
        <f t="shared" si="42"/>
        <v>0</v>
      </c>
      <c r="AV652" s="1030">
        <f>IFERROR(INDEX(V652:AG652,1,MATCH(Parametres!$B$3,V$1:AG$1,0)-1)*IF(OR(C652="L",C652="S",C652="I"),-1,1),"")</f>
        <v>0</v>
      </c>
      <c r="AW652" s="1030">
        <f t="shared" si="43"/>
        <v>0</v>
      </c>
      <c r="AX652" s="1030">
        <f>INDEX(V652:AG652,1,MATCH(Parametres!$B$3,V$1:AG$1,0))*IF(OR(C652="L",C652="S",C652="I"),-1,1)</f>
        <v>0</v>
      </c>
      <c r="AY652" s="598" t="s">
        <v>337</v>
      </c>
      <c r="AZ652" s="598" t="e">
        <f>+VLOOKUP($AJ652,Data_Validation!$A:$E,5,0)</f>
        <v>#N/A</v>
      </c>
    </row>
    <row r="653" spans="36:52" ht="15" customHeight="1">
      <c r="AJ653" s="1030">
        <f t="shared" si="40"/>
        <v>0</v>
      </c>
      <c r="AK653" s="1030">
        <f t="shared" si="40"/>
        <v>0</v>
      </c>
      <c r="AL653" s="1030">
        <f>IFERROR(INDEX(G653:R653,1,MATCH(Parametres!$B$3,G$1:R$1,0)-1)*IF(OR(F653="L",F653="S",F653="I"),-1,1),"")</f>
        <v>0</v>
      </c>
      <c r="AM653" s="1030">
        <f t="shared" si="41"/>
        <v>0</v>
      </c>
      <c r="AN653" s="1030">
        <f>INDEX(G653:R653,1,MATCH(Parametres!$B$3,G$1:R$1,0))*IF(OR(F653="L",F653="S",F653="I"),-1,1)</f>
        <v>0</v>
      </c>
      <c r="AO653" s="598" t="e">
        <f>+VLOOKUP($AJ653,Data_Validation!$A:$D,1,0)</f>
        <v>#N/A</v>
      </c>
      <c r="AP653" s="598" t="e">
        <f>+VLOOKUP($AJ653,Data_Validation!$A:$D,3,0)</f>
        <v>#N/A</v>
      </c>
      <c r="AQ653" s="598" t="e">
        <f>+VLOOKUP($AJ653,Data_Validation!$A:$D,4,0)</f>
        <v>#N/A</v>
      </c>
      <c r="AR653" s="598" t="s">
        <v>299</v>
      </c>
      <c r="AS653" s="598" t="e">
        <f>+VLOOKUP($AJ653,Data_Validation!$A:$E,5,0)</f>
        <v>#N/A</v>
      </c>
      <c r="AT653" s="1036">
        <f t="shared" si="42"/>
        <v>0</v>
      </c>
      <c r="AU653" s="599">
        <f t="shared" si="42"/>
        <v>0</v>
      </c>
      <c r="AV653" s="1030">
        <f>IFERROR(INDEX(V653:AG653,1,MATCH(Parametres!$B$3,V$1:AG$1,0)-1)*IF(OR(C653="L",C653="S",C653="I"),-1,1),"")</f>
        <v>0</v>
      </c>
      <c r="AW653" s="1030">
        <f t="shared" si="43"/>
        <v>0</v>
      </c>
      <c r="AX653" s="1030">
        <f>INDEX(V653:AG653,1,MATCH(Parametres!$B$3,V$1:AG$1,0))*IF(OR(C653="L",C653="S",C653="I"),-1,1)</f>
        <v>0</v>
      </c>
      <c r="AY653" s="598" t="s">
        <v>337</v>
      </c>
      <c r="AZ653" s="598" t="e">
        <f>+VLOOKUP($AJ653,Data_Validation!$A:$E,5,0)</f>
        <v>#N/A</v>
      </c>
    </row>
    <row r="654" spans="36:52" ht="15" customHeight="1">
      <c r="AJ654" s="1030">
        <f t="shared" si="40"/>
        <v>0</v>
      </c>
      <c r="AK654" s="1030">
        <f t="shared" si="40"/>
        <v>0</v>
      </c>
      <c r="AL654" s="1030">
        <f>IFERROR(INDEX(G654:R654,1,MATCH(Parametres!$B$3,G$1:R$1,0)-1)*IF(OR(F654="L",F654="S",F654="I"),-1,1),"")</f>
        <v>0</v>
      </c>
      <c r="AM654" s="1030">
        <f t="shared" si="41"/>
        <v>0</v>
      </c>
      <c r="AN654" s="1030">
        <f>INDEX(G654:R654,1,MATCH(Parametres!$B$3,G$1:R$1,0))*IF(OR(F654="L",F654="S",F654="I"),-1,1)</f>
        <v>0</v>
      </c>
      <c r="AO654" s="598" t="e">
        <f>+VLOOKUP($AJ654,Data_Validation!$A:$D,1,0)</f>
        <v>#N/A</v>
      </c>
      <c r="AP654" s="598" t="e">
        <f>+VLOOKUP($AJ654,Data_Validation!$A:$D,3,0)</f>
        <v>#N/A</v>
      </c>
      <c r="AQ654" s="598" t="e">
        <f>+VLOOKUP($AJ654,Data_Validation!$A:$D,4,0)</f>
        <v>#N/A</v>
      </c>
      <c r="AR654" s="598" t="s">
        <v>299</v>
      </c>
      <c r="AS654" s="598" t="e">
        <f>+VLOOKUP($AJ654,Data_Validation!$A:$E,5,0)</f>
        <v>#N/A</v>
      </c>
      <c r="AT654" s="1036">
        <f t="shared" si="42"/>
        <v>0</v>
      </c>
      <c r="AU654" s="599">
        <f t="shared" si="42"/>
        <v>0</v>
      </c>
      <c r="AV654" s="1030">
        <f>IFERROR(INDEX(V654:AG654,1,MATCH(Parametres!$B$3,V$1:AG$1,0)-1)*IF(OR(C654="L",C654="S",C654="I"),-1,1),"")</f>
        <v>0</v>
      </c>
      <c r="AW654" s="1030">
        <f t="shared" si="43"/>
        <v>0</v>
      </c>
      <c r="AX654" s="1030">
        <f>INDEX(V654:AG654,1,MATCH(Parametres!$B$3,V$1:AG$1,0))*IF(OR(C654="L",C654="S",C654="I"),-1,1)</f>
        <v>0</v>
      </c>
      <c r="AY654" s="598" t="s">
        <v>337</v>
      </c>
      <c r="AZ654" s="598" t="e">
        <f>+VLOOKUP($AJ654,Data_Validation!$A:$E,5,0)</f>
        <v>#N/A</v>
      </c>
    </row>
    <row r="655" spans="36:52" ht="15" customHeight="1">
      <c r="AJ655" s="1030">
        <f t="shared" si="40"/>
        <v>0</v>
      </c>
      <c r="AK655" s="1030">
        <f t="shared" si="40"/>
        <v>0</v>
      </c>
      <c r="AL655" s="1030">
        <f>IFERROR(INDEX(G655:R655,1,MATCH(Parametres!$B$3,G$1:R$1,0)-1)*IF(OR(F655="L",F655="S",F655="I"),-1,1),"")</f>
        <v>0</v>
      </c>
      <c r="AM655" s="1030">
        <f t="shared" si="41"/>
        <v>0</v>
      </c>
      <c r="AN655" s="1030">
        <f>INDEX(G655:R655,1,MATCH(Parametres!$B$3,G$1:R$1,0))*IF(OR(F655="L",F655="S",F655="I"),-1,1)</f>
        <v>0</v>
      </c>
      <c r="AO655" s="598" t="e">
        <f>+VLOOKUP($AJ655,Data_Validation!$A:$D,1,0)</f>
        <v>#N/A</v>
      </c>
      <c r="AP655" s="598" t="e">
        <f>+VLOOKUP($AJ655,Data_Validation!$A:$D,3,0)</f>
        <v>#N/A</v>
      </c>
      <c r="AQ655" s="598" t="e">
        <f>+VLOOKUP($AJ655,Data_Validation!$A:$D,4,0)</f>
        <v>#N/A</v>
      </c>
      <c r="AR655" s="598" t="s">
        <v>299</v>
      </c>
      <c r="AS655" s="598" t="e">
        <f>+VLOOKUP($AJ655,Data_Validation!$A:$E,5,0)</f>
        <v>#N/A</v>
      </c>
      <c r="AT655" s="1036">
        <f t="shared" si="42"/>
        <v>0</v>
      </c>
      <c r="AU655" s="599">
        <f t="shared" si="42"/>
        <v>0</v>
      </c>
      <c r="AV655" s="1030">
        <f>IFERROR(INDEX(V655:AG655,1,MATCH(Parametres!$B$3,V$1:AG$1,0)-1)*IF(OR(C655="L",C655="S",C655="I"),-1,1),"")</f>
        <v>0</v>
      </c>
      <c r="AW655" s="1030">
        <f t="shared" si="43"/>
        <v>0</v>
      </c>
      <c r="AX655" s="1030">
        <f>INDEX(V655:AG655,1,MATCH(Parametres!$B$3,V$1:AG$1,0))*IF(OR(C655="L",C655="S",C655="I"),-1,1)</f>
        <v>0</v>
      </c>
      <c r="AY655" s="598" t="s">
        <v>337</v>
      </c>
      <c r="AZ655" s="598" t="e">
        <f>+VLOOKUP($AJ655,Data_Validation!$A:$E,5,0)</f>
        <v>#N/A</v>
      </c>
    </row>
    <row r="656" spans="36:52" ht="15" customHeight="1">
      <c r="AJ656" s="1030">
        <f t="shared" si="40"/>
        <v>0</v>
      </c>
      <c r="AK656" s="1030">
        <f t="shared" si="40"/>
        <v>0</v>
      </c>
      <c r="AL656" s="1030">
        <f>IFERROR(INDEX(G656:R656,1,MATCH(Parametres!$B$3,G$1:R$1,0)-1)*IF(OR(F656="L",F656="S",F656="I"),-1,1),"")</f>
        <v>0</v>
      </c>
      <c r="AM656" s="1030">
        <f t="shared" si="41"/>
        <v>0</v>
      </c>
      <c r="AN656" s="1030">
        <f>INDEX(G656:R656,1,MATCH(Parametres!$B$3,G$1:R$1,0))*IF(OR(F656="L",F656="S",F656="I"),-1,1)</f>
        <v>0</v>
      </c>
      <c r="AO656" s="598" t="e">
        <f>+VLOOKUP($AJ656,Data_Validation!$A:$D,1,0)</f>
        <v>#N/A</v>
      </c>
      <c r="AP656" s="598" t="e">
        <f>+VLOOKUP($AJ656,Data_Validation!$A:$D,3,0)</f>
        <v>#N/A</v>
      </c>
      <c r="AQ656" s="598" t="e">
        <f>+VLOOKUP($AJ656,Data_Validation!$A:$D,4,0)</f>
        <v>#N/A</v>
      </c>
      <c r="AR656" s="598" t="s">
        <v>299</v>
      </c>
      <c r="AS656" s="598" t="e">
        <f>+VLOOKUP($AJ656,Data_Validation!$A:$E,5,0)</f>
        <v>#N/A</v>
      </c>
      <c r="AT656" s="1036">
        <f t="shared" si="42"/>
        <v>0</v>
      </c>
      <c r="AU656" s="599">
        <f t="shared" si="42"/>
        <v>0</v>
      </c>
      <c r="AV656" s="1030">
        <f>IFERROR(INDEX(V656:AG656,1,MATCH(Parametres!$B$3,V$1:AG$1,0)-1)*IF(OR(C656="L",C656="S",C656="I"),-1,1),"")</f>
        <v>0</v>
      </c>
      <c r="AW656" s="1030">
        <f t="shared" si="43"/>
        <v>0</v>
      </c>
      <c r="AX656" s="1030">
        <f>INDEX(V656:AG656,1,MATCH(Parametres!$B$3,V$1:AG$1,0))*IF(OR(C656="L",C656="S",C656="I"),-1,1)</f>
        <v>0</v>
      </c>
      <c r="AY656" s="598" t="s">
        <v>337</v>
      </c>
      <c r="AZ656" s="598" t="e">
        <f>+VLOOKUP($AJ656,Data_Validation!$A:$E,5,0)</f>
        <v>#N/A</v>
      </c>
    </row>
    <row r="657" spans="36:52" ht="15" customHeight="1">
      <c r="AJ657" s="1030">
        <f t="shared" si="40"/>
        <v>0</v>
      </c>
      <c r="AK657" s="1030">
        <f t="shared" si="40"/>
        <v>0</v>
      </c>
      <c r="AL657" s="1030">
        <f>IFERROR(INDEX(G657:R657,1,MATCH(Parametres!$B$3,G$1:R$1,0)-1)*IF(OR(F657="L",F657="S",F657="I"),-1,1),"")</f>
        <v>0</v>
      </c>
      <c r="AM657" s="1030">
        <f t="shared" si="41"/>
        <v>0</v>
      </c>
      <c r="AN657" s="1030">
        <f>INDEX(G657:R657,1,MATCH(Parametres!$B$3,G$1:R$1,0))*IF(OR(F657="L",F657="S",F657="I"),-1,1)</f>
        <v>0</v>
      </c>
      <c r="AO657" s="598" t="e">
        <f>+VLOOKUP($AJ657,Data_Validation!$A:$D,1,0)</f>
        <v>#N/A</v>
      </c>
      <c r="AP657" s="598" t="e">
        <f>+VLOOKUP($AJ657,Data_Validation!$A:$D,3,0)</f>
        <v>#N/A</v>
      </c>
      <c r="AQ657" s="598" t="e">
        <f>+VLOOKUP($AJ657,Data_Validation!$A:$D,4,0)</f>
        <v>#N/A</v>
      </c>
      <c r="AR657" s="598" t="s">
        <v>299</v>
      </c>
      <c r="AS657" s="598" t="e">
        <f>+VLOOKUP($AJ657,Data_Validation!$A:$E,5,0)</f>
        <v>#N/A</v>
      </c>
      <c r="AT657" s="1036">
        <f t="shared" si="42"/>
        <v>0</v>
      </c>
      <c r="AU657" s="599">
        <f t="shared" si="42"/>
        <v>0</v>
      </c>
      <c r="AV657" s="1030">
        <f>IFERROR(INDEX(V657:AG657,1,MATCH(Parametres!$B$3,V$1:AG$1,0)-1)*IF(OR(C657="L",C657="S",C657="I"),-1,1),"")</f>
        <v>0</v>
      </c>
      <c r="AW657" s="1030">
        <f t="shared" si="43"/>
        <v>0</v>
      </c>
      <c r="AX657" s="1030">
        <f>INDEX(V657:AG657,1,MATCH(Parametres!$B$3,V$1:AG$1,0))*IF(OR(C657="L",C657="S",C657="I"),-1,1)</f>
        <v>0</v>
      </c>
      <c r="AY657" s="598" t="s">
        <v>337</v>
      </c>
      <c r="AZ657" s="598" t="e">
        <f>+VLOOKUP($AJ657,Data_Validation!$A:$E,5,0)</f>
        <v>#N/A</v>
      </c>
    </row>
    <row r="658" spans="36:52" ht="15" customHeight="1">
      <c r="AJ658" s="1030">
        <f t="shared" si="40"/>
        <v>0</v>
      </c>
      <c r="AK658" s="1030">
        <f t="shared" si="40"/>
        <v>0</v>
      </c>
      <c r="AL658" s="1030">
        <f>IFERROR(INDEX(G658:R658,1,MATCH(Parametres!$B$3,G$1:R$1,0)-1)*IF(OR(F658="L",F658="S",F658="I"),-1,1),"")</f>
        <v>0</v>
      </c>
      <c r="AM658" s="1030">
        <f t="shared" si="41"/>
        <v>0</v>
      </c>
      <c r="AN658" s="1030">
        <f>INDEX(G658:R658,1,MATCH(Parametres!$B$3,G$1:R$1,0))*IF(OR(F658="L",F658="S",F658="I"),-1,1)</f>
        <v>0</v>
      </c>
      <c r="AO658" s="598" t="e">
        <f>+VLOOKUP($AJ658,Data_Validation!$A:$D,1,0)</f>
        <v>#N/A</v>
      </c>
      <c r="AP658" s="598" t="e">
        <f>+VLOOKUP($AJ658,Data_Validation!$A:$D,3,0)</f>
        <v>#N/A</v>
      </c>
      <c r="AQ658" s="598" t="e">
        <f>+VLOOKUP($AJ658,Data_Validation!$A:$D,4,0)</f>
        <v>#N/A</v>
      </c>
      <c r="AR658" s="598" t="s">
        <v>299</v>
      </c>
      <c r="AS658" s="598" t="e">
        <f>+VLOOKUP($AJ658,Data_Validation!$A:$E,5,0)</f>
        <v>#N/A</v>
      </c>
      <c r="AT658" s="1036">
        <f t="shared" si="42"/>
        <v>0</v>
      </c>
      <c r="AU658" s="599">
        <f t="shared" si="42"/>
        <v>0</v>
      </c>
      <c r="AV658" s="1030">
        <f>IFERROR(INDEX(V658:AG658,1,MATCH(Parametres!$B$3,V$1:AG$1,0)-1)*IF(OR(C658="L",C658="S",C658="I"),-1,1),"")</f>
        <v>0</v>
      </c>
      <c r="AW658" s="1030">
        <f t="shared" si="43"/>
        <v>0</v>
      </c>
      <c r="AX658" s="1030">
        <f>INDEX(V658:AG658,1,MATCH(Parametres!$B$3,V$1:AG$1,0))*IF(OR(C658="L",C658="S",C658="I"),-1,1)</f>
        <v>0</v>
      </c>
      <c r="AY658" s="598" t="s">
        <v>337</v>
      </c>
      <c r="AZ658" s="598" t="e">
        <f>+VLOOKUP($AJ658,Data_Validation!$A:$E,5,0)</f>
        <v>#N/A</v>
      </c>
    </row>
    <row r="659" spans="36:52" ht="15" customHeight="1">
      <c r="AJ659" s="1030">
        <f t="shared" si="40"/>
        <v>0</v>
      </c>
      <c r="AK659" s="1030">
        <f t="shared" si="40"/>
        <v>0</v>
      </c>
      <c r="AL659" s="1030">
        <f>IFERROR(INDEX(G659:R659,1,MATCH(Parametres!$B$3,G$1:R$1,0)-1)*IF(OR(F659="L",F659="S",F659="I"),-1,1),"")</f>
        <v>0</v>
      </c>
      <c r="AM659" s="1030">
        <f t="shared" si="41"/>
        <v>0</v>
      </c>
      <c r="AN659" s="1030">
        <f>INDEX(G659:R659,1,MATCH(Parametres!$B$3,G$1:R$1,0))*IF(OR(F659="L",F659="S",F659="I"),-1,1)</f>
        <v>0</v>
      </c>
      <c r="AO659" s="598" t="e">
        <f>+VLOOKUP($AJ659,Data_Validation!$A:$D,1,0)</f>
        <v>#N/A</v>
      </c>
      <c r="AP659" s="598" t="e">
        <f>+VLOOKUP($AJ659,Data_Validation!$A:$D,3,0)</f>
        <v>#N/A</v>
      </c>
      <c r="AQ659" s="598" t="e">
        <f>+VLOOKUP($AJ659,Data_Validation!$A:$D,4,0)</f>
        <v>#N/A</v>
      </c>
      <c r="AR659" s="598" t="s">
        <v>299</v>
      </c>
      <c r="AS659" s="598" t="e">
        <f>+VLOOKUP($AJ659,Data_Validation!$A:$E,5,0)</f>
        <v>#N/A</v>
      </c>
      <c r="AT659" s="1036">
        <f t="shared" si="42"/>
        <v>0</v>
      </c>
      <c r="AU659" s="599">
        <f t="shared" si="42"/>
        <v>0</v>
      </c>
      <c r="AV659" s="1030">
        <f>IFERROR(INDEX(V659:AG659,1,MATCH(Parametres!$B$3,V$1:AG$1,0)-1)*IF(OR(C659="L",C659="S",C659="I"),-1,1),"")</f>
        <v>0</v>
      </c>
      <c r="AW659" s="1030">
        <f t="shared" si="43"/>
        <v>0</v>
      </c>
      <c r="AX659" s="1030">
        <f>INDEX(V659:AG659,1,MATCH(Parametres!$B$3,V$1:AG$1,0))*IF(OR(C659="L",C659="S",C659="I"),-1,1)</f>
        <v>0</v>
      </c>
      <c r="AY659" s="598" t="s">
        <v>337</v>
      </c>
      <c r="AZ659" s="598" t="e">
        <f>+VLOOKUP($AJ659,Data_Validation!$A:$E,5,0)</f>
        <v>#N/A</v>
      </c>
    </row>
    <row r="660" spans="36:52" ht="15" customHeight="1">
      <c r="AJ660" s="1030">
        <f t="shared" ref="AJ660:AK723" si="44">C660</f>
        <v>0</v>
      </c>
      <c r="AK660" s="1030">
        <f t="shared" si="44"/>
        <v>0</v>
      </c>
      <c r="AL660" s="1030">
        <f>IFERROR(INDEX(G660:R660,1,MATCH(Parametres!$B$3,G$1:R$1,0)-1)*IF(OR(F660="L",F660="S",F660="I"),-1,1),"")</f>
        <v>0</v>
      </c>
      <c r="AM660" s="1030">
        <f t="shared" si="41"/>
        <v>0</v>
      </c>
      <c r="AN660" s="1030">
        <f>INDEX(G660:R660,1,MATCH(Parametres!$B$3,G$1:R$1,0))*IF(OR(F660="L",F660="S",F660="I"),-1,1)</f>
        <v>0</v>
      </c>
      <c r="AO660" s="598" t="e">
        <f>+VLOOKUP($AJ660,Data_Validation!$A:$D,1,0)</f>
        <v>#N/A</v>
      </c>
      <c r="AP660" s="598" t="e">
        <f>+VLOOKUP($AJ660,Data_Validation!$A:$D,3,0)</f>
        <v>#N/A</v>
      </c>
      <c r="AQ660" s="598" t="e">
        <f>+VLOOKUP($AJ660,Data_Validation!$A:$D,4,0)</f>
        <v>#N/A</v>
      </c>
      <c r="AR660" s="598" t="s">
        <v>299</v>
      </c>
      <c r="AS660" s="598" t="e">
        <f>+VLOOKUP($AJ660,Data_Validation!$A:$E,5,0)</f>
        <v>#N/A</v>
      </c>
      <c r="AT660" s="1036">
        <f t="shared" si="42"/>
        <v>0</v>
      </c>
      <c r="AU660" s="599">
        <f t="shared" si="42"/>
        <v>0</v>
      </c>
      <c r="AV660" s="1030">
        <f>IFERROR(INDEX(V660:AG660,1,MATCH(Parametres!$B$3,V$1:AG$1,0)-1)*IF(OR(C660="L",C660="S",C660="I"),-1,1),"")</f>
        <v>0</v>
      </c>
      <c r="AW660" s="1030">
        <f t="shared" si="43"/>
        <v>0</v>
      </c>
      <c r="AX660" s="1030">
        <f>INDEX(V660:AG660,1,MATCH(Parametres!$B$3,V$1:AG$1,0))*IF(OR(C660="L",C660="S",C660="I"),-1,1)</f>
        <v>0</v>
      </c>
      <c r="AY660" s="598" t="s">
        <v>337</v>
      </c>
      <c r="AZ660" s="598" t="e">
        <f>+VLOOKUP($AJ660,Data_Validation!$A:$E,5,0)</f>
        <v>#N/A</v>
      </c>
    </row>
    <row r="661" spans="36:52" ht="15" customHeight="1">
      <c r="AJ661" s="1030">
        <f t="shared" si="44"/>
        <v>0</v>
      </c>
      <c r="AK661" s="1030">
        <f t="shared" si="44"/>
        <v>0</v>
      </c>
      <c r="AL661" s="1030">
        <f>IFERROR(INDEX(G661:R661,1,MATCH(Parametres!$B$3,G$1:R$1,0)-1)*IF(OR(F661="L",F661="S",F661="I"),-1,1),"")</f>
        <v>0</v>
      </c>
      <c r="AM661" s="1030">
        <f t="shared" si="41"/>
        <v>0</v>
      </c>
      <c r="AN661" s="1030">
        <f>INDEX(G661:R661,1,MATCH(Parametres!$B$3,G$1:R$1,0))*IF(OR(F661="L",F661="S",F661="I"),-1,1)</f>
        <v>0</v>
      </c>
      <c r="AO661" s="598" t="e">
        <f>+VLOOKUP($AJ661,Data_Validation!$A:$D,1,0)</f>
        <v>#N/A</v>
      </c>
      <c r="AP661" s="598" t="e">
        <f>+VLOOKUP($AJ661,Data_Validation!$A:$D,3,0)</f>
        <v>#N/A</v>
      </c>
      <c r="AQ661" s="598" t="e">
        <f>+VLOOKUP($AJ661,Data_Validation!$A:$D,4,0)</f>
        <v>#N/A</v>
      </c>
      <c r="AR661" s="598" t="s">
        <v>299</v>
      </c>
      <c r="AS661" s="598" t="e">
        <f>+VLOOKUP($AJ661,Data_Validation!$A:$E,5,0)</f>
        <v>#N/A</v>
      </c>
      <c r="AT661" s="1036">
        <f t="shared" si="42"/>
        <v>0</v>
      </c>
      <c r="AU661" s="599">
        <f t="shared" si="42"/>
        <v>0</v>
      </c>
      <c r="AV661" s="1030">
        <f>IFERROR(INDEX(V661:AG661,1,MATCH(Parametres!$B$3,V$1:AG$1,0)-1)*IF(OR(C661="L",C661="S",C661="I"),-1,1),"")</f>
        <v>0</v>
      </c>
      <c r="AW661" s="1030">
        <f t="shared" si="43"/>
        <v>0</v>
      </c>
      <c r="AX661" s="1030">
        <f>INDEX(V661:AG661,1,MATCH(Parametres!$B$3,V$1:AG$1,0))*IF(OR(C661="L",C661="S",C661="I"),-1,1)</f>
        <v>0</v>
      </c>
      <c r="AY661" s="598" t="s">
        <v>337</v>
      </c>
      <c r="AZ661" s="598" t="e">
        <f>+VLOOKUP($AJ661,Data_Validation!$A:$E,5,0)</f>
        <v>#N/A</v>
      </c>
    </row>
    <row r="662" spans="36:52" ht="15" customHeight="1">
      <c r="AJ662" s="1030">
        <f t="shared" si="44"/>
        <v>0</v>
      </c>
      <c r="AK662" s="1030">
        <f t="shared" si="44"/>
        <v>0</v>
      </c>
      <c r="AL662" s="1030">
        <f>IFERROR(INDEX(G662:R662,1,MATCH(Parametres!$B$3,G$1:R$1,0)-1)*IF(OR(F662="L",F662="S",F662="I"),-1,1),"")</f>
        <v>0</v>
      </c>
      <c r="AM662" s="1030">
        <f t="shared" si="41"/>
        <v>0</v>
      </c>
      <c r="AN662" s="1030">
        <f>INDEX(G662:R662,1,MATCH(Parametres!$B$3,G$1:R$1,0))*IF(OR(F662="L",F662="S",F662="I"),-1,1)</f>
        <v>0</v>
      </c>
      <c r="AO662" s="598" t="e">
        <f>+VLOOKUP($AJ662,Data_Validation!$A:$D,1,0)</f>
        <v>#N/A</v>
      </c>
      <c r="AP662" s="598" t="e">
        <f>+VLOOKUP($AJ662,Data_Validation!$A:$D,3,0)</f>
        <v>#N/A</v>
      </c>
      <c r="AQ662" s="598" t="e">
        <f>+VLOOKUP($AJ662,Data_Validation!$A:$D,4,0)</f>
        <v>#N/A</v>
      </c>
      <c r="AR662" s="598" t="s">
        <v>299</v>
      </c>
      <c r="AS662" s="598" t="e">
        <f>+VLOOKUP($AJ662,Data_Validation!$A:$E,5,0)</f>
        <v>#N/A</v>
      </c>
      <c r="AT662" s="1036">
        <f t="shared" si="42"/>
        <v>0</v>
      </c>
      <c r="AU662" s="599">
        <f t="shared" si="42"/>
        <v>0</v>
      </c>
      <c r="AV662" s="1030">
        <f>IFERROR(INDEX(V662:AG662,1,MATCH(Parametres!$B$3,V$1:AG$1,0)-1)*IF(OR(C662="L",C662="S",C662="I"),-1,1),"")</f>
        <v>0</v>
      </c>
      <c r="AW662" s="1030">
        <f t="shared" si="43"/>
        <v>0</v>
      </c>
      <c r="AX662" s="1030">
        <f>INDEX(V662:AG662,1,MATCH(Parametres!$B$3,V$1:AG$1,0))*IF(OR(C662="L",C662="S",C662="I"),-1,1)</f>
        <v>0</v>
      </c>
      <c r="AY662" s="598" t="s">
        <v>337</v>
      </c>
      <c r="AZ662" s="598" t="e">
        <f>+VLOOKUP($AJ662,Data_Validation!$A:$E,5,0)</f>
        <v>#N/A</v>
      </c>
    </row>
    <row r="663" spans="36:52" ht="15" customHeight="1">
      <c r="AJ663" s="1030">
        <f t="shared" si="44"/>
        <v>0</v>
      </c>
      <c r="AK663" s="1030">
        <f t="shared" si="44"/>
        <v>0</v>
      </c>
      <c r="AL663" s="1030">
        <f>IFERROR(INDEX(G663:R663,1,MATCH(Parametres!$B$3,G$1:R$1,0)-1)*IF(OR(F663="L",F663="S",F663="I"),-1,1),"")</f>
        <v>0</v>
      </c>
      <c r="AM663" s="1030">
        <f t="shared" si="41"/>
        <v>0</v>
      </c>
      <c r="AN663" s="1030">
        <f>INDEX(G663:R663,1,MATCH(Parametres!$B$3,G$1:R$1,0))*IF(OR(F663="L",F663="S",F663="I"),-1,1)</f>
        <v>0</v>
      </c>
      <c r="AO663" s="598" t="e">
        <f>+VLOOKUP($AJ663,Data_Validation!$A:$D,1,0)</f>
        <v>#N/A</v>
      </c>
      <c r="AP663" s="598" t="e">
        <f>+VLOOKUP($AJ663,Data_Validation!$A:$D,3,0)</f>
        <v>#N/A</v>
      </c>
      <c r="AQ663" s="598" t="e">
        <f>+VLOOKUP($AJ663,Data_Validation!$A:$D,4,0)</f>
        <v>#N/A</v>
      </c>
      <c r="AR663" s="598" t="s">
        <v>299</v>
      </c>
      <c r="AS663" s="598" t="e">
        <f>+VLOOKUP($AJ663,Data_Validation!$A:$E,5,0)</f>
        <v>#N/A</v>
      </c>
      <c r="AT663" s="1036">
        <f t="shared" si="42"/>
        <v>0</v>
      </c>
      <c r="AU663" s="599">
        <f t="shared" si="42"/>
        <v>0</v>
      </c>
      <c r="AV663" s="1030">
        <f>IFERROR(INDEX(V663:AG663,1,MATCH(Parametres!$B$3,V$1:AG$1,0)-1)*IF(OR(C663="L",C663="S",C663="I"),-1,1),"")</f>
        <v>0</v>
      </c>
      <c r="AW663" s="1030">
        <f t="shared" si="43"/>
        <v>0</v>
      </c>
      <c r="AX663" s="1030">
        <f>INDEX(V663:AG663,1,MATCH(Parametres!$B$3,V$1:AG$1,0))*IF(OR(C663="L",C663="S",C663="I"),-1,1)</f>
        <v>0</v>
      </c>
      <c r="AY663" s="598" t="s">
        <v>337</v>
      </c>
      <c r="AZ663" s="598" t="e">
        <f>+VLOOKUP($AJ663,Data_Validation!$A:$E,5,0)</f>
        <v>#N/A</v>
      </c>
    </row>
    <row r="664" spans="36:52" ht="15" customHeight="1">
      <c r="AJ664" s="1030">
        <f t="shared" si="44"/>
        <v>0</v>
      </c>
      <c r="AK664" s="1030">
        <f t="shared" si="44"/>
        <v>0</v>
      </c>
      <c r="AL664" s="1030">
        <f>IFERROR(INDEX(G664:R664,1,MATCH(Parametres!$B$3,G$1:R$1,0)-1)*IF(OR(F664="L",F664="S",F664="I"),-1,1),"")</f>
        <v>0</v>
      </c>
      <c r="AM664" s="1030">
        <f t="shared" si="41"/>
        <v>0</v>
      </c>
      <c r="AN664" s="1030">
        <f>INDEX(G664:R664,1,MATCH(Parametres!$B$3,G$1:R$1,0))*IF(OR(F664="L",F664="S",F664="I"),-1,1)</f>
        <v>0</v>
      </c>
      <c r="AO664" s="598" t="e">
        <f>+VLOOKUP($AJ664,Data_Validation!$A:$D,1,0)</f>
        <v>#N/A</v>
      </c>
      <c r="AP664" s="598" t="e">
        <f>+VLOOKUP($AJ664,Data_Validation!$A:$D,3,0)</f>
        <v>#N/A</v>
      </c>
      <c r="AQ664" s="598" t="e">
        <f>+VLOOKUP($AJ664,Data_Validation!$A:$D,4,0)</f>
        <v>#N/A</v>
      </c>
      <c r="AR664" s="598" t="s">
        <v>299</v>
      </c>
      <c r="AS664" s="598" t="e">
        <f>+VLOOKUP($AJ664,Data_Validation!$A:$E,5,0)</f>
        <v>#N/A</v>
      </c>
      <c r="AT664" s="1036">
        <f t="shared" si="42"/>
        <v>0</v>
      </c>
      <c r="AU664" s="599">
        <f t="shared" si="42"/>
        <v>0</v>
      </c>
      <c r="AV664" s="1030">
        <f>IFERROR(INDEX(V664:AG664,1,MATCH(Parametres!$B$3,V$1:AG$1,0)-1)*IF(OR(C664="L",C664="S",C664="I"),-1,1),"")</f>
        <v>0</v>
      </c>
      <c r="AW664" s="1030">
        <f t="shared" si="43"/>
        <v>0</v>
      </c>
      <c r="AX664" s="1030">
        <f>INDEX(V664:AG664,1,MATCH(Parametres!$B$3,V$1:AG$1,0))*IF(OR(C664="L",C664="S",C664="I"),-1,1)</f>
        <v>0</v>
      </c>
      <c r="AY664" s="598" t="s">
        <v>337</v>
      </c>
      <c r="AZ664" s="598" t="e">
        <f>+VLOOKUP($AJ664,Data_Validation!$A:$E,5,0)</f>
        <v>#N/A</v>
      </c>
    </row>
    <row r="665" spans="36:52" ht="15" customHeight="1">
      <c r="AJ665" s="1030">
        <f t="shared" si="44"/>
        <v>0</v>
      </c>
      <c r="AK665" s="1030">
        <f t="shared" si="44"/>
        <v>0</v>
      </c>
      <c r="AL665" s="1030">
        <f>IFERROR(INDEX(G665:R665,1,MATCH(Parametres!$B$3,G$1:R$1,0)-1)*IF(OR(F665="L",F665="S",F665="I"),-1,1),"")</f>
        <v>0</v>
      </c>
      <c r="AM665" s="1030">
        <f t="shared" si="41"/>
        <v>0</v>
      </c>
      <c r="AN665" s="1030">
        <f>INDEX(G665:R665,1,MATCH(Parametres!$B$3,G$1:R$1,0))*IF(OR(F665="L",F665="S",F665="I"),-1,1)</f>
        <v>0</v>
      </c>
      <c r="AO665" s="598" t="e">
        <f>+VLOOKUP($AJ665,Data_Validation!$A:$D,1,0)</f>
        <v>#N/A</v>
      </c>
      <c r="AP665" s="598" t="e">
        <f>+VLOOKUP($AJ665,Data_Validation!$A:$D,3,0)</f>
        <v>#N/A</v>
      </c>
      <c r="AQ665" s="598" t="e">
        <f>+VLOOKUP($AJ665,Data_Validation!$A:$D,4,0)</f>
        <v>#N/A</v>
      </c>
      <c r="AR665" s="598" t="s">
        <v>299</v>
      </c>
      <c r="AS665" s="598" t="e">
        <f>+VLOOKUP($AJ665,Data_Validation!$A:$E,5,0)</f>
        <v>#N/A</v>
      </c>
      <c r="AT665" s="1036">
        <f t="shared" si="42"/>
        <v>0</v>
      </c>
      <c r="AU665" s="599">
        <f t="shared" si="42"/>
        <v>0</v>
      </c>
      <c r="AV665" s="1030">
        <f>IFERROR(INDEX(V665:AG665,1,MATCH(Parametres!$B$3,V$1:AG$1,0)-1)*IF(OR(C665="L",C665="S",C665="I"),-1,1),"")</f>
        <v>0</v>
      </c>
      <c r="AW665" s="1030">
        <f t="shared" si="43"/>
        <v>0</v>
      </c>
      <c r="AX665" s="1030">
        <f>INDEX(V665:AG665,1,MATCH(Parametres!$B$3,V$1:AG$1,0))*IF(OR(C665="L",C665="S",C665="I"),-1,1)</f>
        <v>0</v>
      </c>
      <c r="AY665" s="598" t="s">
        <v>337</v>
      </c>
      <c r="AZ665" s="598" t="e">
        <f>+VLOOKUP($AJ665,Data_Validation!$A:$E,5,0)</f>
        <v>#N/A</v>
      </c>
    </row>
    <row r="666" spans="36:52" ht="15" customHeight="1">
      <c r="AJ666" s="1030">
        <f t="shared" si="44"/>
        <v>0</v>
      </c>
      <c r="AK666" s="1030">
        <f t="shared" si="44"/>
        <v>0</v>
      </c>
      <c r="AL666" s="1030">
        <f>IFERROR(INDEX(G666:R666,1,MATCH(Parametres!$B$3,G$1:R$1,0)-1)*IF(OR(F666="L",F666="S",F666="I"),-1,1),"")</f>
        <v>0</v>
      </c>
      <c r="AM666" s="1030">
        <f t="shared" si="41"/>
        <v>0</v>
      </c>
      <c r="AN666" s="1030">
        <f>INDEX(G666:R666,1,MATCH(Parametres!$B$3,G$1:R$1,0))*IF(OR(F666="L",F666="S",F666="I"),-1,1)</f>
        <v>0</v>
      </c>
      <c r="AO666" s="598" t="e">
        <f>+VLOOKUP($AJ666,Data_Validation!$A:$D,1,0)</f>
        <v>#N/A</v>
      </c>
      <c r="AP666" s="598" t="e">
        <f>+VLOOKUP($AJ666,Data_Validation!$A:$D,3,0)</f>
        <v>#N/A</v>
      </c>
      <c r="AQ666" s="598" t="e">
        <f>+VLOOKUP($AJ666,Data_Validation!$A:$D,4,0)</f>
        <v>#N/A</v>
      </c>
      <c r="AR666" s="598" t="s">
        <v>299</v>
      </c>
      <c r="AS666" s="598" t="e">
        <f>+VLOOKUP($AJ666,Data_Validation!$A:$E,5,0)</f>
        <v>#N/A</v>
      </c>
      <c r="AT666" s="1036">
        <f t="shared" si="42"/>
        <v>0</v>
      </c>
      <c r="AU666" s="599">
        <f t="shared" si="42"/>
        <v>0</v>
      </c>
      <c r="AV666" s="1030">
        <f>IFERROR(INDEX(V666:AG666,1,MATCH(Parametres!$B$3,V$1:AG$1,0)-1)*IF(OR(C666="L",C666="S",C666="I"),-1,1),"")</f>
        <v>0</v>
      </c>
      <c r="AW666" s="1030">
        <f t="shared" si="43"/>
        <v>0</v>
      </c>
      <c r="AX666" s="1030">
        <f>INDEX(V666:AG666,1,MATCH(Parametres!$B$3,V$1:AG$1,0))*IF(OR(C666="L",C666="S",C666="I"),-1,1)</f>
        <v>0</v>
      </c>
      <c r="AY666" s="598" t="s">
        <v>337</v>
      </c>
      <c r="AZ666" s="598" t="e">
        <f>+VLOOKUP($AJ666,Data_Validation!$A:$E,5,0)</f>
        <v>#N/A</v>
      </c>
    </row>
    <row r="667" spans="36:52" ht="15" customHeight="1">
      <c r="AJ667" s="1030">
        <f t="shared" si="44"/>
        <v>0</v>
      </c>
      <c r="AK667" s="1030">
        <f t="shared" si="44"/>
        <v>0</v>
      </c>
      <c r="AL667" s="1030">
        <f>IFERROR(INDEX(G667:R667,1,MATCH(Parametres!$B$3,G$1:R$1,0)-1)*IF(OR(F667="L",F667="S",F667="I"),-1,1),"")</f>
        <v>0</v>
      </c>
      <c r="AM667" s="1030">
        <f t="shared" si="41"/>
        <v>0</v>
      </c>
      <c r="AN667" s="1030">
        <f>INDEX(G667:R667,1,MATCH(Parametres!$B$3,G$1:R$1,0))*IF(OR(F667="L",F667="S",F667="I"),-1,1)</f>
        <v>0</v>
      </c>
      <c r="AO667" s="598" t="e">
        <f>+VLOOKUP($AJ667,Data_Validation!$A:$D,1,0)</f>
        <v>#N/A</v>
      </c>
      <c r="AP667" s="598" t="e">
        <f>+VLOOKUP($AJ667,Data_Validation!$A:$D,3,0)</f>
        <v>#N/A</v>
      </c>
      <c r="AQ667" s="598" t="e">
        <f>+VLOOKUP($AJ667,Data_Validation!$A:$D,4,0)</f>
        <v>#N/A</v>
      </c>
      <c r="AR667" s="598" t="s">
        <v>299</v>
      </c>
      <c r="AS667" s="598" t="e">
        <f>+VLOOKUP($AJ667,Data_Validation!$A:$E,5,0)</f>
        <v>#N/A</v>
      </c>
      <c r="AT667" s="1036">
        <f t="shared" si="42"/>
        <v>0</v>
      </c>
      <c r="AU667" s="599">
        <f t="shared" si="42"/>
        <v>0</v>
      </c>
      <c r="AV667" s="1030">
        <f>IFERROR(INDEX(V667:AG667,1,MATCH(Parametres!$B$3,V$1:AG$1,0)-1)*IF(OR(C667="L",C667="S",C667="I"),-1,1),"")</f>
        <v>0</v>
      </c>
      <c r="AW667" s="1030">
        <f t="shared" si="43"/>
        <v>0</v>
      </c>
      <c r="AX667" s="1030">
        <f>INDEX(V667:AG667,1,MATCH(Parametres!$B$3,V$1:AG$1,0))*IF(OR(C667="L",C667="S",C667="I"),-1,1)</f>
        <v>0</v>
      </c>
      <c r="AY667" s="598" t="s">
        <v>337</v>
      </c>
      <c r="AZ667" s="598" t="e">
        <f>+VLOOKUP($AJ667,Data_Validation!$A:$E,5,0)</f>
        <v>#N/A</v>
      </c>
    </row>
    <row r="668" spans="36:52" ht="15" customHeight="1">
      <c r="AJ668" s="1030">
        <f t="shared" si="44"/>
        <v>0</v>
      </c>
      <c r="AK668" s="1030">
        <f t="shared" si="44"/>
        <v>0</v>
      </c>
      <c r="AL668" s="1030">
        <f>IFERROR(INDEX(G668:R668,1,MATCH(Parametres!$B$3,G$1:R$1,0)-1)*IF(OR(F668="L",F668="S",F668="I"),-1,1),"")</f>
        <v>0</v>
      </c>
      <c r="AM668" s="1030">
        <f t="shared" si="41"/>
        <v>0</v>
      </c>
      <c r="AN668" s="1030">
        <f>INDEX(G668:R668,1,MATCH(Parametres!$B$3,G$1:R$1,0))*IF(OR(F668="L",F668="S",F668="I"),-1,1)</f>
        <v>0</v>
      </c>
      <c r="AO668" s="598" t="e">
        <f>+VLOOKUP($AJ668,Data_Validation!$A:$D,1,0)</f>
        <v>#N/A</v>
      </c>
      <c r="AP668" s="598" t="e">
        <f>+VLOOKUP($AJ668,Data_Validation!$A:$D,3,0)</f>
        <v>#N/A</v>
      </c>
      <c r="AQ668" s="598" t="e">
        <f>+VLOOKUP($AJ668,Data_Validation!$A:$D,4,0)</f>
        <v>#N/A</v>
      </c>
      <c r="AR668" s="598" t="s">
        <v>299</v>
      </c>
      <c r="AS668" s="598" t="e">
        <f>+VLOOKUP($AJ668,Data_Validation!$A:$E,5,0)</f>
        <v>#N/A</v>
      </c>
      <c r="AT668" s="1036">
        <f t="shared" si="42"/>
        <v>0</v>
      </c>
      <c r="AU668" s="599">
        <f t="shared" si="42"/>
        <v>0</v>
      </c>
      <c r="AV668" s="1030">
        <f>IFERROR(INDEX(V668:AG668,1,MATCH(Parametres!$B$3,V$1:AG$1,0)-1)*IF(OR(C668="L",C668="S",C668="I"),-1,1),"")</f>
        <v>0</v>
      </c>
      <c r="AW668" s="1030">
        <f t="shared" si="43"/>
        <v>0</v>
      </c>
      <c r="AX668" s="1030">
        <f>INDEX(V668:AG668,1,MATCH(Parametres!$B$3,V$1:AG$1,0))*IF(OR(C668="L",C668="S",C668="I"),-1,1)</f>
        <v>0</v>
      </c>
      <c r="AY668" s="598" t="s">
        <v>337</v>
      </c>
      <c r="AZ668" s="598" t="e">
        <f>+VLOOKUP($AJ668,Data_Validation!$A:$E,5,0)</f>
        <v>#N/A</v>
      </c>
    </row>
    <row r="669" spans="36:52" ht="15" customHeight="1">
      <c r="AJ669" s="1030">
        <f t="shared" si="44"/>
        <v>0</v>
      </c>
      <c r="AK669" s="1030">
        <f t="shared" si="44"/>
        <v>0</v>
      </c>
      <c r="AL669" s="1030">
        <f>IFERROR(INDEX(G669:R669,1,MATCH(Parametres!$B$3,G$1:R$1,0)-1)*IF(OR(F669="L",F669="S",F669="I"),-1,1),"")</f>
        <v>0</v>
      </c>
      <c r="AM669" s="1030">
        <f t="shared" si="41"/>
        <v>0</v>
      </c>
      <c r="AN669" s="1030">
        <f>INDEX(G669:R669,1,MATCH(Parametres!$B$3,G$1:R$1,0))*IF(OR(F669="L",F669="S",F669="I"),-1,1)</f>
        <v>0</v>
      </c>
      <c r="AO669" s="598" t="e">
        <f>+VLOOKUP($AJ669,Data_Validation!$A:$D,1,0)</f>
        <v>#N/A</v>
      </c>
      <c r="AP669" s="598" t="e">
        <f>+VLOOKUP($AJ669,Data_Validation!$A:$D,3,0)</f>
        <v>#N/A</v>
      </c>
      <c r="AQ669" s="598" t="e">
        <f>+VLOOKUP($AJ669,Data_Validation!$A:$D,4,0)</f>
        <v>#N/A</v>
      </c>
      <c r="AR669" s="598" t="s">
        <v>299</v>
      </c>
      <c r="AS669" s="598" t="e">
        <f>+VLOOKUP($AJ669,Data_Validation!$A:$E,5,0)</f>
        <v>#N/A</v>
      </c>
      <c r="AT669" s="1036">
        <f t="shared" si="42"/>
        <v>0</v>
      </c>
      <c r="AU669" s="599">
        <f t="shared" si="42"/>
        <v>0</v>
      </c>
      <c r="AV669" s="1030">
        <f>IFERROR(INDEX(V669:AG669,1,MATCH(Parametres!$B$3,V$1:AG$1,0)-1)*IF(OR(C669="L",C669="S",C669="I"),-1,1),"")</f>
        <v>0</v>
      </c>
      <c r="AW669" s="1030">
        <f t="shared" si="43"/>
        <v>0</v>
      </c>
      <c r="AX669" s="1030">
        <f>INDEX(V669:AG669,1,MATCH(Parametres!$B$3,V$1:AG$1,0))*IF(OR(C669="L",C669="S",C669="I"),-1,1)</f>
        <v>0</v>
      </c>
      <c r="AY669" s="598" t="s">
        <v>337</v>
      </c>
      <c r="AZ669" s="598" t="e">
        <f>+VLOOKUP($AJ669,Data_Validation!$A:$E,5,0)</f>
        <v>#N/A</v>
      </c>
    </row>
    <row r="670" spans="36:52" ht="15" customHeight="1">
      <c r="AJ670" s="1030">
        <f t="shared" si="44"/>
        <v>0</v>
      </c>
      <c r="AK670" s="1030">
        <f t="shared" si="44"/>
        <v>0</v>
      </c>
      <c r="AL670" s="1030">
        <f>IFERROR(INDEX(G670:R670,1,MATCH(Parametres!$B$3,G$1:R$1,0)-1)*IF(OR(F670="L",F670="S",F670="I"),-1,1),"")</f>
        <v>0</v>
      </c>
      <c r="AM670" s="1030">
        <f t="shared" si="41"/>
        <v>0</v>
      </c>
      <c r="AN670" s="1030">
        <f>INDEX(G670:R670,1,MATCH(Parametres!$B$3,G$1:R$1,0))*IF(OR(F670="L",F670="S",F670="I"),-1,1)</f>
        <v>0</v>
      </c>
      <c r="AO670" s="598" t="e">
        <f>+VLOOKUP($AJ670,Data_Validation!$A:$D,1,0)</f>
        <v>#N/A</v>
      </c>
      <c r="AP670" s="598" t="e">
        <f>+VLOOKUP($AJ670,Data_Validation!$A:$D,3,0)</f>
        <v>#N/A</v>
      </c>
      <c r="AQ670" s="598" t="e">
        <f>+VLOOKUP($AJ670,Data_Validation!$A:$D,4,0)</f>
        <v>#N/A</v>
      </c>
      <c r="AR670" s="598" t="s">
        <v>299</v>
      </c>
      <c r="AS670" s="598" t="e">
        <f>+VLOOKUP($AJ670,Data_Validation!$A:$E,5,0)</f>
        <v>#N/A</v>
      </c>
      <c r="AT670" s="1036">
        <f t="shared" si="42"/>
        <v>0</v>
      </c>
      <c r="AU670" s="599">
        <f t="shared" si="42"/>
        <v>0</v>
      </c>
      <c r="AV670" s="1030">
        <f>IFERROR(INDEX(V670:AG670,1,MATCH(Parametres!$B$3,V$1:AG$1,0)-1)*IF(OR(C670="L",C670="S",C670="I"),-1,1),"")</f>
        <v>0</v>
      </c>
      <c r="AW670" s="1030">
        <f t="shared" si="43"/>
        <v>0</v>
      </c>
      <c r="AX670" s="1030">
        <f>INDEX(V670:AG670,1,MATCH(Parametres!$B$3,V$1:AG$1,0))*IF(OR(C670="L",C670="S",C670="I"),-1,1)</f>
        <v>0</v>
      </c>
      <c r="AY670" s="598" t="s">
        <v>337</v>
      </c>
      <c r="AZ670" s="598" t="e">
        <f>+VLOOKUP($AJ670,Data_Validation!$A:$E,5,0)</f>
        <v>#N/A</v>
      </c>
    </row>
    <row r="671" spans="36:52" ht="15" customHeight="1">
      <c r="AJ671" s="1030">
        <f t="shared" si="44"/>
        <v>0</v>
      </c>
      <c r="AK671" s="1030">
        <f t="shared" si="44"/>
        <v>0</v>
      </c>
      <c r="AL671" s="1030">
        <f>IFERROR(INDEX(G671:R671,1,MATCH(Parametres!$B$3,G$1:R$1,0)-1)*IF(OR(F671="L",F671="S",F671="I"),-1,1),"")</f>
        <v>0</v>
      </c>
      <c r="AM671" s="1030">
        <f t="shared" si="41"/>
        <v>0</v>
      </c>
      <c r="AN671" s="1030">
        <f>INDEX(G671:R671,1,MATCH(Parametres!$B$3,G$1:R$1,0))*IF(OR(F671="L",F671="S",F671="I"),-1,1)</f>
        <v>0</v>
      </c>
      <c r="AO671" s="598" t="e">
        <f>+VLOOKUP($AJ671,Data_Validation!$A:$D,1,0)</f>
        <v>#N/A</v>
      </c>
      <c r="AP671" s="598" t="e">
        <f>+VLOOKUP($AJ671,Data_Validation!$A:$D,3,0)</f>
        <v>#N/A</v>
      </c>
      <c r="AQ671" s="598" t="e">
        <f>+VLOOKUP($AJ671,Data_Validation!$A:$D,4,0)</f>
        <v>#N/A</v>
      </c>
      <c r="AR671" s="598" t="s">
        <v>299</v>
      </c>
      <c r="AS671" s="598" t="e">
        <f>+VLOOKUP($AJ671,Data_Validation!$A:$E,5,0)</f>
        <v>#N/A</v>
      </c>
      <c r="AT671" s="1036">
        <f t="shared" si="42"/>
        <v>0</v>
      </c>
      <c r="AU671" s="599">
        <f t="shared" si="42"/>
        <v>0</v>
      </c>
      <c r="AV671" s="1030">
        <f>IFERROR(INDEX(V671:AG671,1,MATCH(Parametres!$B$3,V$1:AG$1,0)-1)*IF(OR(C671="L",C671="S",C671="I"),-1,1),"")</f>
        <v>0</v>
      </c>
      <c r="AW671" s="1030">
        <f t="shared" si="43"/>
        <v>0</v>
      </c>
      <c r="AX671" s="1030">
        <f>INDEX(V671:AG671,1,MATCH(Parametres!$B$3,V$1:AG$1,0))*IF(OR(C671="L",C671="S",C671="I"),-1,1)</f>
        <v>0</v>
      </c>
      <c r="AY671" s="598" t="s">
        <v>337</v>
      </c>
      <c r="AZ671" s="598" t="e">
        <f>+VLOOKUP($AJ671,Data_Validation!$A:$E,5,0)</f>
        <v>#N/A</v>
      </c>
    </row>
    <row r="672" spans="36:52" ht="15" customHeight="1">
      <c r="AJ672" s="1030">
        <f t="shared" si="44"/>
        <v>0</v>
      </c>
      <c r="AK672" s="1030">
        <f t="shared" si="44"/>
        <v>0</v>
      </c>
      <c r="AL672" s="1030">
        <f>IFERROR(INDEX(G672:R672,1,MATCH(Parametres!$B$3,G$1:R$1,0)-1)*IF(OR(F672="L",F672="S",F672="I"),-1,1),"")</f>
        <v>0</v>
      </c>
      <c r="AM672" s="1030">
        <f t="shared" si="41"/>
        <v>0</v>
      </c>
      <c r="AN672" s="1030">
        <f>INDEX(G672:R672,1,MATCH(Parametres!$B$3,G$1:R$1,0))*IF(OR(F672="L",F672="S",F672="I"),-1,1)</f>
        <v>0</v>
      </c>
      <c r="AO672" s="598" t="e">
        <f>+VLOOKUP($AJ672,Data_Validation!$A:$D,1,0)</f>
        <v>#N/A</v>
      </c>
      <c r="AP672" s="598" t="e">
        <f>+VLOOKUP($AJ672,Data_Validation!$A:$D,3,0)</f>
        <v>#N/A</v>
      </c>
      <c r="AQ672" s="598" t="e">
        <f>+VLOOKUP($AJ672,Data_Validation!$A:$D,4,0)</f>
        <v>#N/A</v>
      </c>
      <c r="AR672" s="598" t="s">
        <v>299</v>
      </c>
      <c r="AS672" s="598" t="e">
        <f>+VLOOKUP($AJ672,Data_Validation!$A:$E,5,0)</f>
        <v>#N/A</v>
      </c>
      <c r="AT672" s="1036">
        <f t="shared" si="42"/>
        <v>0</v>
      </c>
      <c r="AU672" s="599">
        <f t="shared" si="42"/>
        <v>0</v>
      </c>
      <c r="AV672" s="1030">
        <f>IFERROR(INDEX(V672:AG672,1,MATCH(Parametres!$B$3,V$1:AG$1,0)-1)*IF(OR(C672="L",C672="S",C672="I"),-1,1),"")</f>
        <v>0</v>
      </c>
      <c r="AW672" s="1030">
        <f t="shared" si="43"/>
        <v>0</v>
      </c>
      <c r="AX672" s="1030">
        <f>INDEX(V672:AG672,1,MATCH(Parametres!$B$3,V$1:AG$1,0))*IF(OR(C672="L",C672="S",C672="I"),-1,1)</f>
        <v>0</v>
      </c>
      <c r="AY672" s="598" t="s">
        <v>337</v>
      </c>
      <c r="AZ672" s="598" t="e">
        <f>+VLOOKUP($AJ672,Data_Validation!$A:$E,5,0)</f>
        <v>#N/A</v>
      </c>
    </row>
    <row r="673" spans="36:52" ht="15" customHeight="1">
      <c r="AJ673" s="1030">
        <f t="shared" si="44"/>
        <v>0</v>
      </c>
      <c r="AK673" s="1030">
        <f t="shared" si="44"/>
        <v>0</v>
      </c>
      <c r="AL673" s="1030">
        <f>IFERROR(INDEX(G673:R673,1,MATCH(Parametres!$B$3,G$1:R$1,0)-1)*IF(OR(F673="L",F673="S",F673="I"),-1,1),"")</f>
        <v>0</v>
      </c>
      <c r="AM673" s="1030">
        <f t="shared" si="41"/>
        <v>0</v>
      </c>
      <c r="AN673" s="1030">
        <f>INDEX(G673:R673,1,MATCH(Parametres!$B$3,G$1:R$1,0))*IF(OR(F673="L",F673="S",F673="I"),-1,1)</f>
        <v>0</v>
      </c>
      <c r="AO673" s="598" t="e">
        <f>+VLOOKUP($AJ673,Data_Validation!$A:$D,1,0)</f>
        <v>#N/A</v>
      </c>
      <c r="AP673" s="598" t="e">
        <f>+VLOOKUP($AJ673,Data_Validation!$A:$D,3,0)</f>
        <v>#N/A</v>
      </c>
      <c r="AQ673" s="598" t="e">
        <f>+VLOOKUP($AJ673,Data_Validation!$A:$D,4,0)</f>
        <v>#N/A</v>
      </c>
      <c r="AR673" s="598" t="s">
        <v>299</v>
      </c>
      <c r="AS673" s="598" t="e">
        <f>+VLOOKUP($AJ673,Data_Validation!$A:$E,5,0)</f>
        <v>#N/A</v>
      </c>
      <c r="AT673" s="1036">
        <f t="shared" si="42"/>
        <v>0</v>
      </c>
      <c r="AU673" s="599">
        <f t="shared" si="42"/>
        <v>0</v>
      </c>
      <c r="AV673" s="1030">
        <f>IFERROR(INDEX(V673:AG673,1,MATCH(Parametres!$B$3,V$1:AG$1,0)-1)*IF(OR(C673="L",C673="S",C673="I"),-1,1),"")</f>
        <v>0</v>
      </c>
      <c r="AW673" s="1030">
        <f t="shared" si="43"/>
        <v>0</v>
      </c>
      <c r="AX673" s="1030">
        <f>INDEX(V673:AG673,1,MATCH(Parametres!$B$3,V$1:AG$1,0))*IF(OR(C673="L",C673="S",C673="I"),-1,1)</f>
        <v>0</v>
      </c>
      <c r="AY673" s="598" t="s">
        <v>337</v>
      </c>
      <c r="AZ673" s="598" t="e">
        <f>+VLOOKUP($AJ673,Data_Validation!$A:$E,5,0)</f>
        <v>#N/A</v>
      </c>
    </row>
    <row r="674" spans="36:52" ht="15" customHeight="1">
      <c r="AJ674" s="1030">
        <f t="shared" si="44"/>
        <v>0</v>
      </c>
      <c r="AK674" s="1030">
        <f t="shared" si="44"/>
        <v>0</v>
      </c>
      <c r="AL674" s="1030">
        <f>IFERROR(INDEX(G674:R674,1,MATCH(Parametres!$B$3,G$1:R$1,0)-1)*IF(OR(F674="L",F674="S",F674="I"),-1,1),"")</f>
        <v>0</v>
      </c>
      <c r="AM674" s="1030">
        <f t="shared" si="41"/>
        <v>0</v>
      </c>
      <c r="AN674" s="1030">
        <f>INDEX(G674:R674,1,MATCH(Parametres!$B$3,G$1:R$1,0))*IF(OR(F674="L",F674="S",F674="I"),-1,1)</f>
        <v>0</v>
      </c>
      <c r="AO674" s="598" t="e">
        <f>+VLOOKUP($AJ674,Data_Validation!$A:$D,1,0)</f>
        <v>#N/A</v>
      </c>
      <c r="AP674" s="598" t="e">
        <f>+VLOOKUP($AJ674,Data_Validation!$A:$D,3,0)</f>
        <v>#N/A</v>
      </c>
      <c r="AQ674" s="598" t="e">
        <f>+VLOOKUP($AJ674,Data_Validation!$A:$D,4,0)</f>
        <v>#N/A</v>
      </c>
      <c r="AR674" s="598" t="s">
        <v>299</v>
      </c>
      <c r="AS674" s="598" t="e">
        <f>+VLOOKUP($AJ674,Data_Validation!$A:$E,5,0)</f>
        <v>#N/A</v>
      </c>
      <c r="AT674" s="1036">
        <f t="shared" si="42"/>
        <v>0</v>
      </c>
      <c r="AU674" s="599">
        <f t="shared" si="42"/>
        <v>0</v>
      </c>
      <c r="AV674" s="1030">
        <f>IFERROR(INDEX(V674:AG674,1,MATCH(Parametres!$B$3,V$1:AG$1,0)-1)*IF(OR(C674="L",C674="S",C674="I"),-1,1),"")</f>
        <v>0</v>
      </c>
      <c r="AW674" s="1030">
        <f t="shared" si="43"/>
        <v>0</v>
      </c>
      <c r="AX674" s="1030">
        <f>INDEX(V674:AG674,1,MATCH(Parametres!$B$3,V$1:AG$1,0))*IF(OR(C674="L",C674="S",C674="I"),-1,1)</f>
        <v>0</v>
      </c>
      <c r="AY674" s="598" t="s">
        <v>337</v>
      </c>
      <c r="AZ674" s="598" t="e">
        <f>+VLOOKUP($AJ674,Data_Validation!$A:$E,5,0)</f>
        <v>#N/A</v>
      </c>
    </row>
    <row r="675" spans="36:52" ht="15" customHeight="1">
      <c r="AJ675" s="1030">
        <f t="shared" si="44"/>
        <v>0</v>
      </c>
      <c r="AK675" s="1030">
        <f t="shared" si="44"/>
        <v>0</v>
      </c>
      <c r="AL675" s="1030">
        <f>IFERROR(INDEX(G675:R675,1,MATCH(Parametres!$B$3,G$1:R$1,0)-1)*IF(OR(F675="L",F675="S",F675="I"),-1,1),"")</f>
        <v>0</v>
      </c>
      <c r="AM675" s="1030">
        <f t="shared" si="41"/>
        <v>0</v>
      </c>
      <c r="AN675" s="1030">
        <f>INDEX(G675:R675,1,MATCH(Parametres!$B$3,G$1:R$1,0))*IF(OR(F675="L",F675="S",F675="I"),-1,1)</f>
        <v>0</v>
      </c>
      <c r="AO675" s="598" t="e">
        <f>+VLOOKUP($AJ675,Data_Validation!$A:$D,1,0)</f>
        <v>#N/A</v>
      </c>
      <c r="AP675" s="598" t="e">
        <f>+VLOOKUP($AJ675,Data_Validation!$A:$D,3,0)</f>
        <v>#N/A</v>
      </c>
      <c r="AQ675" s="598" t="e">
        <f>+VLOOKUP($AJ675,Data_Validation!$A:$D,4,0)</f>
        <v>#N/A</v>
      </c>
      <c r="AR675" s="598" t="s">
        <v>299</v>
      </c>
      <c r="AS675" s="598" t="e">
        <f>+VLOOKUP($AJ675,Data_Validation!$A:$E,5,0)</f>
        <v>#N/A</v>
      </c>
      <c r="AT675" s="1036">
        <f t="shared" si="42"/>
        <v>0</v>
      </c>
      <c r="AU675" s="599">
        <f t="shared" si="42"/>
        <v>0</v>
      </c>
      <c r="AV675" s="1030">
        <f>IFERROR(INDEX(V675:AG675,1,MATCH(Parametres!$B$3,V$1:AG$1,0)-1)*IF(OR(C675="L",C675="S",C675="I"),-1,1),"")</f>
        <v>0</v>
      </c>
      <c r="AW675" s="1030">
        <f t="shared" si="43"/>
        <v>0</v>
      </c>
      <c r="AX675" s="1030">
        <f>INDEX(V675:AG675,1,MATCH(Parametres!$B$3,V$1:AG$1,0))*IF(OR(C675="L",C675="S",C675="I"),-1,1)</f>
        <v>0</v>
      </c>
      <c r="AY675" s="598" t="s">
        <v>337</v>
      </c>
      <c r="AZ675" s="598" t="e">
        <f>+VLOOKUP($AJ675,Data_Validation!$A:$E,5,0)</f>
        <v>#N/A</v>
      </c>
    </row>
    <row r="676" spans="36:52" ht="15" customHeight="1">
      <c r="AJ676" s="1030">
        <f t="shared" si="44"/>
        <v>0</v>
      </c>
      <c r="AK676" s="1030">
        <f t="shared" si="44"/>
        <v>0</v>
      </c>
      <c r="AL676" s="1030">
        <f>IFERROR(INDEX(G676:R676,1,MATCH(Parametres!$B$3,G$1:R$1,0)-1)*IF(OR(F676="L",F676="S",F676="I"),-1,1),"")</f>
        <v>0</v>
      </c>
      <c r="AM676" s="1030">
        <f t="shared" si="41"/>
        <v>0</v>
      </c>
      <c r="AN676" s="1030">
        <f>INDEX(G676:R676,1,MATCH(Parametres!$B$3,G$1:R$1,0))*IF(OR(F676="L",F676="S",F676="I"),-1,1)</f>
        <v>0</v>
      </c>
      <c r="AO676" s="598" t="e">
        <f>+VLOOKUP($AJ676,Data_Validation!$A:$D,1,0)</f>
        <v>#N/A</v>
      </c>
      <c r="AP676" s="598" t="e">
        <f>+VLOOKUP($AJ676,Data_Validation!$A:$D,3,0)</f>
        <v>#N/A</v>
      </c>
      <c r="AQ676" s="598" t="e">
        <f>+VLOOKUP($AJ676,Data_Validation!$A:$D,4,0)</f>
        <v>#N/A</v>
      </c>
      <c r="AR676" s="598" t="s">
        <v>299</v>
      </c>
      <c r="AS676" s="598" t="e">
        <f>+VLOOKUP($AJ676,Data_Validation!$A:$E,5,0)</f>
        <v>#N/A</v>
      </c>
      <c r="AT676" s="1036">
        <f t="shared" si="42"/>
        <v>0</v>
      </c>
      <c r="AU676" s="599">
        <f t="shared" si="42"/>
        <v>0</v>
      </c>
      <c r="AV676" s="1030">
        <f>IFERROR(INDEX(V676:AG676,1,MATCH(Parametres!$B$3,V$1:AG$1,0)-1)*IF(OR(C676="L",C676="S",C676="I"),-1,1),"")</f>
        <v>0</v>
      </c>
      <c r="AW676" s="1030">
        <f t="shared" si="43"/>
        <v>0</v>
      </c>
      <c r="AX676" s="1030">
        <f>INDEX(V676:AG676,1,MATCH(Parametres!$B$3,V$1:AG$1,0))*IF(OR(C676="L",C676="S",C676="I"),-1,1)</f>
        <v>0</v>
      </c>
      <c r="AY676" s="598" t="s">
        <v>337</v>
      </c>
      <c r="AZ676" s="598" t="e">
        <f>+VLOOKUP($AJ676,Data_Validation!$A:$E,5,0)</f>
        <v>#N/A</v>
      </c>
    </row>
    <row r="677" spans="36:52" ht="15" customHeight="1">
      <c r="AJ677" s="1030">
        <f t="shared" si="44"/>
        <v>0</v>
      </c>
      <c r="AK677" s="1030">
        <f t="shared" si="44"/>
        <v>0</v>
      </c>
      <c r="AL677" s="1030">
        <f>IFERROR(INDEX(G677:R677,1,MATCH(Parametres!$B$3,G$1:R$1,0)-1)*IF(OR(F677="L",F677="S",F677="I"),-1,1),"")</f>
        <v>0</v>
      </c>
      <c r="AM677" s="1030">
        <f t="shared" si="41"/>
        <v>0</v>
      </c>
      <c r="AN677" s="1030">
        <f>INDEX(G677:R677,1,MATCH(Parametres!$B$3,G$1:R$1,0))*IF(OR(F677="L",F677="S",F677="I"),-1,1)</f>
        <v>0</v>
      </c>
      <c r="AO677" s="598" t="e">
        <f>+VLOOKUP($AJ677,Data_Validation!$A:$D,1,0)</f>
        <v>#N/A</v>
      </c>
      <c r="AP677" s="598" t="e">
        <f>+VLOOKUP($AJ677,Data_Validation!$A:$D,3,0)</f>
        <v>#N/A</v>
      </c>
      <c r="AQ677" s="598" t="e">
        <f>+VLOOKUP($AJ677,Data_Validation!$A:$D,4,0)</f>
        <v>#N/A</v>
      </c>
      <c r="AR677" s="598" t="s">
        <v>299</v>
      </c>
      <c r="AS677" s="598" t="e">
        <f>+VLOOKUP($AJ677,Data_Validation!$A:$E,5,0)</f>
        <v>#N/A</v>
      </c>
      <c r="AT677" s="1036">
        <f t="shared" si="42"/>
        <v>0</v>
      </c>
      <c r="AU677" s="599">
        <f t="shared" si="42"/>
        <v>0</v>
      </c>
      <c r="AV677" s="1030">
        <f>IFERROR(INDEX(V677:AG677,1,MATCH(Parametres!$B$3,V$1:AG$1,0)-1)*IF(OR(C677="L",C677="S",C677="I"),-1,1),"")</f>
        <v>0</v>
      </c>
      <c r="AW677" s="1030">
        <f t="shared" si="43"/>
        <v>0</v>
      </c>
      <c r="AX677" s="1030">
        <f>INDEX(V677:AG677,1,MATCH(Parametres!$B$3,V$1:AG$1,0))*IF(OR(C677="L",C677="S",C677="I"),-1,1)</f>
        <v>0</v>
      </c>
      <c r="AY677" s="598" t="s">
        <v>337</v>
      </c>
      <c r="AZ677" s="598" t="e">
        <f>+VLOOKUP($AJ677,Data_Validation!$A:$E,5,0)</f>
        <v>#N/A</v>
      </c>
    </row>
    <row r="678" spans="36:52" ht="15" customHeight="1">
      <c r="AJ678" s="1030">
        <f t="shared" si="44"/>
        <v>0</v>
      </c>
      <c r="AK678" s="1030">
        <f t="shared" si="44"/>
        <v>0</v>
      </c>
      <c r="AL678" s="1030">
        <f>IFERROR(INDEX(G678:R678,1,MATCH(Parametres!$B$3,G$1:R$1,0)-1)*IF(OR(F678="L",F678="S",F678="I"),-1,1),"")</f>
        <v>0</v>
      </c>
      <c r="AM678" s="1030">
        <f t="shared" si="41"/>
        <v>0</v>
      </c>
      <c r="AN678" s="1030">
        <f>INDEX(G678:R678,1,MATCH(Parametres!$B$3,G$1:R$1,0))*IF(OR(F678="L",F678="S",F678="I"),-1,1)</f>
        <v>0</v>
      </c>
      <c r="AO678" s="598" t="e">
        <f>+VLOOKUP($AJ678,Data_Validation!$A:$D,1,0)</f>
        <v>#N/A</v>
      </c>
      <c r="AP678" s="598" t="e">
        <f>+VLOOKUP($AJ678,Data_Validation!$A:$D,3,0)</f>
        <v>#N/A</v>
      </c>
      <c r="AQ678" s="598" t="e">
        <f>+VLOOKUP($AJ678,Data_Validation!$A:$D,4,0)</f>
        <v>#N/A</v>
      </c>
      <c r="AR678" s="598" t="s">
        <v>299</v>
      </c>
      <c r="AS678" s="598" t="e">
        <f>+VLOOKUP($AJ678,Data_Validation!$A:$E,5,0)</f>
        <v>#N/A</v>
      </c>
      <c r="AT678" s="1036">
        <f t="shared" si="42"/>
        <v>0</v>
      </c>
      <c r="AU678" s="599">
        <f t="shared" si="42"/>
        <v>0</v>
      </c>
      <c r="AV678" s="1030">
        <f>IFERROR(INDEX(V678:AG678,1,MATCH(Parametres!$B$3,V$1:AG$1,0)-1)*IF(OR(C678="L",C678="S",C678="I"),-1,1),"")</f>
        <v>0</v>
      </c>
      <c r="AW678" s="1030">
        <f t="shared" si="43"/>
        <v>0</v>
      </c>
      <c r="AX678" s="1030">
        <f>INDEX(V678:AG678,1,MATCH(Parametres!$B$3,V$1:AG$1,0))*IF(OR(C678="L",C678="S",C678="I"),-1,1)</f>
        <v>0</v>
      </c>
      <c r="AY678" s="598" t="s">
        <v>337</v>
      </c>
      <c r="AZ678" s="598" t="e">
        <f>+VLOOKUP($AJ678,Data_Validation!$A:$E,5,0)</f>
        <v>#N/A</v>
      </c>
    </row>
    <row r="679" spans="36:52" ht="15" customHeight="1">
      <c r="AJ679" s="1030">
        <f t="shared" si="44"/>
        <v>0</v>
      </c>
      <c r="AK679" s="1030">
        <f t="shared" si="44"/>
        <v>0</v>
      </c>
      <c r="AL679" s="1030">
        <f>IFERROR(INDEX(G679:R679,1,MATCH(Parametres!$B$3,G$1:R$1,0)-1)*IF(OR(F679="L",F679="S",F679="I"),-1,1),"")</f>
        <v>0</v>
      </c>
      <c r="AM679" s="1030">
        <f t="shared" si="41"/>
        <v>0</v>
      </c>
      <c r="AN679" s="1030">
        <f>INDEX(G679:R679,1,MATCH(Parametres!$B$3,G$1:R$1,0))*IF(OR(F679="L",F679="S",F679="I"),-1,1)</f>
        <v>0</v>
      </c>
      <c r="AO679" s="598" t="e">
        <f>+VLOOKUP($AJ679,Data_Validation!$A:$D,1,0)</f>
        <v>#N/A</v>
      </c>
      <c r="AP679" s="598" t="e">
        <f>+VLOOKUP($AJ679,Data_Validation!$A:$D,3,0)</f>
        <v>#N/A</v>
      </c>
      <c r="AQ679" s="598" t="e">
        <f>+VLOOKUP($AJ679,Data_Validation!$A:$D,4,0)</f>
        <v>#N/A</v>
      </c>
      <c r="AR679" s="598" t="s">
        <v>299</v>
      </c>
      <c r="AS679" s="598" t="e">
        <f>+VLOOKUP($AJ679,Data_Validation!$A:$E,5,0)</f>
        <v>#N/A</v>
      </c>
      <c r="AT679" s="1036">
        <f t="shared" si="42"/>
        <v>0</v>
      </c>
      <c r="AU679" s="599">
        <f t="shared" si="42"/>
        <v>0</v>
      </c>
      <c r="AV679" s="1030">
        <f>IFERROR(INDEX(V679:AG679,1,MATCH(Parametres!$B$3,V$1:AG$1,0)-1)*IF(OR(C679="L",C679="S",C679="I"),-1,1),"")</f>
        <v>0</v>
      </c>
      <c r="AW679" s="1030">
        <f t="shared" si="43"/>
        <v>0</v>
      </c>
      <c r="AX679" s="1030">
        <f>INDEX(V679:AG679,1,MATCH(Parametres!$B$3,V$1:AG$1,0))*IF(OR(C679="L",C679="S",C679="I"),-1,1)</f>
        <v>0</v>
      </c>
      <c r="AY679" s="598" t="s">
        <v>337</v>
      </c>
      <c r="AZ679" s="598" t="e">
        <f>+VLOOKUP($AJ679,Data_Validation!$A:$E,5,0)</f>
        <v>#N/A</v>
      </c>
    </row>
    <row r="680" spans="36:52" ht="15" customHeight="1">
      <c r="AJ680" s="1030">
        <f t="shared" si="44"/>
        <v>0</v>
      </c>
      <c r="AK680" s="1030">
        <f t="shared" si="44"/>
        <v>0</v>
      </c>
      <c r="AL680" s="1030">
        <f>IFERROR(INDEX(G680:R680,1,MATCH(Parametres!$B$3,G$1:R$1,0)-1)*IF(OR(F680="L",F680="S",F680="I"),-1,1),"")</f>
        <v>0</v>
      </c>
      <c r="AM680" s="1030">
        <f t="shared" si="41"/>
        <v>0</v>
      </c>
      <c r="AN680" s="1030">
        <f>INDEX(G680:R680,1,MATCH(Parametres!$B$3,G$1:R$1,0))*IF(OR(F680="L",F680="S",F680="I"),-1,1)</f>
        <v>0</v>
      </c>
      <c r="AO680" s="598" t="e">
        <f>+VLOOKUP($AJ680,Data_Validation!$A:$D,1,0)</f>
        <v>#N/A</v>
      </c>
      <c r="AP680" s="598" t="e">
        <f>+VLOOKUP($AJ680,Data_Validation!$A:$D,3,0)</f>
        <v>#N/A</v>
      </c>
      <c r="AQ680" s="598" t="e">
        <f>+VLOOKUP($AJ680,Data_Validation!$A:$D,4,0)</f>
        <v>#N/A</v>
      </c>
      <c r="AR680" s="598" t="s">
        <v>299</v>
      </c>
      <c r="AS680" s="598" t="e">
        <f>+VLOOKUP($AJ680,Data_Validation!$A:$E,5,0)</f>
        <v>#N/A</v>
      </c>
      <c r="AT680" s="1036">
        <f t="shared" si="42"/>
        <v>0</v>
      </c>
      <c r="AU680" s="599">
        <f t="shared" si="42"/>
        <v>0</v>
      </c>
      <c r="AV680" s="1030">
        <f>IFERROR(INDEX(V680:AG680,1,MATCH(Parametres!$B$3,V$1:AG$1,0)-1)*IF(OR(C680="L",C680="S",C680="I"),-1,1),"")</f>
        <v>0</v>
      </c>
      <c r="AW680" s="1030">
        <f t="shared" si="43"/>
        <v>0</v>
      </c>
      <c r="AX680" s="1030">
        <f>INDEX(V680:AG680,1,MATCH(Parametres!$B$3,V$1:AG$1,0))*IF(OR(C680="L",C680="S",C680="I"),-1,1)</f>
        <v>0</v>
      </c>
      <c r="AY680" s="598" t="s">
        <v>337</v>
      </c>
      <c r="AZ680" s="598" t="e">
        <f>+VLOOKUP($AJ680,Data_Validation!$A:$E,5,0)</f>
        <v>#N/A</v>
      </c>
    </row>
    <row r="681" spans="36:52" ht="15" customHeight="1">
      <c r="AJ681" s="1030">
        <f t="shared" si="44"/>
        <v>0</v>
      </c>
      <c r="AK681" s="1030">
        <f t="shared" si="44"/>
        <v>0</v>
      </c>
      <c r="AL681" s="1030">
        <f>IFERROR(INDEX(G681:R681,1,MATCH(Parametres!$B$3,G$1:R$1,0)-1)*IF(OR(F681="L",F681="S",F681="I"),-1,1),"")</f>
        <v>0</v>
      </c>
      <c r="AM681" s="1030">
        <f t="shared" si="41"/>
        <v>0</v>
      </c>
      <c r="AN681" s="1030">
        <f>INDEX(G681:R681,1,MATCH(Parametres!$B$3,G$1:R$1,0))*IF(OR(F681="L",F681="S",F681="I"),-1,1)</f>
        <v>0</v>
      </c>
      <c r="AO681" s="598" t="e">
        <f>+VLOOKUP($AJ681,Data_Validation!$A:$D,1,0)</f>
        <v>#N/A</v>
      </c>
      <c r="AP681" s="598" t="e">
        <f>+VLOOKUP($AJ681,Data_Validation!$A:$D,3,0)</f>
        <v>#N/A</v>
      </c>
      <c r="AQ681" s="598" t="e">
        <f>+VLOOKUP($AJ681,Data_Validation!$A:$D,4,0)</f>
        <v>#N/A</v>
      </c>
      <c r="AR681" s="598" t="s">
        <v>299</v>
      </c>
      <c r="AS681" s="598" t="e">
        <f>+VLOOKUP($AJ681,Data_Validation!$A:$E,5,0)</f>
        <v>#N/A</v>
      </c>
      <c r="AT681" s="1036">
        <f t="shared" si="42"/>
        <v>0</v>
      </c>
      <c r="AU681" s="599">
        <f t="shared" si="42"/>
        <v>0</v>
      </c>
      <c r="AV681" s="1030">
        <f>IFERROR(INDEX(V681:AG681,1,MATCH(Parametres!$B$3,V$1:AG$1,0)-1)*IF(OR(C681="L",C681="S",C681="I"),-1,1),"")</f>
        <v>0</v>
      </c>
      <c r="AW681" s="1030">
        <f t="shared" si="43"/>
        <v>0</v>
      </c>
      <c r="AX681" s="1030">
        <f>INDEX(V681:AG681,1,MATCH(Parametres!$B$3,V$1:AG$1,0))*IF(OR(C681="L",C681="S",C681="I"),-1,1)</f>
        <v>0</v>
      </c>
      <c r="AY681" s="598" t="s">
        <v>337</v>
      </c>
      <c r="AZ681" s="598" t="e">
        <f>+VLOOKUP($AJ681,Data_Validation!$A:$E,5,0)</f>
        <v>#N/A</v>
      </c>
    </row>
    <row r="682" spans="36:52" ht="15" customHeight="1">
      <c r="AJ682" s="1030">
        <f t="shared" si="44"/>
        <v>0</v>
      </c>
      <c r="AK682" s="1030">
        <f t="shared" si="44"/>
        <v>0</v>
      </c>
      <c r="AL682" s="1030">
        <f>IFERROR(INDEX(G682:R682,1,MATCH(Parametres!$B$3,G$1:R$1,0)-1)*IF(OR(F682="L",F682="S",F682="I"),-1,1),"")</f>
        <v>0</v>
      </c>
      <c r="AM682" s="1030">
        <f t="shared" si="41"/>
        <v>0</v>
      </c>
      <c r="AN682" s="1030">
        <f>INDEX(G682:R682,1,MATCH(Parametres!$B$3,G$1:R$1,0))*IF(OR(F682="L",F682="S",F682="I"),-1,1)</f>
        <v>0</v>
      </c>
      <c r="AO682" s="598" t="e">
        <f>+VLOOKUP($AJ682,Data_Validation!$A:$D,1,0)</f>
        <v>#N/A</v>
      </c>
      <c r="AP682" s="598" t="e">
        <f>+VLOOKUP($AJ682,Data_Validation!$A:$D,3,0)</f>
        <v>#N/A</v>
      </c>
      <c r="AQ682" s="598" t="e">
        <f>+VLOOKUP($AJ682,Data_Validation!$A:$D,4,0)</f>
        <v>#N/A</v>
      </c>
      <c r="AR682" s="598" t="s">
        <v>299</v>
      </c>
      <c r="AS682" s="598" t="e">
        <f>+VLOOKUP($AJ682,Data_Validation!$A:$E,5,0)</f>
        <v>#N/A</v>
      </c>
      <c r="AT682" s="1036">
        <f t="shared" si="42"/>
        <v>0</v>
      </c>
      <c r="AU682" s="599">
        <f t="shared" si="42"/>
        <v>0</v>
      </c>
      <c r="AV682" s="1030">
        <f>IFERROR(INDEX(V682:AG682,1,MATCH(Parametres!$B$3,V$1:AG$1,0)-1)*IF(OR(C682="L",C682="S",C682="I"),-1,1),"")</f>
        <v>0</v>
      </c>
      <c r="AW682" s="1030">
        <f t="shared" si="43"/>
        <v>0</v>
      </c>
      <c r="AX682" s="1030">
        <f>INDEX(V682:AG682,1,MATCH(Parametres!$B$3,V$1:AG$1,0))*IF(OR(C682="L",C682="S",C682="I"),-1,1)</f>
        <v>0</v>
      </c>
      <c r="AY682" s="598" t="s">
        <v>337</v>
      </c>
      <c r="AZ682" s="598" t="e">
        <f>+VLOOKUP($AJ682,Data_Validation!$A:$E,5,0)</f>
        <v>#N/A</v>
      </c>
    </row>
    <row r="683" spans="36:52" ht="15" customHeight="1">
      <c r="AJ683" s="1030">
        <f t="shared" si="44"/>
        <v>0</v>
      </c>
      <c r="AK683" s="1030">
        <f t="shared" si="44"/>
        <v>0</v>
      </c>
      <c r="AL683" s="1030">
        <f>IFERROR(INDEX(G683:R683,1,MATCH(Parametres!$B$3,G$1:R$1,0)-1)*IF(OR(F683="L",F683="S",F683="I"),-1,1),"")</f>
        <v>0</v>
      </c>
      <c r="AM683" s="1030">
        <f t="shared" si="41"/>
        <v>0</v>
      </c>
      <c r="AN683" s="1030">
        <f>INDEX(G683:R683,1,MATCH(Parametres!$B$3,G$1:R$1,0))*IF(OR(F683="L",F683="S",F683="I"),-1,1)</f>
        <v>0</v>
      </c>
      <c r="AO683" s="598" t="e">
        <f>+VLOOKUP($AJ683,Data_Validation!$A:$D,1,0)</f>
        <v>#N/A</v>
      </c>
      <c r="AP683" s="598" t="e">
        <f>+VLOOKUP($AJ683,Data_Validation!$A:$D,3,0)</f>
        <v>#N/A</v>
      </c>
      <c r="AQ683" s="598" t="e">
        <f>+VLOOKUP($AJ683,Data_Validation!$A:$D,4,0)</f>
        <v>#N/A</v>
      </c>
      <c r="AR683" s="598" t="s">
        <v>299</v>
      </c>
      <c r="AS683" s="598" t="e">
        <f>+VLOOKUP($AJ683,Data_Validation!$A:$E,5,0)</f>
        <v>#N/A</v>
      </c>
      <c r="AT683" s="1036">
        <f t="shared" si="42"/>
        <v>0</v>
      </c>
      <c r="AU683" s="599">
        <f t="shared" si="42"/>
        <v>0</v>
      </c>
      <c r="AV683" s="1030">
        <f>IFERROR(INDEX(V683:AG683,1,MATCH(Parametres!$B$3,V$1:AG$1,0)-1)*IF(OR(C683="L",C683="S",C683="I"),-1,1),"")</f>
        <v>0</v>
      </c>
      <c r="AW683" s="1030">
        <f t="shared" si="43"/>
        <v>0</v>
      </c>
      <c r="AX683" s="1030">
        <f>INDEX(V683:AG683,1,MATCH(Parametres!$B$3,V$1:AG$1,0))*IF(OR(C683="L",C683="S",C683="I"),-1,1)</f>
        <v>0</v>
      </c>
      <c r="AY683" s="598" t="s">
        <v>337</v>
      </c>
      <c r="AZ683" s="598" t="e">
        <f>+VLOOKUP($AJ683,Data_Validation!$A:$E,5,0)</f>
        <v>#N/A</v>
      </c>
    </row>
    <row r="684" spans="36:52" ht="15" customHeight="1">
      <c r="AJ684" s="1030">
        <f t="shared" si="44"/>
        <v>0</v>
      </c>
      <c r="AK684" s="1030">
        <f t="shared" si="44"/>
        <v>0</v>
      </c>
      <c r="AL684" s="1030">
        <f>IFERROR(INDEX(G684:R684,1,MATCH(Parametres!$B$3,G$1:R$1,0)-1)*IF(OR(F684="L",F684="S",F684="I"),-1,1),"")</f>
        <v>0</v>
      </c>
      <c r="AM684" s="1030">
        <f t="shared" si="41"/>
        <v>0</v>
      </c>
      <c r="AN684" s="1030">
        <f>INDEX(G684:R684,1,MATCH(Parametres!$B$3,G$1:R$1,0))*IF(OR(F684="L",F684="S",F684="I"),-1,1)</f>
        <v>0</v>
      </c>
      <c r="AO684" s="598" t="e">
        <f>+VLOOKUP($AJ684,Data_Validation!$A:$D,1,0)</f>
        <v>#N/A</v>
      </c>
      <c r="AP684" s="598" t="e">
        <f>+VLOOKUP($AJ684,Data_Validation!$A:$D,3,0)</f>
        <v>#N/A</v>
      </c>
      <c r="AQ684" s="598" t="e">
        <f>+VLOOKUP($AJ684,Data_Validation!$A:$D,4,0)</f>
        <v>#N/A</v>
      </c>
      <c r="AR684" s="598" t="s">
        <v>299</v>
      </c>
      <c r="AS684" s="598" t="e">
        <f>+VLOOKUP($AJ684,Data_Validation!$A:$E,5,0)</f>
        <v>#N/A</v>
      </c>
      <c r="AT684" s="1036">
        <f t="shared" si="42"/>
        <v>0</v>
      </c>
      <c r="AU684" s="599">
        <f t="shared" si="42"/>
        <v>0</v>
      </c>
      <c r="AV684" s="1030">
        <f>IFERROR(INDEX(V684:AG684,1,MATCH(Parametres!$B$3,V$1:AG$1,0)-1)*IF(OR(C684="L",C684="S",C684="I"),-1,1),"")</f>
        <v>0</v>
      </c>
      <c r="AW684" s="1030">
        <f t="shared" si="43"/>
        <v>0</v>
      </c>
      <c r="AX684" s="1030">
        <f>INDEX(V684:AG684,1,MATCH(Parametres!$B$3,V$1:AG$1,0))*IF(OR(C684="L",C684="S",C684="I"),-1,1)</f>
        <v>0</v>
      </c>
      <c r="AY684" s="598" t="s">
        <v>337</v>
      </c>
      <c r="AZ684" s="598" t="e">
        <f>+VLOOKUP($AJ684,Data_Validation!$A:$E,5,0)</f>
        <v>#N/A</v>
      </c>
    </row>
    <row r="685" spans="36:52" ht="15" customHeight="1">
      <c r="AJ685" s="1030">
        <f t="shared" si="44"/>
        <v>0</v>
      </c>
      <c r="AK685" s="1030">
        <f t="shared" si="44"/>
        <v>0</v>
      </c>
      <c r="AL685" s="1030">
        <f>IFERROR(INDEX(G685:R685,1,MATCH(Parametres!$B$3,G$1:R$1,0)-1)*IF(OR(F685="L",F685="S",F685="I"),-1,1),"")</f>
        <v>0</v>
      </c>
      <c r="AM685" s="1030">
        <f t="shared" si="41"/>
        <v>0</v>
      </c>
      <c r="AN685" s="1030">
        <f>INDEX(G685:R685,1,MATCH(Parametres!$B$3,G$1:R$1,0))*IF(OR(F685="L",F685="S",F685="I"),-1,1)</f>
        <v>0</v>
      </c>
      <c r="AO685" s="598" t="e">
        <f>+VLOOKUP($AJ685,Data_Validation!$A:$D,1,0)</f>
        <v>#N/A</v>
      </c>
      <c r="AP685" s="598" t="e">
        <f>+VLOOKUP($AJ685,Data_Validation!$A:$D,3,0)</f>
        <v>#N/A</v>
      </c>
      <c r="AQ685" s="598" t="e">
        <f>+VLOOKUP($AJ685,Data_Validation!$A:$D,4,0)</f>
        <v>#N/A</v>
      </c>
      <c r="AR685" s="598" t="s">
        <v>299</v>
      </c>
      <c r="AS685" s="598" t="e">
        <f>+VLOOKUP($AJ685,Data_Validation!$A:$E,5,0)</f>
        <v>#N/A</v>
      </c>
      <c r="AT685" s="1036">
        <f t="shared" si="42"/>
        <v>0</v>
      </c>
      <c r="AU685" s="599">
        <f t="shared" si="42"/>
        <v>0</v>
      </c>
      <c r="AV685" s="1030">
        <f>IFERROR(INDEX(V685:AG685,1,MATCH(Parametres!$B$3,V$1:AG$1,0)-1)*IF(OR(C685="L",C685="S",C685="I"),-1,1),"")</f>
        <v>0</v>
      </c>
      <c r="AW685" s="1030">
        <f t="shared" si="43"/>
        <v>0</v>
      </c>
      <c r="AX685" s="1030">
        <f>INDEX(V685:AG685,1,MATCH(Parametres!$B$3,V$1:AG$1,0))*IF(OR(C685="L",C685="S",C685="I"),-1,1)</f>
        <v>0</v>
      </c>
      <c r="AY685" s="598" t="s">
        <v>337</v>
      </c>
      <c r="AZ685" s="598" t="e">
        <f>+VLOOKUP($AJ685,Data_Validation!$A:$E,5,0)</f>
        <v>#N/A</v>
      </c>
    </row>
    <row r="686" spans="36:52" ht="15" customHeight="1">
      <c r="AJ686" s="1030">
        <f t="shared" si="44"/>
        <v>0</v>
      </c>
      <c r="AK686" s="1030">
        <f t="shared" si="44"/>
        <v>0</v>
      </c>
      <c r="AL686" s="1030">
        <f>IFERROR(INDEX(G686:R686,1,MATCH(Parametres!$B$3,G$1:R$1,0)-1)*IF(OR(F686="L",F686="S",F686="I"),-1,1),"")</f>
        <v>0</v>
      </c>
      <c r="AM686" s="1030">
        <f t="shared" si="41"/>
        <v>0</v>
      </c>
      <c r="AN686" s="1030">
        <f>INDEX(G686:R686,1,MATCH(Parametres!$B$3,G$1:R$1,0))*IF(OR(F686="L",F686="S",F686="I"),-1,1)</f>
        <v>0</v>
      </c>
      <c r="AO686" s="598" t="e">
        <f>+VLOOKUP($AJ686,Data_Validation!$A:$D,1,0)</f>
        <v>#N/A</v>
      </c>
      <c r="AP686" s="598" t="e">
        <f>+VLOOKUP($AJ686,Data_Validation!$A:$D,3,0)</f>
        <v>#N/A</v>
      </c>
      <c r="AQ686" s="598" t="e">
        <f>+VLOOKUP($AJ686,Data_Validation!$A:$D,4,0)</f>
        <v>#N/A</v>
      </c>
      <c r="AR686" s="598" t="s">
        <v>299</v>
      </c>
      <c r="AS686" s="598" t="e">
        <f>+VLOOKUP($AJ686,Data_Validation!$A:$E,5,0)</f>
        <v>#N/A</v>
      </c>
      <c r="AT686" s="1036">
        <f t="shared" si="42"/>
        <v>0</v>
      </c>
      <c r="AU686" s="599">
        <f t="shared" si="42"/>
        <v>0</v>
      </c>
      <c r="AV686" s="1030">
        <f>IFERROR(INDEX(V686:AG686,1,MATCH(Parametres!$B$3,V$1:AG$1,0)-1)*IF(OR(C686="L",C686="S",C686="I"),-1,1),"")</f>
        <v>0</v>
      </c>
      <c r="AW686" s="1030">
        <f t="shared" si="43"/>
        <v>0</v>
      </c>
      <c r="AX686" s="1030">
        <f>INDEX(V686:AG686,1,MATCH(Parametres!$B$3,V$1:AG$1,0))*IF(OR(C686="L",C686="S",C686="I"),-1,1)</f>
        <v>0</v>
      </c>
      <c r="AY686" s="598" t="s">
        <v>337</v>
      </c>
      <c r="AZ686" s="598" t="e">
        <f>+VLOOKUP($AJ686,Data_Validation!$A:$E,5,0)</f>
        <v>#N/A</v>
      </c>
    </row>
    <row r="687" spans="36:52" ht="15" customHeight="1">
      <c r="AJ687" s="1030">
        <f t="shared" si="44"/>
        <v>0</v>
      </c>
      <c r="AK687" s="1030">
        <f t="shared" si="44"/>
        <v>0</v>
      </c>
      <c r="AL687" s="1030">
        <f>IFERROR(INDEX(G687:R687,1,MATCH(Parametres!$B$3,G$1:R$1,0)-1)*IF(OR(F687="L",F687="S",F687="I"),-1,1),"")</f>
        <v>0</v>
      </c>
      <c r="AM687" s="1030">
        <f t="shared" si="41"/>
        <v>0</v>
      </c>
      <c r="AN687" s="1030">
        <f>INDEX(G687:R687,1,MATCH(Parametres!$B$3,G$1:R$1,0))*IF(OR(F687="L",F687="S",F687="I"),-1,1)</f>
        <v>0</v>
      </c>
      <c r="AO687" s="598" t="e">
        <f>+VLOOKUP($AJ687,Data_Validation!$A:$D,1,0)</f>
        <v>#N/A</v>
      </c>
      <c r="AP687" s="598" t="e">
        <f>+VLOOKUP($AJ687,Data_Validation!$A:$D,3,0)</f>
        <v>#N/A</v>
      </c>
      <c r="AQ687" s="598" t="e">
        <f>+VLOOKUP($AJ687,Data_Validation!$A:$D,4,0)</f>
        <v>#N/A</v>
      </c>
      <c r="AR687" s="598" t="s">
        <v>299</v>
      </c>
      <c r="AS687" s="598" t="e">
        <f>+VLOOKUP($AJ687,Data_Validation!$A:$E,5,0)</f>
        <v>#N/A</v>
      </c>
      <c r="AT687" s="1036">
        <f t="shared" si="42"/>
        <v>0</v>
      </c>
      <c r="AU687" s="599">
        <f t="shared" si="42"/>
        <v>0</v>
      </c>
      <c r="AV687" s="1030">
        <f>IFERROR(INDEX(V687:AG687,1,MATCH(Parametres!$B$3,V$1:AG$1,0)-1)*IF(OR(C687="L",C687="S",C687="I"),-1,1),"")</f>
        <v>0</v>
      </c>
      <c r="AW687" s="1030">
        <f t="shared" si="43"/>
        <v>0</v>
      </c>
      <c r="AX687" s="1030">
        <f>INDEX(V687:AG687,1,MATCH(Parametres!$B$3,V$1:AG$1,0))*IF(OR(C687="L",C687="S",C687="I"),-1,1)</f>
        <v>0</v>
      </c>
      <c r="AY687" s="598" t="s">
        <v>337</v>
      </c>
      <c r="AZ687" s="598" t="e">
        <f>+VLOOKUP($AJ687,Data_Validation!$A:$E,5,0)</f>
        <v>#N/A</v>
      </c>
    </row>
    <row r="688" spans="36:52" ht="15" customHeight="1">
      <c r="AJ688" s="1030">
        <f t="shared" si="44"/>
        <v>0</v>
      </c>
      <c r="AK688" s="1030">
        <f t="shared" si="44"/>
        <v>0</v>
      </c>
      <c r="AL688" s="1030">
        <f>IFERROR(INDEX(G688:R688,1,MATCH(Parametres!$B$3,G$1:R$1,0)-1)*IF(OR(F688="L",F688="S",F688="I"),-1,1),"")</f>
        <v>0</v>
      </c>
      <c r="AM688" s="1030">
        <f t="shared" si="41"/>
        <v>0</v>
      </c>
      <c r="AN688" s="1030">
        <f>INDEX(G688:R688,1,MATCH(Parametres!$B$3,G$1:R$1,0))*IF(OR(F688="L",F688="S",F688="I"),-1,1)</f>
        <v>0</v>
      </c>
      <c r="AO688" s="598" t="e">
        <f>+VLOOKUP($AJ688,Data_Validation!$A:$D,1,0)</f>
        <v>#N/A</v>
      </c>
      <c r="AP688" s="598" t="e">
        <f>+VLOOKUP($AJ688,Data_Validation!$A:$D,3,0)</f>
        <v>#N/A</v>
      </c>
      <c r="AQ688" s="598" t="e">
        <f>+VLOOKUP($AJ688,Data_Validation!$A:$D,4,0)</f>
        <v>#N/A</v>
      </c>
      <c r="AR688" s="598" t="s">
        <v>299</v>
      </c>
      <c r="AS688" s="598" t="e">
        <f>+VLOOKUP($AJ688,Data_Validation!$A:$E,5,0)</f>
        <v>#N/A</v>
      </c>
      <c r="AT688" s="1036">
        <f t="shared" si="42"/>
        <v>0</v>
      </c>
      <c r="AU688" s="599">
        <f t="shared" si="42"/>
        <v>0</v>
      </c>
      <c r="AV688" s="1030">
        <f>IFERROR(INDEX(V688:AG688,1,MATCH(Parametres!$B$3,V$1:AG$1,0)-1)*IF(OR(C688="L",C688="S",C688="I"),-1,1),"")</f>
        <v>0</v>
      </c>
      <c r="AW688" s="1030">
        <f t="shared" si="43"/>
        <v>0</v>
      </c>
      <c r="AX688" s="1030">
        <f>INDEX(V688:AG688,1,MATCH(Parametres!$B$3,V$1:AG$1,0))*IF(OR(C688="L",C688="S",C688="I"),-1,1)</f>
        <v>0</v>
      </c>
      <c r="AY688" s="598" t="s">
        <v>337</v>
      </c>
      <c r="AZ688" s="598" t="e">
        <f>+VLOOKUP($AJ688,Data_Validation!$A:$E,5,0)</f>
        <v>#N/A</v>
      </c>
    </row>
    <row r="689" spans="36:52" ht="15" customHeight="1">
      <c r="AJ689" s="1030">
        <f t="shared" si="44"/>
        <v>0</v>
      </c>
      <c r="AK689" s="1030">
        <f t="shared" si="44"/>
        <v>0</v>
      </c>
      <c r="AL689" s="1030">
        <f>IFERROR(INDEX(G689:R689,1,MATCH(Parametres!$B$3,G$1:R$1,0)-1)*IF(OR(F689="L",F689="S",F689="I"),-1,1),"")</f>
        <v>0</v>
      </c>
      <c r="AM689" s="1030">
        <f t="shared" si="41"/>
        <v>0</v>
      </c>
      <c r="AN689" s="1030">
        <f>INDEX(G689:R689,1,MATCH(Parametres!$B$3,G$1:R$1,0))*IF(OR(F689="L",F689="S",F689="I"),-1,1)</f>
        <v>0</v>
      </c>
      <c r="AO689" s="598" t="e">
        <f>+VLOOKUP($AJ689,Data_Validation!$A:$D,1,0)</f>
        <v>#N/A</v>
      </c>
      <c r="AP689" s="598" t="e">
        <f>+VLOOKUP($AJ689,Data_Validation!$A:$D,3,0)</f>
        <v>#N/A</v>
      </c>
      <c r="AQ689" s="598" t="e">
        <f>+VLOOKUP($AJ689,Data_Validation!$A:$D,4,0)</f>
        <v>#N/A</v>
      </c>
      <c r="AR689" s="598" t="s">
        <v>299</v>
      </c>
      <c r="AS689" s="598" t="e">
        <f>+VLOOKUP($AJ689,Data_Validation!$A:$E,5,0)</f>
        <v>#N/A</v>
      </c>
      <c r="AT689" s="1036">
        <f t="shared" si="42"/>
        <v>0</v>
      </c>
      <c r="AU689" s="599">
        <f t="shared" si="42"/>
        <v>0</v>
      </c>
      <c r="AV689" s="1030">
        <f>IFERROR(INDEX(V689:AG689,1,MATCH(Parametres!$B$3,V$1:AG$1,0)-1)*IF(OR(C689="L",C689="S",C689="I"),-1,1),"")</f>
        <v>0</v>
      </c>
      <c r="AW689" s="1030">
        <f t="shared" si="43"/>
        <v>0</v>
      </c>
      <c r="AX689" s="1030">
        <f>INDEX(V689:AG689,1,MATCH(Parametres!$B$3,V$1:AG$1,0))*IF(OR(C689="L",C689="S",C689="I"),-1,1)</f>
        <v>0</v>
      </c>
      <c r="AY689" s="598" t="s">
        <v>337</v>
      </c>
      <c r="AZ689" s="598" t="e">
        <f>+VLOOKUP($AJ689,Data_Validation!$A:$E,5,0)</f>
        <v>#N/A</v>
      </c>
    </row>
    <row r="690" spans="36:52" ht="15" customHeight="1">
      <c r="AJ690" s="1030">
        <f t="shared" si="44"/>
        <v>0</v>
      </c>
      <c r="AK690" s="1030">
        <f t="shared" si="44"/>
        <v>0</v>
      </c>
      <c r="AL690" s="1030">
        <f>IFERROR(INDEX(G690:R690,1,MATCH(Parametres!$B$3,G$1:R$1,0)-1)*IF(OR(F690="L",F690="S",F690="I"),-1,1),"")</f>
        <v>0</v>
      </c>
      <c r="AM690" s="1030">
        <f t="shared" si="41"/>
        <v>0</v>
      </c>
      <c r="AN690" s="1030">
        <f>INDEX(G690:R690,1,MATCH(Parametres!$B$3,G$1:R$1,0))*IF(OR(F690="L",F690="S",F690="I"),-1,1)</f>
        <v>0</v>
      </c>
      <c r="AO690" s="598" t="e">
        <f>+VLOOKUP($AJ690,Data_Validation!$A:$D,1,0)</f>
        <v>#N/A</v>
      </c>
      <c r="AP690" s="598" t="e">
        <f>+VLOOKUP($AJ690,Data_Validation!$A:$D,3,0)</f>
        <v>#N/A</v>
      </c>
      <c r="AQ690" s="598" t="e">
        <f>+VLOOKUP($AJ690,Data_Validation!$A:$D,4,0)</f>
        <v>#N/A</v>
      </c>
      <c r="AR690" s="598" t="s">
        <v>299</v>
      </c>
      <c r="AS690" s="598" t="e">
        <f>+VLOOKUP($AJ690,Data_Validation!$A:$E,5,0)</f>
        <v>#N/A</v>
      </c>
      <c r="AT690" s="1036">
        <f t="shared" si="42"/>
        <v>0</v>
      </c>
      <c r="AU690" s="599">
        <f t="shared" si="42"/>
        <v>0</v>
      </c>
      <c r="AV690" s="1030">
        <f>IFERROR(INDEX(V690:AG690,1,MATCH(Parametres!$B$3,V$1:AG$1,0)-1)*IF(OR(C690="L",C690="S",C690="I"),-1,1),"")</f>
        <v>0</v>
      </c>
      <c r="AW690" s="1030">
        <f t="shared" si="43"/>
        <v>0</v>
      </c>
      <c r="AX690" s="1030">
        <f>INDEX(V690:AG690,1,MATCH(Parametres!$B$3,V$1:AG$1,0))*IF(OR(C690="L",C690="S",C690="I"),-1,1)</f>
        <v>0</v>
      </c>
      <c r="AY690" s="598" t="s">
        <v>337</v>
      </c>
      <c r="AZ690" s="598" t="e">
        <f>+VLOOKUP($AJ690,Data_Validation!$A:$E,5,0)</f>
        <v>#N/A</v>
      </c>
    </row>
    <row r="691" spans="36:52" ht="15" customHeight="1">
      <c r="AJ691" s="1030">
        <f t="shared" si="44"/>
        <v>0</v>
      </c>
      <c r="AK691" s="1030">
        <f t="shared" si="44"/>
        <v>0</v>
      </c>
      <c r="AL691" s="1030">
        <f>IFERROR(INDEX(G691:R691,1,MATCH(Parametres!$B$3,G$1:R$1,0)-1)*IF(OR(F691="L",F691="S",F691="I"),-1,1),"")</f>
        <v>0</v>
      </c>
      <c r="AM691" s="1030">
        <f t="shared" si="41"/>
        <v>0</v>
      </c>
      <c r="AN691" s="1030">
        <f>INDEX(G691:R691,1,MATCH(Parametres!$B$3,G$1:R$1,0))*IF(OR(F691="L",F691="S",F691="I"),-1,1)</f>
        <v>0</v>
      </c>
      <c r="AO691" s="598" t="e">
        <f>+VLOOKUP($AJ691,Data_Validation!$A:$D,1,0)</f>
        <v>#N/A</v>
      </c>
      <c r="AP691" s="598" t="e">
        <f>+VLOOKUP($AJ691,Data_Validation!$A:$D,3,0)</f>
        <v>#N/A</v>
      </c>
      <c r="AQ691" s="598" t="e">
        <f>+VLOOKUP($AJ691,Data_Validation!$A:$D,4,0)</f>
        <v>#N/A</v>
      </c>
      <c r="AR691" s="598" t="s">
        <v>299</v>
      </c>
      <c r="AS691" s="598" t="e">
        <f>+VLOOKUP($AJ691,Data_Validation!$A:$E,5,0)</f>
        <v>#N/A</v>
      </c>
      <c r="AT691" s="1036">
        <f t="shared" si="42"/>
        <v>0</v>
      </c>
      <c r="AU691" s="599">
        <f t="shared" si="42"/>
        <v>0</v>
      </c>
      <c r="AV691" s="1030">
        <f>IFERROR(INDEX(V691:AG691,1,MATCH(Parametres!$B$3,V$1:AG$1,0)-1)*IF(OR(C691="L",C691="S",C691="I"),-1,1),"")</f>
        <v>0</v>
      </c>
      <c r="AW691" s="1030">
        <f t="shared" si="43"/>
        <v>0</v>
      </c>
      <c r="AX691" s="1030">
        <f>INDEX(V691:AG691,1,MATCH(Parametres!$B$3,V$1:AG$1,0))*IF(OR(C691="L",C691="S",C691="I"),-1,1)</f>
        <v>0</v>
      </c>
      <c r="AY691" s="598" t="s">
        <v>337</v>
      </c>
      <c r="AZ691" s="598" t="e">
        <f>+VLOOKUP($AJ691,Data_Validation!$A:$E,5,0)</f>
        <v>#N/A</v>
      </c>
    </row>
    <row r="692" spans="36:52" ht="15" customHeight="1">
      <c r="AJ692" s="1030">
        <f t="shared" si="44"/>
        <v>0</v>
      </c>
      <c r="AK692" s="1030">
        <f t="shared" si="44"/>
        <v>0</v>
      </c>
      <c r="AL692" s="1030">
        <f>IFERROR(INDEX(G692:R692,1,MATCH(Parametres!$B$3,G$1:R$1,0)-1)*IF(OR(F692="L",F692="S",F692="I"),-1,1),"")</f>
        <v>0</v>
      </c>
      <c r="AM692" s="1030">
        <f t="shared" si="41"/>
        <v>0</v>
      </c>
      <c r="AN692" s="1030">
        <f>INDEX(G692:R692,1,MATCH(Parametres!$B$3,G$1:R$1,0))*IF(OR(F692="L",F692="S",F692="I"),-1,1)</f>
        <v>0</v>
      </c>
      <c r="AO692" s="598" t="e">
        <f>+VLOOKUP($AJ692,Data_Validation!$A:$D,1,0)</f>
        <v>#N/A</v>
      </c>
      <c r="AP692" s="598" t="e">
        <f>+VLOOKUP($AJ692,Data_Validation!$A:$D,3,0)</f>
        <v>#N/A</v>
      </c>
      <c r="AQ692" s="598" t="e">
        <f>+VLOOKUP($AJ692,Data_Validation!$A:$D,4,0)</f>
        <v>#N/A</v>
      </c>
      <c r="AR692" s="598" t="s">
        <v>299</v>
      </c>
      <c r="AS692" s="598" t="e">
        <f>+VLOOKUP($AJ692,Data_Validation!$A:$E,5,0)</f>
        <v>#N/A</v>
      </c>
      <c r="AT692" s="1036">
        <f t="shared" si="42"/>
        <v>0</v>
      </c>
      <c r="AU692" s="599">
        <f t="shared" si="42"/>
        <v>0</v>
      </c>
      <c r="AV692" s="1030">
        <f>IFERROR(INDEX(V692:AG692,1,MATCH(Parametres!$B$3,V$1:AG$1,0)-1)*IF(OR(C692="L",C692="S",C692="I"),-1,1),"")</f>
        <v>0</v>
      </c>
      <c r="AW692" s="1030">
        <f t="shared" si="43"/>
        <v>0</v>
      </c>
      <c r="AX692" s="1030">
        <f>INDEX(V692:AG692,1,MATCH(Parametres!$B$3,V$1:AG$1,0))*IF(OR(C692="L",C692="S",C692="I"),-1,1)</f>
        <v>0</v>
      </c>
      <c r="AY692" s="598" t="s">
        <v>337</v>
      </c>
      <c r="AZ692" s="598" t="e">
        <f>+VLOOKUP($AJ692,Data_Validation!$A:$E,5,0)</f>
        <v>#N/A</v>
      </c>
    </row>
    <row r="693" spans="36:52" ht="15" customHeight="1">
      <c r="AJ693" s="1030">
        <f t="shared" si="44"/>
        <v>0</v>
      </c>
      <c r="AK693" s="1030">
        <f t="shared" si="44"/>
        <v>0</v>
      </c>
      <c r="AL693" s="1030">
        <f>IFERROR(INDEX(G693:R693,1,MATCH(Parametres!$B$3,G$1:R$1,0)-1)*IF(OR(F693="L",F693="S",F693="I"),-1,1),"")</f>
        <v>0</v>
      </c>
      <c r="AM693" s="1030">
        <f t="shared" si="41"/>
        <v>0</v>
      </c>
      <c r="AN693" s="1030">
        <f>INDEX(G693:R693,1,MATCH(Parametres!$B$3,G$1:R$1,0))*IF(OR(F693="L",F693="S",F693="I"),-1,1)</f>
        <v>0</v>
      </c>
      <c r="AO693" s="598" t="e">
        <f>+VLOOKUP($AJ693,Data_Validation!$A:$D,1,0)</f>
        <v>#N/A</v>
      </c>
      <c r="AP693" s="598" t="e">
        <f>+VLOOKUP($AJ693,Data_Validation!$A:$D,3,0)</f>
        <v>#N/A</v>
      </c>
      <c r="AQ693" s="598" t="e">
        <f>+VLOOKUP($AJ693,Data_Validation!$A:$D,4,0)</f>
        <v>#N/A</v>
      </c>
      <c r="AR693" s="598" t="s">
        <v>299</v>
      </c>
      <c r="AS693" s="598" t="e">
        <f>+VLOOKUP($AJ693,Data_Validation!$A:$E,5,0)</f>
        <v>#N/A</v>
      </c>
      <c r="AT693" s="1036">
        <f t="shared" si="42"/>
        <v>0</v>
      </c>
      <c r="AU693" s="599">
        <f t="shared" si="42"/>
        <v>0</v>
      </c>
      <c r="AV693" s="1030">
        <f>IFERROR(INDEX(V693:AG693,1,MATCH(Parametres!$B$3,V$1:AG$1,0)-1)*IF(OR(C693="L",C693="S",C693="I"),-1,1),"")</f>
        <v>0</v>
      </c>
      <c r="AW693" s="1030">
        <f t="shared" si="43"/>
        <v>0</v>
      </c>
      <c r="AX693" s="1030">
        <f>INDEX(V693:AG693,1,MATCH(Parametres!$B$3,V$1:AG$1,0))*IF(OR(C693="L",C693="S",C693="I"),-1,1)</f>
        <v>0</v>
      </c>
      <c r="AY693" s="598" t="s">
        <v>337</v>
      </c>
      <c r="AZ693" s="598" t="e">
        <f>+VLOOKUP($AJ693,Data_Validation!$A:$E,5,0)</f>
        <v>#N/A</v>
      </c>
    </row>
    <row r="694" spans="36:52" ht="15" customHeight="1">
      <c r="AJ694" s="1030">
        <f t="shared" si="44"/>
        <v>0</v>
      </c>
      <c r="AK694" s="1030">
        <f t="shared" si="44"/>
        <v>0</v>
      </c>
      <c r="AL694" s="1030">
        <f>IFERROR(INDEX(G694:R694,1,MATCH(Parametres!$B$3,G$1:R$1,0)-1)*IF(OR(F694="L",F694="S",F694="I"),-1,1),"")</f>
        <v>0</v>
      </c>
      <c r="AM694" s="1030">
        <f t="shared" si="41"/>
        <v>0</v>
      </c>
      <c r="AN694" s="1030">
        <f>INDEX(G694:R694,1,MATCH(Parametres!$B$3,G$1:R$1,0))*IF(OR(F694="L",F694="S",F694="I"),-1,1)</f>
        <v>0</v>
      </c>
      <c r="AO694" s="598" t="e">
        <f>+VLOOKUP($AJ694,Data_Validation!$A:$D,1,0)</f>
        <v>#N/A</v>
      </c>
      <c r="AP694" s="598" t="e">
        <f>+VLOOKUP($AJ694,Data_Validation!$A:$D,3,0)</f>
        <v>#N/A</v>
      </c>
      <c r="AQ694" s="598" t="e">
        <f>+VLOOKUP($AJ694,Data_Validation!$A:$D,4,0)</f>
        <v>#N/A</v>
      </c>
      <c r="AR694" s="598" t="s">
        <v>299</v>
      </c>
      <c r="AS694" s="598" t="e">
        <f>+VLOOKUP($AJ694,Data_Validation!$A:$E,5,0)</f>
        <v>#N/A</v>
      </c>
      <c r="AT694" s="1036">
        <f t="shared" si="42"/>
        <v>0</v>
      </c>
      <c r="AU694" s="599">
        <f t="shared" si="42"/>
        <v>0</v>
      </c>
      <c r="AV694" s="1030">
        <f>IFERROR(INDEX(V694:AG694,1,MATCH(Parametres!$B$3,V$1:AG$1,0)-1)*IF(OR(C694="L",C694="S",C694="I"),-1,1),"")</f>
        <v>0</v>
      </c>
      <c r="AW694" s="1030">
        <f t="shared" si="43"/>
        <v>0</v>
      </c>
      <c r="AX694" s="1030">
        <f>INDEX(V694:AG694,1,MATCH(Parametres!$B$3,V$1:AG$1,0))*IF(OR(C694="L",C694="S",C694="I"),-1,1)</f>
        <v>0</v>
      </c>
      <c r="AY694" s="598" t="s">
        <v>337</v>
      </c>
      <c r="AZ694" s="598" t="e">
        <f>+VLOOKUP($AJ694,Data_Validation!$A:$E,5,0)</f>
        <v>#N/A</v>
      </c>
    </row>
    <row r="695" spans="36:52" ht="15" customHeight="1">
      <c r="AJ695" s="1030">
        <f t="shared" si="44"/>
        <v>0</v>
      </c>
      <c r="AK695" s="1030">
        <f t="shared" si="44"/>
        <v>0</v>
      </c>
      <c r="AL695" s="1030">
        <f>IFERROR(INDEX(G695:R695,1,MATCH(Parametres!$B$3,G$1:R$1,0)-1)*IF(OR(F695="L",F695="S",F695="I"),-1,1),"")</f>
        <v>0</v>
      </c>
      <c r="AM695" s="1030">
        <f t="shared" si="41"/>
        <v>0</v>
      </c>
      <c r="AN695" s="1030">
        <f>INDEX(G695:R695,1,MATCH(Parametres!$B$3,G$1:R$1,0))*IF(OR(F695="L",F695="S",F695="I"),-1,1)</f>
        <v>0</v>
      </c>
      <c r="AO695" s="598" t="e">
        <f>+VLOOKUP($AJ695,Data_Validation!$A:$D,1,0)</f>
        <v>#N/A</v>
      </c>
      <c r="AP695" s="598" t="e">
        <f>+VLOOKUP($AJ695,Data_Validation!$A:$D,3,0)</f>
        <v>#N/A</v>
      </c>
      <c r="AQ695" s="598" t="e">
        <f>+VLOOKUP($AJ695,Data_Validation!$A:$D,4,0)</f>
        <v>#N/A</v>
      </c>
      <c r="AR695" s="598" t="s">
        <v>299</v>
      </c>
      <c r="AS695" s="598" t="e">
        <f>+VLOOKUP($AJ695,Data_Validation!$A:$E,5,0)</f>
        <v>#N/A</v>
      </c>
      <c r="AT695" s="1036">
        <f t="shared" si="42"/>
        <v>0</v>
      </c>
      <c r="AU695" s="599">
        <f t="shared" si="42"/>
        <v>0</v>
      </c>
      <c r="AV695" s="1030">
        <f>IFERROR(INDEX(V695:AG695,1,MATCH(Parametres!$B$3,V$1:AG$1,0)-1)*IF(OR(C695="L",C695="S",C695="I"),-1,1),"")</f>
        <v>0</v>
      </c>
      <c r="AW695" s="1030">
        <f t="shared" si="43"/>
        <v>0</v>
      </c>
      <c r="AX695" s="1030">
        <f>INDEX(V695:AG695,1,MATCH(Parametres!$B$3,V$1:AG$1,0))*IF(OR(C695="L",C695="S",C695="I"),-1,1)</f>
        <v>0</v>
      </c>
      <c r="AY695" s="598" t="s">
        <v>337</v>
      </c>
      <c r="AZ695" s="598" t="e">
        <f>+VLOOKUP($AJ695,Data_Validation!$A:$E,5,0)</f>
        <v>#N/A</v>
      </c>
    </row>
    <row r="696" spans="36:52" ht="15" customHeight="1">
      <c r="AJ696" s="1030">
        <f t="shared" si="44"/>
        <v>0</v>
      </c>
      <c r="AK696" s="1030">
        <f t="shared" si="44"/>
        <v>0</v>
      </c>
      <c r="AL696" s="1030">
        <f>IFERROR(INDEX(G696:R696,1,MATCH(Parametres!$B$3,G$1:R$1,0)-1)*IF(OR(F696="L",F696="S",F696="I"),-1,1),"")</f>
        <v>0</v>
      </c>
      <c r="AM696" s="1030">
        <f t="shared" si="41"/>
        <v>0</v>
      </c>
      <c r="AN696" s="1030">
        <f>INDEX(G696:R696,1,MATCH(Parametres!$B$3,G$1:R$1,0))*IF(OR(F696="L",F696="S",F696="I"),-1,1)</f>
        <v>0</v>
      </c>
      <c r="AO696" s="598" t="e">
        <f>+VLOOKUP($AJ696,Data_Validation!$A:$D,1,0)</f>
        <v>#N/A</v>
      </c>
      <c r="AP696" s="598" t="e">
        <f>+VLOOKUP($AJ696,Data_Validation!$A:$D,3,0)</f>
        <v>#N/A</v>
      </c>
      <c r="AQ696" s="598" t="e">
        <f>+VLOOKUP($AJ696,Data_Validation!$A:$D,4,0)</f>
        <v>#N/A</v>
      </c>
      <c r="AR696" s="598" t="s">
        <v>299</v>
      </c>
      <c r="AS696" s="598" t="e">
        <f>+VLOOKUP($AJ696,Data_Validation!$A:$E,5,0)</f>
        <v>#N/A</v>
      </c>
      <c r="AT696" s="1036">
        <f t="shared" si="42"/>
        <v>0</v>
      </c>
      <c r="AU696" s="599">
        <f t="shared" si="42"/>
        <v>0</v>
      </c>
      <c r="AV696" s="1030">
        <f>IFERROR(INDEX(V696:AG696,1,MATCH(Parametres!$B$3,V$1:AG$1,0)-1)*IF(OR(C696="L",C696="S",C696="I"),-1,1),"")</f>
        <v>0</v>
      </c>
      <c r="AW696" s="1030">
        <f t="shared" si="43"/>
        <v>0</v>
      </c>
      <c r="AX696" s="1030">
        <f>INDEX(V696:AG696,1,MATCH(Parametres!$B$3,V$1:AG$1,0))*IF(OR(C696="L",C696="S",C696="I"),-1,1)</f>
        <v>0</v>
      </c>
      <c r="AY696" s="598" t="s">
        <v>337</v>
      </c>
      <c r="AZ696" s="598" t="e">
        <f>+VLOOKUP($AJ696,Data_Validation!$A:$E,5,0)</f>
        <v>#N/A</v>
      </c>
    </row>
    <row r="697" spans="36:52" ht="15" customHeight="1">
      <c r="AJ697" s="1030">
        <f t="shared" si="44"/>
        <v>0</v>
      </c>
      <c r="AK697" s="1030">
        <f t="shared" si="44"/>
        <v>0</v>
      </c>
      <c r="AL697" s="1030">
        <f>IFERROR(INDEX(G697:R697,1,MATCH(Parametres!$B$3,G$1:R$1,0)-1)*IF(OR(F697="L",F697="S",F697="I"),-1,1),"")</f>
        <v>0</v>
      </c>
      <c r="AM697" s="1030">
        <f t="shared" si="41"/>
        <v>0</v>
      </c>
      <c r="AN697" s="1030">
        <f>INDEX(G697:R697,1,MATCH(Parametres!$B$3,G$1:R$1,0))*IF(OR(F697="L",F697="S",F697="I"),-1,1)</f>
        <v>0</v>
      </c>
      <c r="AO697" s="598" t="e">
        <f>+VLOOKUP($AJ697,Data_Validation!$A:$D,1,0)</f>
        <v>#N/A</v>
      </c>
      <c r="AP697" s="598" t="e">
        <f>+VLOOKUP($AJ697,Data_Validation!$A:$D,3,0)</f>
        <v>#N/A</v>
      </c>
      <c r="AQ697" s="598" t="e">
        <f>+VLOOKUP($AJ697,Data_Validation!$A:$D,4,0)</f>
        <v>#N/A</v>
      </c>
      <c r="AR697" s="598" t="s">
        <v>299</v>
      </c>
      <c r="AS697" s="598" t="e">
        <f>+VLOOKUP($AJ697,Data_Validation!$A:$E,5,0)</f>
        <v>#N/A</v>
      </c>
      <c r="AT697" s="1036">
        <f t="shared" si="42"/>
        <v>0</v>
      </c>
      <c r="AU697" s="599">
        <f t="shared" si="42"/>
        <v>0</v>
      </c>
      <c r="AV697" s="1030">
        <f>IFERROR(INDEX(V697:AG697,1,MATCH(Parametres!$B$3,V$1:AG$1,0)-1)*IF(OR(C697="L",C697="S",C697="I"),-1,1),"")</f>
        <v>0</v>
      </c>
      <c r="AW697" s="1030">
        <f t="shared" si="43"/>
        <v>0</v>
      </c>
      <c r="AX697" s="1030">
        <f>INDEX(V697:AG697,1,MATCH(Parametres!$B$3,V$1:AG$1,0))*IF(OR(C697="L",C697="S",C697="I"),-1,1)</f>
        <v>0</v>
      </c>
      <c r="AY697" s="598" t="s">
        <v>337</v>
      </c>
      <c r="AZ697" s="598" t="e">
        <f>+VLOOKUP($AJ697,Data_Validation!$A:$E,5,0)</f>
        <v>#N/A</v>
      </c>
    </row>
    <row r="698" spans="36:52" ht="15" customHeight="1">
      <c r="AJ698" s="1030">
        <f t="shared" si="44"/>
        <v>0</v>
      </c>
      <c r="AK698" s="1030">
        <f t="shared" si="44"/>
        <v>0</v>
      </c>
      <c r="AL698" s="1030">
        <f>IFERROR(INDEX(G698:R698,1,MATCH(Parametres!$B$3,G$1:R$1,0)-1)*IF(OR(F698="L",F698="S",F698="I"),-1,1),"")</f>
        <v>0</v>
      </c>
      <c r="AM698" s="1030">
        <f t="shared" si="41"/>
        <v>0</v>
      </c>
      <c r="AN698" s="1030">
        <f>INDEX(G698:R698,1,MATCH(Parametres!$B$3,G$1:R$1,0))*IF(OR(F698="L",F698="S",F698="I"),-1,1)</f>
        <v>0</v>
      </c>
      <c r="AO698" s="598" t="e">
        <f>+VLOOKUP($AJ698,Data_Validation!$A:$D,1,0)</f>
        <v>#N/A</v>
      </c>
      <c r="AP698" s="598" t="e">
        <f>+VLOOKUP($AJ698,Data_Validation!$A:$D,3,0)</f>
        <v>#N/A</v>
      </c>
      <c r="AQ698" s="598" t="e">
        <f>+VLOOKUP($AJ698,Data_Validation!$A:$D,4,0)</f>
        <v>#N/A</v>
      </c>
      <c r="AR698" s="598" t="s">
        <v>299</v>
      </c>
      <c r="AS698" s="598" t="e">
        <f>+VLOOKUP($AJ698,Data_Validation!$A:$E,5,0)</f>
        <v>#N/A</v>
      </c>
      <c r="AT698" s="1036">
        <f t="shared" si="42"/>
        <v>0</v>
      </c>
      <c r="AU698" s="599">
        <f t="shared" si="42"/>
        <v>0</v>
      </c>
      <c r="AV698" s="1030">
        <f>IFERROR(INDEX(V698:AG698,1,MATCH(Parametres!$B$3,V$1:AG$1,0)-1)*IF(OR(C698="L",C698="S",C698="I"),-1,1),"")</f>
        <v>0</v>
      </c>
      <c r="AW698" s="1030">
        <f t="shared" si="43"/>
        <v>0</v>
      </c>
      <c r="AX698" s="1030">
        <f>INDEX(V698:AG698,1,MATCH(Parametres!$B$3,V$1:AG$1,0))*IF(OR(C698="L",C698="S",C698="I"),-1,1)</f>
        <v>0</v>
      </c>
      <c r="AY698" s="598" t="s">
        <v>337</v>
      </c>
      <c r="AZ698" s="598" t="e">
        <f>+VLOOKUP($AJ698,Data_Validation!$A:$E,5,0)</f>
        <v>#N/A</v>
      </c>
    </row>
    <row r="699" spans="36:52" ht="15" customHeight="1">
      <c r="AJ699" s="1030">
        <f t="shared" si="44"/>
        <v>0</v>
      </c>
      <c r="AK699" s="1030">
        <f t="shared" si="44"/>
        <v>0</v>
      </c>
      <c r="AL699" s="1030">
        <f>IFERROR(INDEX(G699:R699,1,MATCH(Parametres!$B$3,G$1:R$1,0)-1)*IF(OR(F699="L",F699="S",F699="I"),-1,1),"")</f>
        <v>0</v>
      </c>
      <c r="AM699" s="1030">
        <f t="shared" si="41"/>
        <v>0</v>
      </c>
      <c r="AN699" s="1030">
        <f>INDEX(G699:R699,1,MATCH(Parametres!$B$3,G$1:R$1,0))*IF(OR(F699="L",F699="S",F699="I"),-1,1)</f>
        <v>0</v>
      </c>
      <c r="AO699" s="598" t="e">
        <f>+VLOOKUP($AJ699,Data_Validation!$A:$D,1,0)</f>
        <v>#N/A</v>
      </c>
      <c r="AP699" s="598" t="e">
        <f>+VLOOKUP($AJ699,Data_Validation!$A:$D,3,0)</f>
        <v>#N/A</v>
      </c>
      <c r="AQ699" s="598" t="e">
        <f>+VLOOKUP($AJ699,Data_Validation!$A:$D,4,0)</f>
        <v>#N/A</v>
      </c>
      <c r="AR699" s="598" t="s">
        <v>299</v>
      </c>
      <c r="AS699" s="598" t="e">
        <f>+VLOOKUP($AJ699,Data_Validation!$A:$E,5,0)</f>
        <v>#N/A</v>
      </c>
      <c r="AT699" s="1036">
        <f t="shared" si="42"/>
        <v>0</v>
      </c>
      <c r="AU699" s="599">
        <f t="shared" si="42"/>
        <v>0</v>
      </c>
      <c r="AV699" s="1030">
        <f>IFERROR(INDEX(V699:AG699,1,MATCH(Parametres!$B$3,V$1:AG$1,0)-1)*IF(OR(C699="L",C699="S",C699="I"),-1,1),"")</f>
        <v>0</v>
      </c>
      <c r="AW699" s="1030">
        <f t="shared" si="43"/>
        <v>0</v>
      </c>
      <c r="AX699" s="1030">
        <f>INDEX(V699:AG699,1,MATCH(Parametres!$B$3,V$1:AG$1,0))*IF(OR(C699="L",C699="S",C699="I"),-1,1)</f>
        <v>0</v>
      </c>
      <c r="AY699" s="598" t="s">
        <v>337</v>
      </c>
      <c r="AZ699" s="598" t="e">
        <f>+VLOOKUP($AJ699,Data_Validation!$A:$E,5,0)</f>
        <v>#N/A</v>
      </c>
    </row>
    <row r="700" spans="36:52" ht="15" customHeight="1">
      <c r="AJ700" s="1030">
        <f t="shared" si="44"/>
        <v>0</v>
      </c>
      <c r="AK700" s="1030">
        <f t="shared" si="44"/>
        <v>0</v>
      </c>
      <c r="AL700" s="1030">
        <f>IFERROR(INDEX(G700:R700,1,MATCH(Parametres!$B$3,G$1:R$1,0)-1)*IF(OR(F700="L",F700="S",F700="I"),-1,1),"")</f>
        <v>0</v>
      </c>
      <c r="AM700" s="1030">
        <f t="shared" si="41"/>
        <v>0</v>
      </c>
      <c r="AN700" s="1030">
        <f>INDEX(G700:R700,1,MATCH(Parametres!$B$3,G$1:R$1,0))*IF(OR(F700="L",F700="S",F700="I"),-1,1)</f>
        <v>0</v>
      </c>
      <c r="AO700" s="598" t="e">
        <f>+VLOOKUP($AJ700,Data_Validation!$A:$D,1,0)</f>
        <v>#N/A</v>
      </c>
      <c r="AP700" s="598" t="e">
        <f>+VLOOKUP($AJ700,Data_Validation!$A:$D,3,0)</f>
        <v>#N/A</v>
      </c>
      <c r="AQ700" s="598" t="e">
        <f>+VLOOKUP($AJ700,Data_Validation!$A:$D,4,0)</f>
        <v>#N/A</v>
      </c>
      <c r="AR700" s="598" t="s">
        <v>299</v>
      </c>
      <c r="AS700" s="598" t="e">
        <f>+VLOOKUP($AJ700,Data_Validation!$A:$E,5,0)</f>
        <v>#N/A</v>
      </c>
      <c r="AT700" s="1036">
        <f t="shared" si="42"/>
        <v>0</v>
      </c>
      <c r="AU700" s="599">
        <f t="shared" si="42"/>
        <v>0</v>
      </c>
      <c r="AV700" s="1030">
        <f>IFERROR(INDEX(V700:AG700,1,MATCH(Parametres!$B$3,V$1:AG$1,0)-1)*IF(OR(C700="L",C700="S",C700="I"),-1,1),"")</f>
        <v>0</v>
      </c>
      <c r="AW700" s="1030">
        <f t="shared" si="43"/>
        <v>0</v>
      </c>
      <c r="AX700" s="1030">
        <f>INDEX(V700:AG700,1,MATCH(Parametres!$B$3,V$1:AG$1,0))*IF(OR(C700="L",C700="S",C700="I"),-1,1)</f>
        <v>0</v>
      </c>
      <c r="AY700" s="598" t="s">
        <v>337</v>
      </c>
      <c r="AZ700" s="598" t="e">
        <f>+VLOOKUP($AJ700,Data_Validation!$A:$E,5,0)</f>
        <v>#N/A</v>
      </c>
    </row>
    <row r="701" spans="36:52" ht="15" customHeight="1">
      <c r="AJ701" s="1030">
        <f t="shared" si="44"/>
        <v>0</v>
      </c>
      <c r="AK701" s="1030">
        <f t="shared" si="44"/>
        <v>0</v>
      </c>
      <c r="AL701" s="1030">
        <f>IFERROR(INDEX(G701:R701,1,MATCH(Parametres!$B$3,G$1:R$1,0)-1)*IF(OR(F701="L",F701="S",F701="I"),-1,1),"")</f>
        <v>0</v>
      </c>
      <c r="AM701" s="1030">
        <f t="shared" si="41"/>
        <v>0</v>
      </c>
      <c r="AN701" s="1030">
        <f>INDEX(G701:R701,1,MATCH(Parametres!$B$3,G$1:R$1,0))*IF(OR(F701="L",F701="S",F701="I"),-1,1)</f>
        <v>0</v>
      </c>
      <c r="AO701" s="598" t="e">
        <f>+VLOOKUP($AJ701,Data_Validation!$A:$D,1,0)</f>
        <v>#N/A</v>
      </c>
      <c r="AP701" s="598" t="e">
        <f>+VLOOKUP($AJ701,Data_Validation!$A:$D,3,0)</f>
        <v>#N/A</v>
      </c>
      <c r="AQ701" s="598" t="e">
        <f>+VLOOKUP($AJ701,Data_Validation!$A:$D,4,0)</f>
        <v>#N/A</v>
      </c>
      <c r="AR701" s="598" t="s">
        <v>299</v>
      </c>
      <c r="AS701" s="598" t="e">
        <f>+VLOOKUP($AJ701,Data_Validation!$A:$E,5,0)</f>
        <v>#N/A</v>
      </c>
      <c r="AT701" s="1036">
        <f t="shared" si="42"/>
        <v>0</v>
      </c>
      <c r="AU701" s="599">
        <f t="shared" si="42"/>
        <v>0</v>
      </c>
      <c r="AV701" s="1030">
        <f>IFERROR(INDEX(V701:AG701,1,MATCH(Parametres!$B$3,V$1:AG$1,0)-1)*IF(OR(C701="L",C701="S",C701="I"),-1,1),"")</f>
        <v>0</v>
      </c>
      <c r="AW701" s="1030">
        <f t="shared" si="43"/>
        <v>0</v>
      </c>
      <c r="AX701" s="1030">
        <f>INDEX(V701:AG701,1,MATCH(Parametres!$B$3,V$1:AG$1,0))*IF(OR(C701="L",C701="S",C701="I"),-1,1)</f>
        <v>0</v>
      </c>
      <c r="AY701" s="598" t="s">
        <v>337</v>
      </c>
      <c r="AZ701" s="598" t="e">
        <f>+VLOOKUP($AJ701,Data_Validation!$A:$E,5,0)</f>
        <v>#N/A</v>
      </c>
    </row>
    <row r="702" spans="36:52" ht="15" customHeight="1">
      <c r="AJ702" s="1030">
        <f t="shared" si="44"/>
        <v>0</v>
      </c>
      <c r="AK702" s="1030">
        <f t="shared" si="44"/>
        <v>0</v>
      </c>
      <c r="AL702" s="1030">
        <f>IFERROR(INDEX(G702:R702,1,MATCH(Parametres!$B$3,G$1:R$1,0)-1)*IF(OR(F702="L",F702="S",F702="I"),-1,1),"")</f>
        <v>0</v>
      </c>
      <c r="AM702" s="1030">
        <f t="shared" si="41"/>
        <v>0</v>
      </c>
      <c r="AN702" s="1030">
        <f>INDEX(G702:R702,1,MATCH(Parametres!$B$3,G$1:R$1,0))*IF(OR(F702="L",F702="S",F702="I"),-1,1)</f>
        <v>0</v>
      </c>
      <c r="AO702" s="598" t="e">
        <f>+VLOOKUP($AJ702,Data_Validation!$A:$D,1,0)</f>
        <v>#N/A</v>
      </c>
      <c r="AP702" s="598" t="e">
        <f>+VLOOKUP($AJ702,Data_Validation!$A:$D,3,0)</f>
        <v>#N/A</v>
      </c>
      <c r="AQ702" s="598" t="e">
        <f>+VLOOKUP($AJ702,Data_Validation!$A:$D,4,0)</f>
        <v>#N/A</v>
      </c>
      <c r="AR702" s="598" t="s">
        <v>299</v>
      </c>
      <c r="AS702" s="598" t="e">
        <f>+VLOOKUP($AJ702,Data_Validation!$A:$E,5,0)</f>
        <v>#N/A</v>
      </c>
      <c r="AT702" s="1036">
        <f t="shared" si="42"/>
        <v>0</v>
      </c>
      <c r="AU702" s="599">
        <f t="shared" si="42"/>
        <v>0</v>
      </c>
      <c r="AV702" s="1030">
        <f>IFERROR(INDEX(V702:AG702,1,MATCH(Parametres!$B$3,V$1:AG$1,0)-1)*IF(OR(C702="L",C702="S",C702="I"),-1,1),"")</f>
        <v>0</v>
      </c>
      <c r="AW702" s="1030">
        <f t="shared" si="43"/>
        <v>0</v>
      </c>
      <c r="AX702" s="1030">
        <f>INDEX(V702:AG702,1,MATCH(Parametres!$B$3,V$1:AG$1,0))*IF(OR(C702="L",C702="S",C702="I"),-1,1)</f>
        <v>0</v>
      </c>
      <c r="AY702" s="598" t="s">
        <v>337</v>
      </c>
      <c r="AZ702" s="598" t="e">
        <f>+VLOOKUP($AJ702,Data_Validation!$A:$E,5,0)</f>
        <v>#N/A</v>
      </c>
    </row>
    <row r="703" spans="36:52" ht="15" customHeight="1">
      <c r="AJ703" s="1030">
        <f t="shared" si="44"/>
        <v>0</v>
      </c>
      <c r="AK703" s="1030">
        <f t="shared" si="44"/>
        <v>0</v>
      </c>
      <c r="AL703" s="1030">
        <f>IFERROR(INDEX(G703:R703,1,MATCH(Parametres!$B$3,G$1:R$1,0)-1)*IF(OR(F703="L",F703="S",F703="I"),-1,1),"")</f>
        <v>0</v>
      </c>
      <c r="AM703" s="1030">
        <f t="shared" si="41"/>
        <v>0</v>
      </c>
      <c r="AN703" s="1030">
        <f>INDEX(G703:R703,1,MATCH(Parametres!$B$3,G$1:R$1,0))*IF(OR(F703="L",F703="S",F703="I"),-1,1)</f>
        <v>0</v>
      </c>
      <c r="AO703" s="598" t="e">
        <f>+VLOOKUP($AJ703,Data_Validation!$A:$D,1,0)</f>
        <v>#N/A</v>
      </c>
      <c r="AP703" s="598" t="e">
        <f>+VLOOKUP($AJ703,Data_Validation!$A:$D,3,0)</f>
        <v>#N/A</v>
      </c>
      <c r="AQ703" s="598" t="e">
        <f>+VLOOKUP($AJ703,Data_Validation!$A:$D,4,0)</f>
        <v>#N/A</v>
      </c>
      <c r="AR703" s="598" t="s">
        <v>299</v>
      </c>
      <c r="AS703" s="598" t="e">
        <f>+VLOOKUP($AJ703,Data_Validation!$A:$E,5,0)</f>
        <v>#N/A</v>
      </c>
      <c r="AT703" s="1036">
        <f t="shared" si="42"/>
        <v>0</v>
      </c>
      <c r="AU703" s="599">
        <f t="shared" si="42"/>
        <v>0</v>
      </c>
      <c r="AV703" s="1030">
        <f>IFERROR(INDEX(V703:AG703,1,MATCH(Parametres!$B$3,V$1:AG$1,0)-1)*IF(OR(C703="L",C703="S",C703="I"),-1,1),"")</f>
        <v>0</v>
      </c>
      <c r="AW703" s="1030">
        <f t="shared" si="43"/>
        <v>0</v>
      </c>
      <c r="AX703" s="1030">
        <f>INDEX(V703:AG703,1,MATCH(Parametres!$B$3,V$1:AG$1,0))*IF(OR(C703="L",C703="S",C703="I"),-1,1)</f>
        <v>0</v>
      </c>
      <c r="AY703" s="598" t="s">
        <v>337</v>
      </c>
      <c r="AZ703" s="598" t="e">
        <f>+VLOOKUP($AJ703,Data_Validation!$A:$E,5,0)</f>
        <v>#N/A</v>
      </c>
    </row>
    <row r="704" spans="36:52" ht="15" customHeight="1">
      <c r="AJ704" s="1030">
        <f t="shared" si="44"/>
        <v>0</v>
      </c>
      <c r="AK704" s="1030">
        <f t="shared" si="44"/>
        <v>0</v>
      </c>
      <c r="AL704" s="1030">
        <f>IFERROR(INDEX(G704:R704,1,MATCH(Parametres!$B$3,G$1:R$1,0)-1)*IF(OR(F704="L",F704="S",F704="I"),-1,1),"")</f>
        <v>0</v>
      </c>
      <c r="AM704" s="1030">
        <f t="shared" si="41"/>
        <v>0</v>
      </c>
      <c r="AN704" s="1030">
        <f>INDEX(G704:R704,1,MATCH(Parametres!$B$3,G$1:R$1,0))*IF(OR(F704="L",F704="S",F704="I"),-1,1)</f>
        <v>0</v>
      </c>
      <c r="AO704" s="598" t="e">
        <f>+VLOOKUP($AJ704,Data_Validation!$A:$D,1,0)</f>
        <v>#N/A</v>
      </c>
      <c r="AP704" s="598" t="e">
        <f>+VLOOKUP($AJ704,Data_Validation!$A:$D,3,0)</f>
        <v>#N/A</v>
      </c>
      <c r="AQ704" s="598" t="e">
        <f>+VLOOKUP($AJ704,Data_Validation!$A:$D,4,0)</f>
        <v>#N/A</v>
      </c>
      <c r="AR704" s="598" t="s">
        <v>299</v>
      </c>
      <c r="AS704" s="598" t="e">
        <f>+VLOOKUP($AJ704,Data_Validation!$A:$E,5,0)</f>
        <v>#N/A</v>
      </c>
      <c r="AT704" s="1036">
        <f t="shared" si="42"/>
        <v>0</v>
      </c>
      <c r="AU704" s="599">
        <f t="shared" si="42"/>
        <v>0</v>
      </c>
      <c r="AV704" s="1030">
        <f>IFERROR(INDEX(V704:AG704,1,MATCH(Parametres!$B$3,V$1:AG$1,0)-1)*IF(OR(C704="L",C704="S",C704="I"),-1,1),"")</f>
        <v>0</v>
      </c>
      <c r="AW704" s="1030">
        <f t="shared" si="43"/>
        <v>0</v>
      </c>
      <c r="AX704" s="1030">
        <f>INDEX(V704:AG704,1,MATCH(Parametres!$B$3,V$1:AG$1,0))*IF(OR(C704="L",C704="S",C704="I"),-1,1)</f>
        <v>0</v>
      </c>
      <c r="AY704" s="598" t="s">
        <v>337</v>
      </c>
      <c r="AZ704" s="598" t="e">
        <f>+VLOOKUP($AJ704,Data_Validation!$A:$E,5,0)</f>
        <v>#N/A</v>
      </c>
    </row>
    <row r="705" spans="36:52" ht="15" customHeight="1">
      <c r="AJ705" s="1030">
        <f t="shared" si="44"/>
        <v>0</v>
      </c>
      <c r="AK705" s="1030">
        <f t="shared" si="44"/>
        <v>0</v>
      </c>
      <c r="AL705" s="1030">
        <f>IFERROR(INDEX(G705:R705,1,MATCH(Parametres!$B$3,G$1:R$1,0)-1)*IF(OR(F705="L",F705="S",F705="I"),-1,1),"")</f>
        <v>0</v>
      </c>
      <c r="AM705" s="1030">
        <f t="shared" si="41"/>
        <v>0</v>
      </c>
      <c r="AN705" s="1030">
        <f>INDEX(G705:R705,1,MATCH(Parametres!$B$3,G$1:R$1,0))*IF(OR(F705="L",F705="S",F705="I"),-1,1)</f>
        <v>0</v>
      </c>
      <c r="AO705" s="598" t="e">
        <f>+VLOOKUP($AJ705,Data_Validation!$A:$D,1,0)</f>
        <v>#N/A</v>
      </c>
      <c r="AP705" s="598" t="e">
        <f>+VLOOKUP($AJ705,Data_Validation!$A:$D,3,0)</f>
        <v>#N/A</v>
      </c>
      <c r="AQ705" s="598" t="e">
        <f>+VLOOKUP($AJ705,Data_Validation!$A:$D,4,0)</f>
        <v>#N/A</v>
      </c>
      <c r="AR705" s="598" t="s">
        <v>299</v>
      </c>
      <c r="AS705" s="598" t="e">
        <f>+VLOOKUP($AJ705,Data_Validation!$A:$E,5,0)</f>
        <v>#N/A</v>
      </c>
      <c r="AT705" s="1036">
        <f t="shared" si="42"/>
        <v>0</v>
      </c>
      <c r="AU705" s="599">
        <f t="shared" si="42"/>
        <v>0</v>
      </c>
      <c r="AV705" s="1030">
        <f>IFERROR(INDEX(V705:AG705,1,MATCH(Parametres!$B$3,V$1:AG$1,0)-1)*IF(OR(C705="L",C705="S",C705="I"),-1,1),"")</f>
        <v>0</v>
      </c>
      <c r="AW705" s="1030">
        <f t="shared" si="43"/>
        <v>0</v>
      </c>
      <c r="AX705" s="1030">
        <f>INDEX(V705:AG705,1,MATCH(Parametres!$B$3,V$1:AG$1,0))*IF(OR(C705="L",C705="S",C705="I"),-1,1)</f>
        <v>0</v>
      </c>
      <c r="AY705" s="598" t="s">
        <v>337</v>
      </c>
      <c r="AZ705" s="598" t="e">
        <f>+VLOOKUP($AJ705,Data_Validation!$A:$E,5,0)</f>
        <v>#N/A</v>
      </c>
    </row>
    <row r="706" spans="36:52" ht="15" customHeight="1">
      <c r="AJ706" s="1030">
        <f t="shared" si="44"/>
        <v>0</v>
      </c>
      <c r="AK706" s="1030">
        <f t="shared" si="44"/>
        <v>0</v>
      </c>
      <c r="AL706" s="1030">
        <f>IFERROR(INDEX(G706:R706,1,MATCH(Parametres!$B$3,G$1:R$1,0)-1)*IF(OR(F706="L",F706="S",F706="I"),-1,1),"")</f>
        <v>0</v>
      </c>
      <c r="AM706" s="1030">
        <f t="shared" si="41"/>
        <v>0</v>
      </c>
      <c r="AN706" s="1030">
        <f>INDEX(G706:R706,1,MATCH(Parametres!$B$3,G$1:R$1,0))*IF(OR(F706="L",F706="S",F706="I"),-1,1)</f>
        <v>0</v>
      </c>
      <c r="AO706" s="598" t="e">
        <f>+VLOOKUP($AJ706,Data_Validation!$A:$D,1,0)</f>
        <v>#N/A</v>
      </c>
      <c r="AP706" s="598" t="e">
        <f>+VLOOKUP($AJ706,Data_Validation!$A:$D,3,0)</f>
        <v>#N/A</v>
      </c>
      <c r="AQ706" s="598" t="e">
        <f>+VLOOKUP($AJ706,Data_Validation!$A:$D,4,0)</f>
        <v>#N/A</v>
      </c>
      <c r="AR706" s="598" t="s">
        <v>299</v>
      </c>
      <c r="AS706" s="598" t="e">
        <f>+VLOOKUP($AJ706,Data_Validation!$A:$E,5,0)</f>
        <v>#N/A</v>
      </c>
      <c r="AT706" s="1036">
        <f t="shared" si="42"/>
        <v>0</v>
      </c>
      <c r="AU706" s="599">
        <f t="shared" si="42"/>
        <v>0</v>
      </c>
      <c r="AV706" s="1030">
        <f>IFERROR(INDEX(V706:AG706,1,MATCH(Parametres!$B$3,V$1:AG$1,0)-1)*IF(OR(C706="L",C706="S",C706="I"),-1,1),"")</f>
        <v>0</v>
      </c>
      <c r="AW706" s="1030">
        <f t="shared" si="43"/>
        <v>0</v>
      </c>
      <c r="AX706" s="1030">
        <f>INDEX(V706:AG706,1,MATCH(Parametres!$B$3,V$1:AG$1,0))*IF(OR(C706="L",C706="S",C706="I"),-1,1)</f>
        <v>0</v>
      </c>
      <c r="AY706" s="598" t="s">
        <v>337</v>
      </c>
      <c r="AZ706" s="598" t="e">
        <f>+VLOOKUP($AJ706,Data_Validation!$A:$E,5,0)</f>
        <v>#N/A</v>
      </c>
    </row>
    <row r="707" spans="36:52" ht="15" customHeight="1">
      <c r="AJ707" s="1030">
        <f t="shared" si="44"/>
        <v>0</v>
      </c>
      <c r="AK707" s="1030">
        <f t="shared" si="44"/>
        <v>0</v>
      </c>
      <c r="AL707" s="1030">
        <f>IFERROR(INDEX(G707:R707,1,MATCH(Parametres!$B$3,G$1:R$1,0)-1)*IF(OR(F707="L",F707="S",F707="I"),-1,1),"")</f>
        <v>0</v>
      </c>
      <c r="AM707" s="1030">
        <f t="shared" si="41"/>
        <v>0</v>
      </c>
      <c r="AN707" s="1030">
        <f>INDEX(G707:R707,1,MATCH(Parametres!$B$3,G$1:R$1,0))*IF(OR(F707="L",F707="S",F707="I"),-1,1)</f>
        <v>0</v>
      </c>
      <c r="AO707" s="598" t="e">
        <f>+VLOOKUP($AJ707,Data_Validation!$A:$D,1,0)</f>
        <v>#N/A</v>
      </c>
      <c r="AP707" s="598" t="e">
        <f>+VLOOKUP($AJ707,Data_Validation!$A:$D,3,0)</f>
        <v>#N/A</v>
      </c>
      <c r="AQ707" s="598" t="e">
        <f>+VLOOKUP($AJ707,Data_Validation!$A:$D,4,0)</f>
        <v>#N/A</v>
      </c>
      <c r="AR707" s="598" t="s">
        <v>299</v>
      </c>
      <c r="AS707" s="598" t="e">
        <f>+VLOOKUP($AJ707,Data_Validation!$A:$E,5,0)</f>
        <v>#N/A</v>
      </c>
      <c r="AT707" s="1036">
        <f t="shared" si="42"/>
        <v>0</v>
      </c>
      <c r="AU707" s="599">
        <f t="shared" si="42"/>
        <v>0</v>
      </c>
      <c r="AV707" s="1030">
        <f>IFERROR(INDEX(V707:AG707,1,MATCH(Parametres!$B$3,V$1:AG$1,0)-1)*IF(OR(C707="L",C707="S",C707="I"),-1,1),"")</f>
        <v>0</v>
      </c>
      <c r="AW707" s="1030">
        <f t="shared" si="43"/>
        <v>0</v>
      </c>
      <c r="AX707" s="1030">
        <f>INDEX(V707:AG707,1,MATCH(Parametres!$B$3,V$1:AG$1,0))*IF(OR(C707="L",C707="S",C707="I"),-1,1)</f>
        <v>0</v>
      </c>
      <c r="AY707" s="598" t="s">
        <v>337</v>
      </c>
      <c r="AZ707" s="598" t="e">
        <f>+VLOOKUP($AJ707,Data_Validation!$A:$E,5,0)</f>
        <v>#N/A</v>
      </c>
    </row>
    <row r="708" spans="36:52" ht="15" customHeight="1">
      <c r="AJ708" s="1030">
        <f t="shared" si="44"/>
        <v>0</v>
      </c>
      <c r="AK708" s="1030">
        <f t="shared" si="44"/>
        <v>0</v>
      </c>
      <c r="AL708" s="1030">
        <f>IFERROR(INDEX(G708:R708,1,MATCH(Parametres!$B$3,G$1:R$1,0)-1)*IF(OR(F708="L",F708="S",F708="I"),-1,1),"")</f>
        <v>0</v>
      </c>
      <c r="AM708" s="1030">
        <f t="shared" ref="AM708:AM771" si="45">AN708-N(AL708)</f>
        <v>0</v>
      </c>
      <c r="AN708" s="1030">
        <f>INDEX(G708:R708,1,MATCH(Parametres!$B$3,G$1:R$1,0))*IF(OR(F708="L",F708="S",F708="I"),-1,1)</f>
        <v>0</v>
      </c>
      <c r="AO708" s="598" t="e">
        <f>+VLOOKUP($AJ708,Data_Validation!$A:$D,1,0)</f>
        <v>#N/A</v>
      </c>
      <c r="AP708" s="598" t="e">
        <f>+VLOOKUP($AJ708,Data_Validation!$A:$D,3,0)</f>
        <v>#N/A</v>
      </c>
      <c r="AQ708" s="598" t="e">
        <f>+VLOOKUP($AJ708,Data_Validation!$A:$D,4,0)</f>
        <v>#N/A</v>
      </c>
      <c r="AR708" s="598" t="s">
        <v>299</v>
      </c>
      <c r="AS708" s="598" t="e">
        <f>+VLOOKUP($AJ708,Data_Validation!$A:$E,5,0)</f>
        <v>#N/A</v>
      </c>
      <c r="AT708" s="1036">
        <f t="shared" ref="AT708:AU771" si="46">C708</f>
        <v>0</v>
      </c>
      <c r="AU708" s="599">
        <f t="shared" si="46"/>
        <v>0</v>
      </c>
      <c r="AV708" s="1030">
        <f>IFERROR(INDEX(V708:AG708,1,MATCH(Parametres!$B$3,V$1:AG$1,0)-1)*IF(OR(C708="L",C708="S",C708="I"),-1,1),"")</f>
        <v>0</v>
      </c>
      <c r="AW708" s="1030">
        <f t="shared" ref="AW708:AW771" si="47">AX708-AV708</f>
        <v>0</v>
      </c>
      <c r="AX708" s="1030">
        <f>INDEX(V708:AG708,1,MATCH(Parametres!$B$3,V$1:AG$1,0))*IF(OR(C708="L",C708="S",C708="I"),-1,1)</f>
        <v>0</v>
      </c>
      <c r="AY708" s="598" t="s">
        <v>337</v>
      </c>
      <c r="AZ708" s="598" t="e">
        <f>+VLOOKUP($AJ708,Data_Validation!$A:$E,5,0)</f>
        <v>#N/A</v>
      </c>
    </row>
    <row r="709" spans="36:52" ht="15" customHeight="1">
      <c r="AJ709" s="1030">
        <f t="shared" si="44"/>
        <v>0</v>
      </c>
      <c r="AK709" s="1030">
        <f t="shared" si="44"/>
        <v>0</v>
      </c>
      <c r="AL709" s="1030">
        <f>IFERROR(INDEX(G709:R709,1,MATCH(Parametres!$B$3,G$1:R$1,0)-1)*IF(OR(F709="L",F709="S",F709="I"),-1,1),"")</f>
        <v>0</v>
      </c>
      <c r="AM709" s="1030">
        <f t="shared" si="45"/>
        <v>0</v>
      </c>
      <c r="AN709" s="1030">
        <f>INDEX(G709:R709,1,MATCH(Parametres!$B$3,G$1:R$1,0))*IF(OR(F709="L",F709="S",F709="I"),-1,1)</f>
        <v>0</v>
      </c>
      <c r="AO709" s="598" t="e">
        <f>+VLOOKUP($AJ709,Data_Validation!$A:$D,1,0)</f>
        <v>#N/A</v>
      </c>
      <c r="AP709" s="598" t="e">
        <f>+VLOOKUP($AJ709,Data_Validation!$A:$D,3,0)</f>
        <v>#N/A</v>
      </c>
      <c r="AQ709" s="598" t="e">
        <f>+VLOOKUP($AJ709,Data_Validation!$A:$D,4,0)</f>
        <v>#N/A</v>
      </c>
      <c r="AR709" s="598" t="s">
        <v>299</v>
      </c>
      <c r="AS709" s="598" t="e">
        <f>+VLOOKUP($AJ709,Data_Validation!$A:$E,5,0)</f>
        <v>#N/A</v>
      </c>
      <c r="AT709" s="1036">
        <f t="shared" si="46"/>
        <v>0</v>
      </c>
      <c r="AU709" s="599">
        <f t="shared" si="46"/>
        <v>0</v>
      </c>
      <c r="AV709" s="1030">
        <f>IFERROR(INDEX(V709:AG709,1,MATCH(Parametres!$B$3,V$1:AG$1,0)-1)*IF(OR(C709="L",C709="S",C709="I"),-1,1),"")</f>
        <v>0</v>
      </c>
      <c r="AW709" s="1030">
        <f t="shared" si="47"/>
        <v>0</v>
      </c>
      <c r="AX709" s="1030">
        <f>INDEX(V709:AG709,1,MATCH(Parametres!$B$3,V$1:AG$1,0))*IF(OR(C709="L",C709="S",C709="I"),-1,1)</f>
        <v>0</v>
      </c>
      <c r="AY709" s="598" t="s">
        <v>337</v>
      </c>
      <c r="AZ709" s="598" t="e">
        <f>+VLOOKUP($AJ709,Data_Validation!$A:$E,5,0)</f>
        <v>#N/A</v>
      </c>
    </row>
    <row r="710" spans="36:52" ht="15" customHeight="1">
      <c r="AJ710" s="1030">
        <f t="shared" si="44"/>
        <v>0</v>
      </c>
      <c r="AK710" s="1030">
        <f t="shared" si="44"/>
        <v>0</v>
      </c>
      <c r="AL710" s="1030">
        <f>IFERROR(INDEX(G710:R710,1,MATCH(Parametres!$B$3,G$1:R$1,0)-1)*IF(OR(F710="L",F710="S",F710="I"),-1,1),"")</f>
        <v>0</v>
      </c>
      <c r="AM710" s="1030">
        <f t="shared" si="45"/>
        <v>0</v>
      </c>
      <c r="AN710" s="1030">
        <f>INDEX(G710:R710,1,MATCH(Parametres!$B$3,G$1:R$1,0))*IF(OR(F710="L",F710="S",F710="I"),-1,1)</f>
        <v>0</v>
      </c>
      <c r="AO710" s="598" t="e">
        <f>+VLOOKUP($AJ710,Data_Validation!$A:$D,1,0)</f>
        <v>#N/A</v>
      </c>
      <c r="AP710" s="598" t="e">
        <f>+VLOOKUP($AJ710,Data_Validation!$A:$D,3,0)</f>
        <v>#N/A</v>
      </c>
      <c r="AQ710" s="598" t="e">
        <f>+VLOOKUP($AJ710,Data_Validation!$A:$D,4,0)</f>
        <v>#N/A</v>
      </c>
      <c r="AR710" s="598" t="s">
        <v>299</v>
      </c>
      <c r="AS710" s="598" t="e">
        <f>+VLOOKUP($AJ710,Data_Validation!$A:$E,5,0)</f>
        <v>#N/A</v>
      </c>
      <c r="AT710" s="1036">
        <f t="shared" si="46"/>
        <v>0</v>
      </c>
      <c r="AU710" s="599">
        <f t="shared" si="46"/>
        <v>0</v>
      </c>
      <c r="AV710" s="1030">
        <f>IFERROR(INDEX(V710:AG710,1,MATCH(Parametres!$B$3,V$1:AG$1,0)-1)*IF(OR(C710="L",C710="S",C710="I"),-1,1),"")</f>
        <v>0</v>
      </c>
      <c r="AW710" s="1030">
        <f t="shared" si="47"/>
        <v>0</v>
      </c>
      <c r="AX710" s="1030">
        <f>INDEX(V710:AG710,1,MATCH(Parametres!$B$3,V$1:AG$1,0))*IF(OR(C710="L",C710="S",C710="I"),-1,1)</f>
        <v>0</v>
      </c>
      <c r="AY710" s="598" t="s">
        <v>337</v>
      </c>
      <c r="AZ710" s="598" t="e">
        <f>+VLOOKUP($AJ710,Data_Validation!$A:$E,5,0)</f>
        <v>#N/A</v>
      </c>
    </row>
    <row r="711" spans="36:52" ht="15" customHeight="1">
      <c r="AJ711" s="1030">
        <f t="shared" si="44"/>
        <v>0</v>
      </c>
      <c r="AK711" s="1030">
        <f t="shared" si="44"/>
        <v>0</v>
      </c>
      <c r="AL711" s="1030">
        <f>IFERROR(INDEX(G711:R711,1,MATCH(Parametres!$B$3,G$1:R$1,0)-1)*IF(OR(F711="L",F711="S",F711="I"),-1,1),"")</f>
        <v>0</v>
      </c>
      <c r="AM711" s="1030">
        <f t="shared" si="45"/>
        <v>0</v>
      </c>
      <c r="AN711" s="1030">
        <f>INDEX(G711:R711,1,MATCH(Parametres!$B$3,G$1:R$1,0))*IF(OR(F711="L",F711="S",F711="I"),-1,1)</f>
        <v>0</v>
      </c>
      <c r="AO711" s="598" t="e">
        <f>+VLOOKUP($AJ711,Data_Validation!$A:$D,1,0)</f>
        <v>#N/A</v>
      </c>
      <c r="AP711" s="598" t="e">
        <f>+VLOOKUP($AJ711,Data_Validation!$A:$D,3,0)</f>
        <v>#N/A</v>
      </c>
      <c r="AQ711" s="598" t="e">
        <f>+VLOOKUP($AJ711,Data_Validation!$A:$D,4,0)</f>
        <v>#N/A</v>
      </c>
      <c r="AR711" s="598" t="s">
        <v>299</v>
      </c>
      <c r="AS711" s="598" t="e">
        <f>+VLOOKUP($AJ711,Data_Validation!$A:$E,5,0)</f>
        <v>#N/A</v>
      </c>
      <c r="AT711" s="1036">
        <f t="shared" si="46"/>
        <v>0</v>
      </c>
      <c r="AU711" s="599">
        <f t="shared" si="46"/>
        <v>0</v>
      </c>
      <c r="AV711" s="1030">
        <f>IFERROR(INDEX(V711:AG711,1,MATCH(Parametres!$B$3,V$1:AG$1,0)-1)*IF(OR(C711="L",C711="S",C711="I"),-1,1),"")</f>
        <v>0</v>
      </c>
      <c r="AW711" s="1030">
        <f t="shared" si="47"/>
        <v>0</v>
      </c>
      <c r="AX711" s="1030">
        <f>INDEX(V711:AG711,1,MATCH(Parametres!$B$3,V$1:AG$1,0))*IF(OR(C711="L",C711="S",C711="I"),-1,1)</f>
        <v>0</v>
      </c>
      <c r="AY711" s="598" t="s">
        <v>337</v>
      </c>
      <c r="AZ711" s="598" t="e">
        <f>+VLOOKUP($AJ711,Data_Validation!$A:$E,5,0)</f>
        <v>#N/A</v>
      </c>
    </row>
    <row r="712" spans="36:52" ht="15" customHeight="1">
      <c r="AJ712" s="1030">
        <f t="shared" si="44"/>
        <v>0</v>
      </c>
      <c r="AK712" s="1030">
        <f t="shared" si="44"/>
        <v>0</v>
      </c>
      <c r="AL712" s="1030">
        <f>IFERROR(INDEX(G712:R712,1,MATCH(Parametres!$B$3,G$1:R$1,0)-1)*IF(OR(F712="L",F712="S",F712="I"),-1,1),"")</f>
        <v>0</v>
      </c>
      <c r="AM712" s="1030">
        <f t="shared" si="45"/>
        <v>0</v>
      </c>
      <c r="AN712" s="1030">
        <f>INDEX(G712:R712,1,MATCH(Parametres!$B$3,G$1:R$1,0))*IF(OR(F712="L",F712="S",F712="I"),-1,1)</f>
        <v>0</v>
      </c>
      <c r="AO712" s="598" t="e">
        <f>+VLOOKUP($AJ712,Data_Validation!$A:$D,1,0)</f>
        <v>#N/A</v>
      </c>
      <c r="AP712" s="598" t="e">
        <f>+VLOOKUP($AJ712,Data_Validation!$A:$D,3,0)</f>
        <v>#N/A</v>
      </c>
      <c r="AQ712" s="598" t="e">
        <f>+VLOOKUP($AJ712,Data_Validation!$A:$D,4,0)</f>
        <v>#N/A</v>
      </c>
      <c r="AR712" s="598" t="s">
        <v>299</v>
      </c>
      <c r="AS712" s="598" t="e">
        <f>+VLOOKUP($AJ712,Data_Validation!$A:$E,5,0)</f>
        <v>#N/A</v>
      </c>
      <c r="AT712" s="1036">
        <f t="shared" si="46"/>
        <v>0</v>
      </c>
      <c r="AU712" s="599">
        <f t="shared" si="46"/>
        <v>0</v>
      </c>
      <c r="AV712" s="1030">
        <f>IFERROR(INDEX(V712:AG712,1,MATCH(Parametres!$B$3,V$1:AG$1,0)-1)*IF(OR(C712="L",C712="S",C712="I"),-1,1),"")</f>
        <v>0</v>
      </c>
      <c r="AW712" s="1030">
        <f t="shared" si="47"/>
        <v>0</v>
      </c>
      <c r="AX712" s="1030">
        <f>INDEX(V712:AG712,1,MATCH(Parametres!$B$3,V$1:AG$1,0))*IF(OR(C712="L",C712="S",C712="I"),-1,1)</f>
        <v>0</v>
      </c>
      <c r="AY712" s="598" t="s">
        <v>337</v>
      </c>
      <c r="AZ712" s="598" t="e">
        <f>+VLOOKUP($AJ712,Data_Validation!$A:$E,5,0)</f>
        <v>#N/A</v>
      </c>
    </row>
    <row r="713" spans="36:52" ht="15" customHeight="1">
      <c r="AJ713" s="1030">
        <f t="shared" si="44"/>
        <v>0</v>
      </c>
      <c r="AK713" s="1030">
        <f t="shared" si="44"/>
        <v>0</v>
      </c>
      <c r="AL713" s="1030">
        <f>IFERROR(INDEX(G713:R713,1,MATCH(Parametres!$B$3,G$1:R$1,0)-1)*IF(OR(F713="L",F713="S",F713="I"),-1,1),"")</f>
        <v>0</v>
      </c>
      <c r="AM713" s="1030">
        <f t="shared" si="45"/>
        <v>0</v>
      </c>
      <c r="AN713" s="1030">
        <f>INDEX(G713:R713,1,MATCH(Parametres!$B$3,G$1:R$1,0))*IF(OR(F713="L",F713="S",F713="I"),-1,1)</f>
        <v>0</v>
      </c>
      <c r="AO713" s="598" t="e">
        <f>+VLOOKUP($AJ713,Data_Validation!$A:$D,1,0)</f>
        <v>#N/A</v>
      </c>
      <c r="AP713" s="598" t="e">
        <f>+VLOOKUP($AJ713,Data_Validation!$A:$D,3,0)</f>
        <v>#N/A</v>
      </c>
      <c r="AQ713" s="598" t="e">
        <f>+VLOOKUP($AJ713,Data_Validation!$A:$D,4,0)</f>
        <v>#N/A</v>
      </c>
      <c r="AR713" s="598" t="s">
        <v>299</v>
      </c>
      <c r="AS713" s="598" t="e">
        <f>+VLOOKUP($AJ713,Data_Validation!$A:$E,5,0)</f>
        <v>#N/A</v>
      </c>
      <c r="AT713" s="1036">
        <f t="shared" si="46"/>
        <v>0</v>
      </c>
      <c r="AU713" s="599">
        <f t="shared" si="46"/>
        <v>0</v>
      </c>
      <c r="AV713" s="1030">
        <f>IFERROR(INDEX(V713:AG713,1,MATCH(Parametres!$B$3,V$1:AG$1,0)-1)*IF(OR(C713="L",C713="S",C713="I"),-1,1),"")</f>
        <v>0</v>
      </c>
      <c r="AW713" s="1030">
        <f t="shared" si="47"/>
        <v>0</v>
      </c>
      <c r="AX713" s="1030">
        <f>INDEX(V713:AG713,1,MATCH(Parametres!$B$3,V$1:AG$1,0))*IF(OR(C713="L",C713="S",C713="I"),-1,1)</f>
        <v>0</v>
      </c>
      <c r="AY713" s="598" t="s">
        <v>337</v>
      </c>
      <c r="AZ713" s="598" t="e">
        <f>+VLOOKUP($AJ713,Data_Validation!$A:$E,5,0)</f>
        <v>#N/A</v>
      </c>
    </row>
    <row r="714" spans="36:52" ht="15" customHeight="1">
      <c r="AJ714" s="1030">
        <f t="shared" si="44"/>
        <v>0</v>
      </c>
      <c r="AK714" s="1030">
        <f t="shared" si="44"/>
        <v>0</v>
      </c>
      <c r="AL714" s="1030">
        <f>IFERROR(INDEX(G714:R714,1,MATCH(Parametres!$B$3,G$1:R$1,0)-1)*IF(OR(F714="L",F714="S",F714="I"),-1,1),"")</f>
        <v>0</v>
      </c>
      <c r="AM714" s="1030">
        <f t="shared" si="45"/>
        <v>0</v>
      </c>
      <c r="AN714" s="1030">
        <f>INDEX(G714:R714,1,MATCH(Parametres!$B$3,G$1:R$1,0))*IF(OR(F714="L",F714="S",F714="I"),-1,1)</f>
        <v>0</v>
      </c>
      <c r="AO714" s="598" t="e">
        <f>+VLOOKUP($AJ714,Data_Validation!$A:$D,1,0)</f>
        <v>#N/A</v>
      </c>
      <c r="AP714" s="598" t="e">
        <f>+VLOOKUP($AJ714,Data_Validation!$A:$D,3,0)</f>
        <v>#N/A</v>
      </c>
      <c r="AQ714" s="598" t="e">
        <f>+VLOOKUP($AJ714,Data_Validation!$A:$D,4,0)</f>
        <v>#N/A</v>
      </c>
      <c r="AR714" s="598" t="s">
        <v>299</v>
      </c>
      <c r="AS714" s="598" t="e">
        <f>+VLOOKUP($AJ714,Data_Validation!$A:$E,5,0)</f>
        <v>#N/A</v>
      </c>
      <c r="AT714" s="1036">
        <f t="shared" si="46"/>
        <v>0</v>
      </c>
      <c r="AU714" s="599">
        <f t="shared" si="46"/>
        <v>0</v>
      </c>
      <c r="AV714" s="1030">
        <f>IFERROR(INDEX(V714:AG714,1,MATCH(Parametres!$B$3,V$1:AG$1,0)-1)*IF(OR(C714="L",C714="S",C714="I"),-1,1),"")</f>
        <v>0</v>
      </c>
      <c r="AW714" s="1030">
        <f t="shared" si="47"/>
        <v>0</v>
      </c>
      <c r="AX714" s="1030">
        <f>INDEX(V714:AG714,1,MATCH(Parametres!$B$3,V$1:AG$1,0))*IF(OR(C714="L",C714="S",C714="I"),-1,1)</f>
        <v>0</v>
      </c>
      <c r="AY714" s="598" t="s">
        <v>337</v>
      </c>
      <c r="AZ714" s="598" t="e">
        <f>+VLOOKUP($AJ714,Data_Validation!$A:$E,5,0)</f>
        <v>#N/A</v>
      </c>
    </row>
    <row r="715" spans="36:52" ht="15" customHeight="1">
      <c r="AJ715" s="1030">
        <f t="shared" si="44"/>
        <v>0</v>
      </c>
      <c r="AK715" s="1030">
        <f t="shared" si="44"/>
        <v>0</v>
      </c>
      <c r="AL715" s="1030">
        <f>IFERROR(INDEX(G715:R715,1,MATCH(Parametres!$B$3,G$1:R$1,0)-1)*IF(OR(F715="L",F715="S",F715="I"),-1,1),"")</f>
        <v>0</v>
      </c>
      <c r="AM715" s="1030">
        <f t="shared" si="45"/>
        <v>0</v>
      </c>
      <c r="AN715" s="1030">
        <f>INDEX(G715:R715,1,MATCH(Parametres!$B$3,G$1:R$1,0))*IF(OR(F715="L",F715="S",F715="I"),-1,1)</f>
        <v>0</v>
      </c>
      <c r="AO715" s="598" t="e">
        <f>+VLOOKUP($AJ715,Data_Validation!$A:$D,1,0)</f>
        <v>#N/A</v>
      </c>
      <c r="AP715" s="598" t="e">
        <f>+VLOOKUP($AJ715,Data_Validation!$A:$D,3,0)</f>
        <v>#N/A</v>
      </c>
      <c r="AQ715" s="598" t="e">
        <f>+VLOOKUP($AJ715,Data_Validation!$A:$D,4,0)</f>
        <v>#N/A</v>
      </c>
      <c r="AR715" s="598" t="s">
        <v>299</v>
      </c>
      <c r="AS715" s="598" t="e">
        <f>+VLOOKUP($AJ715,Data_Validation!$A:$E,5,0)</f>
        <v>#N/A</v>
      </c>
      <c r="AT715" s="1036">
        <f t="shared" si="46"/>
        <v>0</v>
      </c>
      <c r="AU715" s="599">
        <f t="shared" si="46"/>
        <v>0</v>
      </c>
      <c r="AV715" s="1030">
        <f>IFERROR(INDEX(V715:AG715,1,MATCH(Parametres!$B$3,V$1:AG$1,0)-1)*IF(OR(C715="L",C715="S",C715="I"),-1,1),"")</f>
        <v>0</v>
      </c>
      <c r="AW715" s="1030">
        <f t="shared" si="47"/>
        <v>0</v>
      </c>
      <c r="AX715" s="1030">
        <f>INDEX(V715:AG715,1,MATCH(Parametres!$B$3,V$1:AG$1,0))*IF(OR(C715="L",C715="S",C715="I"),-1,1)</f>
        <v>0</v>
      </c>
      <c r="AY715" s="598" t="s">
        <v>337</v>
      </c>
      <c r="AZ715" s="598" t="e">
        <f>+VLOOKUP($AJ715,Data_Validation!$A:$E,5,0)</f>
        <v>#N/A</v>
      </c>
    </row>
    <row r="716" spans="36:52" ht="15" customHeight="1">
      <c r="AJ716" s="1030">
        <f t="shared" si="44"/>
        <v>0</v>
      </c>
      <c r="AK716" s="1030">
        <f t="shared" si="44"/>
        <v>0</v>
      </c>
      <c r="AL716" s="1030">
        <f>IFERROR(INDEX(G716:R716,1,MATCH(Parametres!$B$3,G$1:R$1,0)-1)*IF(OR(F716="L",F716="S",F716="I"),-1,1),"")</f>
        <v>0</v>
      </c>
      <c r="AM716" s="1030">
        <f t="shared" si="45"/>
        <v>0</v>
      </c>
      <c r="AN716" s="1030">
        <f>INDEX(G716:R716,1,MATCH(Parametres!$B$3,G$1:R$1,0))*IF(OR(F716="L",F716="S",F716="I"),-1,1)</f>
        <v>0</v>
      </c>
      <c r="AO716" s="598" t="e">
        <f>+VLOOKUP($AJ716,Data_Validation!$A:$D,1,0)</f>
        <v>#N/A</v>
      </c>
      <c r="AP716" s="598" t="e">
        <f>+VLOOKUP($AJ716,Data_Validation!$A:$D,3,0)</f>
        <v>#N/A</v>
      </c>
      <c r="AQ716" s="598" t="e">
        <f>+VLOOKUP($AJ716,Data_Validation!$A:$D,4,0)</f>
        <v>#N/A</v>
      </c>
      <c r="AR716" s="598" t="s">
        <v>299</v>
      </c>
      <c r="AS716" s="598" t="e">
        <f>+VLOOKUP($AJ716,Data_Validation!$A:$E,5,0)</f>
        <v>#N/A</v>
      </c>
      <c r="AT716" s="1036">
        <f t="shared" si="46"/>
        <v>0</v>
      </c>
      <c r="AU716" s="599">
        <f t="shared" si="46"/>
        <v>0</v>
      </c>
      <c r="AV716" s="1030">
        <f>IFERROR(INDEX(V716:AG716,1,MATCH(Parametres!$B$3,V$1:AG$1,0)-1)*IF(OR(C716="L",C716="S",C716="I"),-1,1),"")</f>
        <v>0</v>
      </c>
      <c r="AW716" s="1030">
        <f t="shared" si="47"/>
        <v>0</v>
      </c>
      <c r="AX716" s="1030">
        <f>INDEX(V716:AG716,1,MATCH(Parametres!$B$3,V$1:AG$1,0))*IF(OR(C716="L",C716="S",C716="I"),-1,1)</f>
        <v>0</v>
      </c>
      <c r="AY716" s="598" t="s">
        <v>337</v>
      </c>
      <c r="AZ716" s="598" t="e">
        <f>+VLOOKUP($AJ716,Data_Validation!$A:$E,5,0)</f>
        <v>#N/A</v>
      </c>
    </row>
    <row r="717" spans="36:52" ht="15" customHeight="1">
      <c r="AJ717" s="1030">
        <f t="shared" si="44"/>
        <v>0</v>
      </c>
      <c r="AK717" s="1030">
        <f t="shared" si="44"/>
        <v>0</v>
      </c>
      <c r="AL717" s="1030">
        <f>IFERROR(INDEX(G717:R717,1,MATCH(Parametres!$B$3,G$1:R$1,0)-1)*IF(OR(F717="L",F717="S",F717="I"),-1,1),"")</f>
        <v>0</v>
      </c>
      <c r="AM717" s="1030">
        <f t="shared" si="45"/>
        <v>0</v>
      </c>
      <c r="AN717" s="1030">
        <f>INDEX(G717:R717,1,MATCH(Parametres!$B$3,G$1:R$1,0))*IF(OR(F717="L",F717="S",F717="I"),-1,1)</f>
        <v>0</v>
      </c>
      <c r="AO717" s="598" t="e">
        <f>+VLOOKUP($AJ717,Data_Validation!$A:$D,1,0)</f>
        <v>#N/A</v>
      </c>
      <c r="AP717" s="598" t="e">
        <f>+VLOOKUP($AJ717,Data_Validation!$A:$D,3,0)</f>
        <v>#N/A</v>
      </c>
      <c r="AQ717" s="598" t="e">
        <f>+VLOOKUP($AJ717,Data_Validation!$A:$D,4,0)</f>
        <v>#N/A</v>
      </c>
      <c r="AR717" s="598" t="s">
        <v>299</v>
      </c>
      <c r="AS717" s="598" t="e">
        <f>+VLOOKUP($AJ717,Data_Validation!$A:$E,5,0)</f>
        <v>#N/A</v>
      </c>
      <c r="AT717" s="1036">
        <f t="shared" si="46"/>
        <v>0</v>
      </c>
      <c r="AU717" s="599">
        <f t="shared" si="46"/>
        <v>0</v>
      </c>
      <c r="AV717" s="1030">
        <f>IFERROR(INDEX(V717:AG717,1,MATCH(Parametres!$B$3,V$1:AG$1,0)-1)*IF(OR(C717="L",C717="S",C717="I"),-1,1),"")</f>
        <v>0</v>
      </c>
      <c r="AW717" s="1030">
        <f t="shared" si="47"/>
        <v>0</v>
      </c>
      <c r="AX717" s="1030">
        <f>INDEX(V717:AG717,1,MATCH(Parametres!$B$3,V$1:AG$1,0))*IF(OR(C717="L",C717="S",C717="I"),-1,1)</f>
        <v>0</v>
      </c>
      <c r="AY717" s="598" t="s">
        <v>337</v>
      </c>
      <c r="AZ717" s="598" t="e">
        <f>+VLOOKUP($AJ717,Data_Validation!$A:$E,5,0)</f>
        <v>#N/A</v>
      </c>
    </row>
    <row r="718" spans="36:52" ht="15" customHeight="1">
      <c r="AJ718" s="1030">
        <f t="shared" si="44"/>
        <v>0</v>
      </c>
      <c r="AK718" s="1030">
        <f t="shared" si="44"/>
        <v>0</v>
      </c>
      <c r="AL718" s="1030">
        <f>IFERROR(INDEX(G718:R718,1,MATCH(Parametres!$B$3,G$1:R$1,0)-1)*IF(OR(F718="L",F718="S",F718="I"),-1,1),"")</f>
        <v>0</v>
      </c>
      <c r="AM718" s="1030">
        <f t="shared" si="45"/>
        <v>0</v>
      </c>
      <c r="AN718" s="1030">
        <f>INDEX(G718:R718,1,MATCH(Parametres!$B$3,G$1:R$1,0))*IF(OR(F718="L",F718="S",F718="I"),-1,1)</f>
        <v>0</v>
      </c>
      <c r="AO718" s="598" t="e">
        <f>+VLOOKUP($AJ718,Data_Validation!$A:$D,1,0)</f>
        <v>#N/A</v>
      </c>
      <c r="AP718" s="598" t="e">
        <f>+VLOOKUP($AJ718,Data_Validation!$A:$D,3,0)</f>
        <v>#N/A</v>
      </c>
      <c r="AQ718" s="598" t="e">
        <f>+VLOOKUP($AJ718,Data_Validation!$A:$D,4,0)</f>
        <v>#N/A</v>
      </c>
      <c r="AR718" s="598" t="s">
        <v>299</v>
      </c>
      <c r="AS718" s="598" t="e">
        <f>+VLOOKUP($AJ718,Data_Validation!$A:$E,5,0)</f>
        <v>#N/A</v>
      </c>
      <c r="AT718" s="1036">
        <f t="shared" si="46"/>
        <v>0</v>
      </c>
      <c r="AU718" s="599">
        <f t="shared" si="46"/>
        <v>0</v>
      </c>
      <c r="AV718" s="1030">
        <f>IFERROR(INDEX(V718:AG718,1,MATCH(Parametres!$B$3,V$1:AG$1,0)-1)*IF(OR(C718="L",C718="S",C718="I"),-1,1),"")</f>
        <v>0</v>
      </c>
      <c r="AW718" s="1030">
        <f t="shared" si="47"/>
        <v>0</v>
      </c>
      <c r="AX718" s="1030">
        <f>INDEX(V718:AG718,1,MATCH(Parametres!$B$3,V$1:AG$1,0))*IF(OR(C718="L",C718="S",C718="I"),-1,1)</f>
        <v>0</v>
      </c>
      <c r="AY718" s="598" t="s">
        <v>337</v>
      </c>
      <c r="AZ718" s="598" t="e">
        <f>+VLOOKUP($AJ718,Data_Validation!$A:$E,5,0)</f>
        <v>#N/A</v>
      </c>
    </row>
    <row r="719" spans="36:52" ht="15" customHeight="1">
      <c r="AJ719" s="1030">
        <f t="shared" si="44"/>
        <v>0</v>
      </c>
      <c r="AK719" s="1030">
        <f t="shared" si="44"/>
        <v>0</v>
      </c>
      <c r="AL719" s="1030">
        <f>IFERROR(INDEX(G719:R719,1,MATCH(Parametres!$B$3,G$1:R$1,0)-1)*IF(OR(F719="L",F719="S",F719="I"),-1,1),"")</f>
        <v>0</v>
      </c>
      <c r="AM719" s="1030">
        <f t="shared" si="45"/>
        <v>0</v>
      </c>
      <c r="AN719" s="1030">
        <f>INDEX(G719:R719,1,MATCH(Parametres!$B$3,G$1:R$1,0))*IF(OR(F719="L",F719="S",F719="I"),-1,1)</f>
        <v>0</v>
      </c>
      <c r="AO719" s="598" t="e">
        <f>+VLOOKUP($AJ719,Data_Validation!$A:$D,1,0)</f>
        <v>#N/A</v>
      </c>
      <c r="AP719" s="598" t="e">
        <f>+VLOOKUP($AJ719,Data_Validation!$A:$D,3,0)</f>
        <v>#N/A</v>
      </c>
      <c r="AQ719" s="598" t="e">
        <f>+VLOOKUP($AJ719,Data_Validation!$A:$D,4,0)</f>
        <v>#N/A</v>
      </c>
      <c r="AR719" s="598" t="s">
        <v>299</v>
      </c>
      <c r="AS719" s="598" t="e">
        <f>+VLOOKUP($AJ719,Data_Validation!$A:$E,5,0)</f>
        <v>#N/A</v>
      </c>
      <c r="AT719" s="1036">
        <f t="shared" si="46"/>
        <v>0</v>
      </c>
      <c r="AU719" s="599">
        <f t="shared" si="46"/>
        <v>0</v>
      </c>
      <c r="AV719" s="1030">
        <f>IFERROR(INDEX(V719:AG719,1,MATCH(Parametres!$B$3,V$1:AG$1,0)-1)*IF(OR(C719="L",C719="S",C719="I"),-1,1),"")</f>
        <v>0</v>
      </c>
      <c r="AW719" s="1030">
        <f t="shared" si="47"/>
        <v>0</v>
      </c>
      <c r="AX719" s="1030">
        <f>INDEX(V719:AG719,1,MATCH(Parametres!$B$3,V$1:AG$1,0))*IF(OR(C719="L",C719="S",C719="I"),-1,1)</f>
        <v>0</v>
      </c>
      <c r="AY719" s="598" t="s">
        <v>337</v>
      </c>
      <c r="AZ719" s="598" t="e">
        <f>+VLOOKUP($AJ719,Data_Validation!$A:$E,5,0)</f>
        <v>#N/A</v>
      </c>
    </row>
    <row r="720" spans="36:52" ht="15" customHeight="1">
      <c r="AJ720" s="1030">
        <f t="shared" si="44"/>
        <v>0</v>
      </c>
      <c r="AK720" s="1030">
        <f t="shared" si="44"/>
        <v>0</v>
      </c>
      <c r="AL720" s="1030">
        <f>IFERROR(INDEX(G720:R720,1,MATCH(Parametres!$B$3,G$1:R$1,0)-1)*IF(OR(F720="L",F720="S",F720="I"),-1,1),"")</f>
        <v>0</v>
      </c>
      <c r="AM720" s="1030">
        <f t="shared" si="45"/>
        <v>0</v>
      </c>
      <c r="AN720" s="1030">
        <f>INDEX(G720:R720,1,MATCH(Parametres!$B$3,G$1:R$1,0))*IF(OR(F720="L",F720="S",F720="I"),-1,1)</f>
        <v>0</v>
      </c>
      <c r="AO720" s="598" t="e">
        <f>+VLOOKUP($AJ720,Data_Validation!$A:$D,1,0)</f>
        <v>#N/A</v>
      </c>
      <c r="AP720" s="598" t="e">
        <f>+VLOOKUP($AJ720,Data_Validation!$A:$D,3,0)</f>
        <v>#N/A</v>
      </c>
      <c r="AQ720" s="598" t="e">
        <f>+VLOOKUP($AJ720,Data_Validation!$A:$D,4,0)</f>
        <v>#N/A</v>
      </c>
      <c r="AR720" s="598" t="s">
        <v>299</v>
      </c>
      <c r="AS720" s="598" t="e">
        <f>+VLOOKUP($AJ720,Data_Validation!$A:$E,5,0)</f>
        <v>#N/A</v>
      </c>
      <c r="AT720" s="1036">
        <f t="shared" si="46"/>
        <v>0</v>
      </c>
      <c r="AU720" s="599">
        <f t="shared" si="46"/>
        <v>0</v>
      </c>
      <c r="AV720" s="1030">
        <f>IFERROR(INDEX(V720:AG720,1,MATCH(Parametres!$B$3,V$1:AG$1,0)-1)*IF(OR(C720="L",C720="S",C720="I"),-1,1),"")</f>
        <v>0</v>
      </c>
      <c r="AW720" s="1030">
        <f t="shared" si="47"/>
        <v>0</v>
      </c>
      <c r="AX720" s="1030">
        <f>INDEX(V720:AG720,1,MATCH(Parametres!$B$3,V$1:AG$1,0))*IF(OR(C720="L",C720="S",C720="I"),-1,1)</f>
        <v>0</v>
      </c>
      <c r="AY720" s="598" t="s">
        <v>337</v>
      </c>
      <c r="AZ720" s="598" t="e">
        <f>+VLOOKUP($AJ720,Data_Validation!$A:$E,5,0)</f>
        <v>#N/A</v>
      </c>
    </row>
    <row r="721" spans="36:52" ht="15" customHeight="1">
      <c r="AJ721" s="1030">
        <f t="shared" si="44"/>
        <v>0</v>
      </c>
      <c r="AK721" s="1030">
        <f t="shared" si="44"/>
        <v>0</v>
      </c>
      <c r="AL721" s="1030">
        <f>IFERROR(INDEX(G721:R721,1,MATCH(Parametres!$B$3,G$1:R$1,0)-1)*IF(OR(F721="L",F721="S",F721="I"),-1,1),"")</f>
        <v>0</v>
      </c>
      <c r="AM721" s="1030">
        <f t="shared" si="45"/>
        <v>0</v>
      </c>
      <c r="AN721" s="1030">
        <f>INDEX(G721:R721,1,MATCH(Parametres!$B$3,G$1:R$1,0))*IF(OR(F721="L",F721="S",F721="I"),-1,1)</f>
        <v>0</v>
      </c>
      <c r="AO721" s="598" t="e">
        <f>+VLOOKUP($AJ721,Data_Validation!$A:$D,1,0)</f>
        <v>#N/A</v>
      </c>
      <c r="AP721" s="598" t="e">
        <f>+VLOOKUP($AJ721,Data_Validation!$A:$D,3,0)</f>
        <v>#N/A</v>
      </c>
      <c r="AQ721" s="598" t="e">
        <f>+VLOOKUP($AJ721,Data_Validation!$A:$D,4,0)</f>
        <v>#N/A</v>
      </c>
      <c r="AR721" s="598" t="s">
        <v>299</v>
      </c>
      <c r="AS721" s="598" t="e">
        <f>+VLOOKUP($AJ721,Data_Validation!$A:$E,5,0)</f>
        <v>#N/A</v>
      </c>
      <c r="AT721" s="1036">
        <f t="shared" si="46"/>
        <v>0</v>
      </c>
      <c r="AU721" s="599">
        <f t="shared" si="46"/>
        <v>0</v>
      </c>
      <c r="AV721" s="1030">
        <f>IFERROR(INDEX(V721:AG721,1,MATCH(Parametres!$B$3,V$1:AG$1,0)-1)*IF(OR(C721="L",C721="S",C721="I"),-1,1),"")</f>
        <v>0</v>
      </c>
      <c r="AW721" s="1030">
        <f t="shared" si="47"/>
        <v>0</v>
      </c>
      <c r="AX721" s="1030">
        <f>INDEX(V721:AG721,1,MATCH(Parametres!$B$3,V$1:AG$1,0))*IF(OR(C721="L",C721="S",C721="I"),-1,1)</f>
        <v>0</v>
      </c>
      <c r="AY721" s="598" t="s">
        <v>337</v>
      </c>
      <c r="AZ721" s="598" t="e">
        <f>+VLOOKUP($AJ721,Data_Validation!$A:$E,5,0)</f>
        <v>#N/A</v>
      </c>
    </row>
    <row r="722" spans="36:52" ht="15" customHeight="1">
      <c r="AJ722" s="1030">
        <f t="shared" si="44"/>
        <v>0</v>
      </c>
      <c r="AK722" s="1030">
        <f t="shared" si="44"/>
        <v>0</v>
      </c>
      <c r="AL722" s="1030">
        <f>IFERROR(INDEX(G722:R722,1,MATCH(Parametres!$B$3,G$1:R$1,0)-1)*IF(OR(F722="L",F722="S",F722="I"),-1,1),"")</f>
        <v>0</v>
      </c>
      <c r="AM722" s="1030">
        <f t="shared" si="45"/>
        <v>0</v>
      </c>
      <c r="AN722" s="1030">
        <f>INDEX(G722:R722,1,MATCH(Parametres!$B$3,G$1:R$1,0))*IF(OR(F722="L",F722="S",F722="I"),-1,1)</f>
        <v>0</v>
      </c>
      <c r="AO722" s="598" t="e">
        <f>+VLOOKUP($AJ722,Data_Validation!$A:$D,1,0)</f>
        <v>#N/A</v>
      </c>
      <c r="AP722" s="598" t="e">
        <f>+VLOOKUP($AJ722,Data_Validation!$A:$D,3,0)</f>
        <v>#N/A</v>
      </c>
      <c r="AQ722" s="598" t="e">
        <f>+VLOOKUP($AJ722,Data_Validation!$A:$D,4,0)</f>
        <v>#N/A</v>
      </c>
      <c r="AR722" s="598" t="s">
        <v>299</v>
      </c>
      <c r="AS722" s="598" t="e">
        <f>+VLOOKUP($AJ722,Data_Validation!$A:$E,5,0)</f>
        <v>#N/A</v>
      </c>
      <c r="AT722" s="1036">
        <f t="shared" si="46"/>
        <v>0</v>
      </c>
      <c r="AU722" s="599">
        <f t="shared" si="46"/>
        <v>0</v>
      </c>
      <c r="AV722" s="1030">
        <f>IFERROR(INDEX(V722:AG722,1,MATCH(Parametres!$B$3,V$1:AG$1,0)-1)*IF(OR(C722="L",C722="S",C722="I"),-1,1),"")</f>
        <v>0</v>
      </c>
      <c r="AW722" s="1030">
        <f t="shared" si="47"/>
        <v>0</v>
      </c>
      <c r="AX722" s="1030">
        <f>INDEX(V722:AG722,1,MATCH(Parametres!$B$3,V$1:AG$1,0))*IF(OR(C722="L",C722="S",C722="I"),-1,1)</f>
        <v>0</v>
      </c>
      <c r="AY722" s="598" t="s">
        <v>337</v>
      </c>
      <c r="AZ722" s="598" t="e">
        <f>+VLOOKUP($AJ722,Data_Validation!$A:$E,5,0)</f>
        <v>#N/A</v>
      </c>
    </row>
    <row r="723" spans="36:52" ht="15" customHeight="1">
      <c r="AJ723" s="1030">
        <f t="shared" si="44"/>
        <v>0</v>
      </c>
      <c r="AK723" s="1030">
        <f t="shared" si="44"/>
        <v>0</v>
      </c>
      <c r="AL723" s="1030">
        <f>IFERROR(INDEX(G723:R723,1,MATCH(Parametres!$B$3,G$1:R$1,0)-1)*IF(OR(F723="L",F723="S",F723="I"),-1,1),"")</f>
        <v>0</v>
      </c>
      <c r="AM723" s="1030">
        <f t="shared" si="45"/>
        <v>0</v>
      </c>
      <c r="AN723" s="1030">
        <f>INDEX(G723:R723,1,MATCH(Parametres!$B$3,G$1:R$1,0))*IF(OR(F723="L",F723="S",F723="I"),-1,1)</f>
        <v>0</v>
      </c>
      <c r="AO723" s="598" t="e">
        <f>+VLOOKUP($AJ723,Data_Validation!$A:$D,1,0)</f>
        <v>#N/A</v>
      </c>
      <c r="AP723" s="598" t="e">
        <f>+VLOOKUP($AJ723,Data_Validation!$A:$D,3,0)</f>
        <v>#N/A</v>
      </c>
      <c r="AQ723" s="598" t="e">
        <f>+VLOOKUP($AJ723,Data_Validation!$A:$D,4,0)</f>
        <v>#N/A</v>
      </c>
      <c r="AR723" s="598" t="s">
        <v>299</v>
      </c>
      <c r="AS723" s="598" t="e">
        <f>+VLOOKUP($AJ723,Data_Validation!$A:$E,5,0)</f>
        <v>#N/A</v>
      </c>
      <c r="AT723" s="1036">
        <f t="shared" si="46"/>
        <v>0</v>
      </c>
      <c r="AU723" s="599">
        <f t="shared" si="46"/>
        <v>0</v>
      </c>
      <c r="AV723" s="1030">
        <f>IFERROR(INDEX(V723:AG723,1,MATCH(Parametres!$B$3,V$1:AG$1,0)-1)*IF(OR(C723="L",C723="S",C723="I"),-1,1),"")</f>
        <v>0</v>
      </c>
      <c r="AW723" s="1030">
        <f t="shared" si="47"/>
        <v>0</v>
      </c>
      <c r="AX723" s="1030">
        <f>INDEX(V723:AG723,1,MATCH(Parametres!$B$3,V$1:AG$1,0))*IF(OR(C723="L",C723="S",C723="I"),-1,1)</f>
        <v>0</v>
      </c>
      <c r="AY723" s="598" t="s">
        <v>337</v>
      </c>
      <c r="AZ723" s="598" t="e">
        <f>+VLOOKUP($AJ723,Data_Validation!$A:$E,5,0)</f>
        <v>#N/A</v>
      </c>
    </row>
    <row r="724" spans="36:52" ht="15" customHeight="1">
      <c r="AJ724" s="1030">
        <f t="shared" ref="AJ724:AK787" si="48">C724</f>
        <v>0</v>
      </c>
      <c r="AK724" s="1030">
        <f t="shared" si="48"/>
        <v>0</v>
      </c>
      <c r="AL724" s="1030">
        <f>IFERROR(INDEX(G724:R724,1,MATCH(Parametres!$B$3,G$1:R$1,0)-1)*IF(OR(F724="L",F724="S",F724="I"),-1,1),"")</f>
        <v>0</v>
      </c>
      <c r="AM724" s="1030">
        <f t="shared" si="45"/>
        <v>0</v>
      </c>
      <c r="AN724" s="1030">
        <f>INDEX(G724:R724,1,MATCH(Parametres!$B$3,G$1:R$1,0))*IF(OR(F724="L",F724="S",F724="I"),-1,1)</f>
        <v>0</v>
      </c>
      <c r="AO724" s="598" t="e">
        <f>+VLOOKUP($AJ724,Data_Validation!$A:$D,1,0)</f>
        <v>#N/A</v>
      </c>
      <c r="AP724" s="598" t="e">
        <f>+VLOOKUP($AJ724,Data_Validation!$A:$D,3,0)</f>
        <v>#N/A</v>
      </c>
      <c r="AQ724" s="598" t="e">
        <f>+VLOOKUP($AJ724,Data_Validation!$A:$D,4,0)</f>
        <v>#N/A</v>
      </c>
      <c r="AR724" s="598" t="s">
        <v>299</v>
      </c>
      <c r="AS724" s="598" t="e">
        <f>+VLOOKUP($AJ724,Data_Validation!$A:$E,5,0)</f>
        <v>#N/A</v>
      </c>
      <c r="AT724" s="1036">
        <f t="shared" si="46"/>
        <v>0</v>
      </c>
      <c r="AU724" s="599">
        <f t="shared" si="46"/>
        <v>0</v>
      </c>
      <c r="AV724" s="1030">
        <f>IFERROR(INDEX(V724:AG724,1,MATCH(Parametres!$B$3,V$1:AG$1,0)-1)*IF(OR(C724="L",C724="S",C724="I"),-1,1),"")</f>
        <v>0</v>
      </c>
      <c r="AW724" s="1030">
        <f t="shared" si="47"/>
        <v>0</v>
      </c>
      <c r="AX724" s="1030">
        <f>INDEX(V724:AG724,1,MATCH(Parametres!$B$3,V$1:AG$1,0))*IF(OR(C724="L",C724="S",C724="I"),-1,1)</f>
        <v>0</v>
      </c>
      <c r="AY724" s="598" t="s">
        <v>337</v>
      </c>
      <c r="AZ724" s="598" t="e">
        <f>+VLOOKUP($AJ724,Data_Validation!$A:$E,5,0)</f>
        <v>#N/A</v>
      </c>
    </row>
    <row r="725" spans="36:52" ht="15" customHeight="1">
      <c r="AJ725" s="1030">
        <f t="shared" si="48"/>
        <v>0</v>
      </c>
      <c r="AK725" s="1030">
        <f t="shared" si="48"/>
        <v>0</v>
      </c>
      <c r="AL725" s="1030">
        <f>IFERROR(INDEX(G725:R725,1,MATCH(Parametres!$B$3,G$1:R$1,0)-1)*IF(OR(F725="L",F725="S",F725="I"),-1,1),"")</f>
        <v>0</v>
      </c>
      <c r="AM725" s="1030">
        <f t="shared" si="45"/>
        <v>0</v>
      </c>
      <c r="AN725" s="1030">
        <f>INDEX(G725:R725,1,MATCH(Parametres!$B$3,G$1:R$1,0))*IF(OR(F725="L",F725="S",F725="I"),-1,1)</f>
        <v>0</v>
      </c>
      <c r="AO725" s="598" t="e">
        <f>+VLOOKUP($AJ725,Data_Validation!$A:$D,1,0)</f>
        <v>#N/A</v>
      </c>
      <c r="AP725" s="598" t="e">
        <f>+VLOOKUP($AJ725,Data_Validation!$A:$D,3,0)</f>
        <v>#N/A</v>
      </c>
      <c r="AQ725" s="598" t="e">
        <f>+VLOOKUP($AJ725,Data_Validation!$A:$D,4,0)</f>
        <v>#N/A</v>
      </c>
      <c r="AR725" s="598" t="s">
        <v>299</v>
      </c>
      <c r="AS725" s="598" t="e">
        <f>+VLOOKUP($AJ725,Data_Validation!$A:$E,5,0)</f>
        <v>#N/A</v>
      </c>
      <c r="AT725" s="1036">
        <f t="shared" si="46"/>
        <v>0</v>
      </c>
      <c r="AU725" s="599">
        <f t="shared" si="46"/>
        <v>0</v>
      </c>
      <c r="AV725" s="1030">
        <f>IFERROR(INDEX(V725:AG725,1,MATCH(Parametres!$B$3,V$1:AG$1,0)-1)*IF(OR(C725="L",C725="S",C725="I"),-1,1),"")</f>
        <v>0</v>
      </c>
      <c r="AW725" s="1030">
        <f t="shared" si="47"/>
        <v>0</v>
      </c>
      <c r="AX725" s="1030">
        <f>INDEX(V725:AG725,1,MATCH(Parametres!$B$3,V$1:AG$1,0))*IF(OR(C725="L",C725="S",C725="I"),-1,1)</f>
        <v>0</v>
      </c>
      <c r="AY725" s="598" t="s">
        <v>337</v>
      </c>
      <c r="AZ725" s="598" t="e">
        <f>+VLOOKUP($AJ725,Data_Validation!$A:$E,5,0)</f>
        <v>#N/A</v>
      </c>
    </row>
    <row r="726" spans="36:52" ht="15" customHeight="1">
      <c r="AJ726" s="1030">
        <f t="shared" si="48"/>
        <v>0</v>
      </c>
      <c r="AK726" s="1030">
        <f t="shared" si="48"/>
        <v>0</v>
      </c>
      <c r="AL726" s="1030">
        <f>IFERROR(INDEX(G726:R726,1,MATCH(Parametres!$B$3,G$1:R$1,0)-1)*IF(OR(F726="L",F726="S",F726="I"),-1,1),"")</f>
        <v>0</v>
      </c>
      <c r="AM726" s="1030">
        <f t="shared" si="45"/>
        <v>0</v>
      </c>
      <c r="AN726" s="1030">
        <f>INDEX(G726:R726,1,MATCH(Parametres!$B$3,G$1:R$1,0))*IF(OR(F726="L",F726="S",F726="I"),-1,1)</f>
        <v>0</v>
      </c>
      <c r="AO726" s="598" t="e">
        <f>+VLOOKUP($AJ726,Data_Validation!$A:$D,1,0)</f>
        <v>#N/A</v>
      </c>
      <c r="AP726" s="598" t="e">
        <f>+VLOOKUP($AJ726,Data_Validation!$A:$D,3,0)</f>
        <v>#N/A</v>
      </c>
      <c r="AQ726" s="598" t="e">
        <f>+VLOOKUP($AJ726,Data_Validation!$A:$D,4,0)</f>
        <v>#N/A</v>
      </c>
      <c r="AR726" s="598" t="s">
        <v>299</v>
      </c>
      <c r="AS726" s="598" t="e">
        <f>+VLOOKUP($AJ726,Data_Validation!$A:$E,5,0)</f>
        <v>#N/A</v>
      </c>
      <c r="AT726" s="1036">
        <f t="shared" si="46"/>
        <v>0</v>
      </c>
      <c r="AU726" s="599">
        <f t="shared" si="46"/>
        <v>0</v>
      </c>
      <c r="AV726" s="1030">
        <f>IFERROR(INDEX(V726:AG726,1,MATCH(Parametres!$B$3,V$1:AG$1,0)-1)*IF(OR(C726="L",C726="S",C726="I"),-1,1),"")</f>
        <v>0</v>
      </c>
      <c r="AW726" s="1030">
        <f t="shared" si="47"/>
        <v>0</v>
      </c>
      <c r="AX726" s="1030">
        <f>INDEX(V726:AG726,1,MATCH(Parametres!$B$3,V$1:AG$1,0))*IF(OR(C726="L",C726="S",C726="I"),-1,1)</f>
        <v>0</v>
      </c>
      <c r="AY726" s="598" t="s">
        <v>337</v>
      </c>
      <c r="AZ726" s="598" t="e">
        <f>+VLOOKUP($AJ726,Data_Validation!$A:$E,5,0)</f>
        <v>#N/A</v>
      </c>
    </row>
    <row r="727" spans="36:52" ht="15" customHeight="1">
      <c r="AJ727" s="1030">
        <f t="shared" si="48"/>
        <v>0</v>
      </c>
      <c r="AK727" s="1030">
        <f t="shared" si="48"/>
        <v>0</v>
      </c>
      <c r="AL727" s="1030">
        <f>IFERROR(INDEX(G727:R727,1,MATCH(Parametres!$B$3,G$1:R$1,0)-1)*IF(OR(F727="L",F727="S",F727="I"),-1,1),"")</f>
        <v>0</v>
      </c>
      <c r="AM727" s="1030">
        <f t="shared" si="45"/>
        <v>0</v>
      </c>
      <c r="AN727" s="1030">
        <f>INDEX(G727:R727,1,MATCH(Parametres!$B$3,G$1:R$1,0))*IF(OR(F727="L",F727="S",F727="I"),-1,1)</f>
        <v>0</v>
      </c>
      <c r="AO727" s="598" t="e">
        <f>+VLOOKUP($AJ727,Data_Validation!$A:$D,1,0)</f>
        <v>#N/A</v>
      </c>
      <c r="AP727" s="598" t="e">
        <f>+VLOOKUP($AJ727,Data_Validation!$A:$D,3,0)</f>
        <v>#N/A</v>
      </c>
      <c r="AQ727" s="598" t="e">
        <f>+VLOOKUP($AJ727,Data_Validation!$A:$D,4,0)</f>
        <v>#N/A</v>
      </c>
      <c r="AR727" s="598" t="s">
        <v>299</v>
      </c>
      <c r="AS727" s="598" t="e">
        <f>+VLOOKUP($AJ727,Data_Validation!$A:$E,5,0)</f>
        <v>#N/A</v>
      </c>
      <c r="AT727" s="1036">
        <f t="shared" si="46"/>
        <v>0</v>
      </c>
      <c r="AU727" s="599">
        <f t="shared" si="46"/>
        <v>0</v>
      </c>
      <c r="AV727" s="1030">
        <f>IFERROR(INDEX(V727:AG727,1,MATCH(Parametres!$B$3,V$1:AG$1,0)-1)*IF(OR(C727="L",C727="S",C727="I"),-1,1),"")</f>
        <v>0</v>
      </c>
      <c r="AW727" s="1030">
        <f t="shared" si="47"/>
        <v>0</v>
      </c>
      <c r="AX727" s="1030">
        <f>INDEX(V727:AG727,1,MATCH(Parametres!$B$3,V$1:AG$1,0))*IF(OR(C727="L",C727="S",C727="I"),-1,1)</f>
        <v>0</v>
      </c>
      <c r="AY727" s="598" t="s">
        <v>337</v>
      </c>
      <c r="AZ727" s="598" t="e">
        <f>+VLOOKUP($AJ727,Data_Validation!$A:$E,5,0)</f>
        <v>#N/A</v>
      </c>
    </row>
    <row r="728" spans="36:52" ht="15" customHeight="1">
      <c r="AJ728" s="1030">
        <f t="shared" si="48"/>
        <v>0</v>
      </c>
      <c r="AK728" s="1030">
        <f t="shared" si="48"/>
        <v>0</v>
      </c>
      <c r="AL728" s="1030">
        <f>IFERROR(INDEX(G728:R728,1,MATCH(Parametres!$B$3,G$1:R$1,0)-1)*IF(OR(F728="L",F728="S",F728="I"),-1,1),"")</f>
        <v>0</v>
      </c>
      <c r="AM728" s="1030">
        <f t="shared" si="45"/>
        <v>0</v>
      </c>
      <c r="AN728" s="1030">
        <f>INDEX(G728:R728,1,MATCH(Parametres!$B$3,G$1:R$1,0))*IF(OR(F728="L",F728="S",F728="I"),-1,1)</f>
        <v>0</v>
      </c>
      <c r="AO728" s="598" t="e">
        <f>+VLOOKUP($AJ728,Data_Validation!$A:$D,1,0)</f>
        <v>#N/A</v>
      </c>
      <c r="AP728" s="598" t="e">
        <f>+VLOOKUP($AJ728,Data_Validation!$A:$D,3,0)</f>
        <v>#N/A</v>
      </c>
      <c r="AQ728" s="598" t="e">
        <f>+VLOOKUP($AJ728,Data_Validation!$A:$D,4,0)</f>
        <v>#N/A</v>
      </c>
      <c r="AR728" s="598" t="s">
        <v>299</v>
      </c>
      <c r="AS728" s="598" t="e">
        <f>+VLOOKUP($AJ728,Data_Validation!$A:$E,5,0)</f>
        <v>#N/A</v>
      </c>
      <c r="AT728" s="1036">
        <f t="shared" si="46"/>
        <v>0</v>
      </c>
      <c r="AU728" s="599">
        <f t="shared" si="46"/>
        <v>0</v>
      </c>
      <c r="AV728" s="1030">
        <f>IFERROR(INDEX(V728:AG728,1,MATCH(Parametres!$B$3,V$1:AG$1,0)-1)*IF(OR(C728="L",C728="S",C728="I"),-1,1),"")</f>
        <v>0</v>
      </c>
      <c r="AW728" s="1030">
        <f t="shared" si="47"/>
        <v>0</v>
      </c>
      <c r="AX728" s="1030">
        <f>INDEX(V728:AG728,1,MATCH(Parametres!$B$3,V$1:AG$1,0))*IF(OR(C728="L",C728="S",C728="I"),-1,1)</f>
        <v>0</v>
      </c>
      <c r="AY728" s="598" t="s">
        <v>337</v>
      </c>
      <c r="AZ728" s="598" t="e">
        <f>+VLOOKUP($AJ728,Data_Validation!$A:$E,5,0)</f>
        <v>#N/A</v>
      </c>
    </row>
    <row r="729" spans="36:52" ht="15" customHeight="1">
      <c r="AJ729" s="1030">
        <f t="shared" si="48"/>
        <v>0</v>
      </c>
      <c r="AK729" s="1030">
        <f t="shared" si="48"/>
        <v>0</v>
      </c>
      <c r="AL729" s="1030">
        <f>IFERROR(INDEX(G729:R729,1,MATCH(Parametres!$B$3,G$1:R$1,0)-1)*IF(OR(F729="L",F729="S",F729="I"),-1,1),"")</f>
        <v>0</v>
      </c>
      <c r="AM729" s="1030">
        <f t="shared" si="45"/>
        <v>0</v>
      </c>
      <c r="AN729" s="1030">
        <f>INDEX(G729:R729,1,MATCH(Parametres!$B$3,G$1:R$1,0))*IF(OR(F729="L",F729="S",F729="I"),-1,1)</f>
        <v>0</v>
      </c>
      <c r="AO729" s="598" t="e">
        <f>+VLOOKUP($AJ729,Data_Validation!$A:$D,1,0)</f>
        <v>#N/A</v>
      </c>
      <c r="AP729" s="598" t="e">
        <f>+VLOOKUP($AJ729,Data_Validation!$A:$D,3,0)</f>
        <v>#N/A</v>
      </c>
      <c r="AQ729" s="598" t="e">
        <f>+VLOOKUP($AJ729,Data_Validation!$A:$D,4,0)</f>
        <v>#N/A</v>
      </c>
      <c r="AR729" s="598" t="s">
        <v>299</v>
      </c>
      <c r="AS729" s="598" t="e">
        <f>+VLOOKUP($AJ729,Data_Validation!$A:$E,5,0)</f>
        <v>#N/A</v>
      </c>
      <c r="AT729" s="1036">
        <f t="shared" si="46"/>
        <v>0</v>
      </c>
      <c r="AU729" s="599">
        <f t="shared" si="46"/>
        <v>0</v>
      </c>
      <c r="AV729" s="1030">
        <f>IFERROR(INDEX(V729:AG729,1,MATCH(Parametres!$B$3,V$1:AG$1,0)-1)*IF(OR(C729="L",C729="S",C729="I"),-1,1),"")</f>
        <v>0</v>
      </c>
      <c r="AW729" s="1030">
        <f t="shared" si="47"/>
        <v>0</v>
      </c>
      <c r="AX729" s="1030">
        <f>INDEX(V729:AG729,1,MATCH(Parametres!$B$3,V$1:AG$1,0))*IF(OR(C729="L",C729="S",C729="I"),-1,1)</f>
        <v>0</v>
      </c>
      <c r="AY729" s="598" t="s">
        <v>337</v>
      </c>
      <c r="AZ729" s="598" t="e">
        <f>+VLOOKUP($AJ729,Data_Validation!$A:$E,5,0)</f>
        <v>#N/A</v>
      </c>
    </row>
    <row r="730" spans="36:52" ht="15" customHeight="1">
      <c r="AJ730" s="1030">
        <f t="shared" si="48"/>
        <v>0</v>
      </c>
      <c r="AK730" s="1030">
        <f t="shared" si="48"/>
        <v>0</v>
      </c>
      <c r="AL730" s="1030">
        <f>IFERROR(INDEX(G730:R730,1,MATCH(Parametres!$B$3,G$1:R$1,0)-1)*IF(OR(F730="L",F730="S",F730="I"),-1,1),"")</f>
        <v>0</v>
      </c>
      <c r="AM730" s="1030">
        <f t="shared" si="45"/>
        <v>0</v>
      </c>
      <c r="AN730" s="1030">
        <f>INDEX(G730:R730,1,MATCH(Parametres!$B$3,G$1:R$1,0))*IF(OR(F730="L",F730="S",F730="I"),-1,1)</f>
        <v>0</v>
      </c>
      <c r="AO730" s="598" t="e">
        <f>+VLOOKUP($AJ730,Data_Validation!$A:$D,1,0)</f>
        <v>#N/A</v>
      </c>
      <c r="AP730" s="598" t="e">
        <f>+VLOOKUP($AJ730,Data_Validation!$A:$D,3,0)</f>
        <v>#N/A</v>
      </c>
      <c r="AQ730" s="598" t="e">
        <f>+VLOOKUP($AJ730,Data_Validation!$A:$D,4,0)</f>
        <v>#N/A</v>
      </c>
      <c r="AR730" s="598" t="s">
        <v>299</v>
      </c>
      <c r="AS730" s="598" t="e">
        <f>+VLOOKUP($AJ730,Data_Validation!$A:$E,5,0)</f>
        <v>#N/A</v>
      </c>
      <c r="AT730" s="1036">
        <f t="shared" si="46"/>
        <v>0</v>
      </c>
      <c r="AU730" s="599">
        <f t="shared" si="46"/>
        <v>0</v>
      </c>
      <c r="AV730" s="1030">
        <f>IFERROR(INDEX(V730:AG730,1,MATCH(Parametres!$B$3,V$1:AG$1,0)-1)*IF(OR(C730="L",C730="S",C730="I"),-1,1),"")</f>
        <v>0</v>
      </c>
      <c r="AW730" s="1030">
        <f t="shared" si="47"/>
        <v>0</v>
      </c>
      <c r="AX730" s="1030">
        <f>INDEX(V730:AG730,1,MATCH(Parametres!$B$3,V$1:AG$1,0))*IF(OR(C730="L",C730="S",C730="I"),-1,1)</f>
        <v>0</v>
      </c>
      <c r="AY730" s="598" t="s">
        <v>337</v>
      </c>
      <c r="AZ730" s="598" t="e">
        <f>+VLOOKUP($AJ730,Data_Validation!$A:$E,5,0)</f>
        <v>#N/A</v>
      </c>
    </row>
    <row r="731" spans="36:52" ht="15" customHeight="1">
      <c r="AJ731" s="1030">
        <f t="shared" si="48"/>
        <v>0</v>
      </c>
      <c r="AK731" s="1030">
        <f t="shared" si="48"/>
        <v>0</v>
      </c>
      <c r="AL731" s="1030">
        <f>IFERROR(INDEX(G731:R731,1,MATCH(Parametres!$B$3,G$1:R$1,0)-1)*IF(OR(F731="L",F731="S",F731="I"),-1,1),"")</f>
        <v>0</v>
      </c>
      <c r="AM731" s="1030">
        <f t="shared" si="45"/>
        <v>0</v>
      </c>
      <c r="AN731" s="1030">
        <f>INDEX(G731:R731,1,MATCH(Parametres!$B$3,G$1:R$1,0))*IF(OR(F731="L",F731="S",F731="I"),-1,1)</f>
        <v>0</v>
      </c>
      <c r="AO731" s="598" t="e">
        <f>+VLOOKUP($AJ731,Data_Validation!$A:$D,1,0)</f>
        <v>#N/A</v>
      </c>
      <c r="AP731" s="598" t="e">
        <f>+VLOOKUP($AJ731,Data_Validation!$A:$D,3,0)</f>
        <v>#N/A</v>
      </c>
      <c r="AQ731" s="598" t="e">
        <f>+VLOOKUP($AJ731,Data_Validation!$A:$D,4,0)</f>
        <v>#N/A</v>
      </c>
      <c r="AR731" s="598" t="s">
        <v>299</v>
      </c>
      <c r="AS731" s="598" t="e">
        <f>+VLOOKUP($AJ731,Data_Validation!$A:$E,5,0)</f>
        <v>#N/A</v>
      </c>
      <c r="AT731" s="1036">
        <f t="shared" si="46"/>
        <v>0</v>
      </c>
      <c r="AU731" s="599">
        <f t="shared" si="46"/>
        <v>0</v>
      </c>
      <c r="AV731" s="1030">
        <f>IFERROR(INDEX(V731:AG731,1,MATCH(Parametres!$B$3,V$1:AG$1,0)-1)*IF(OR(C731="L",C731="S",C731="I"),-1,1),"")</f>
        <v>0</v>
      </c>
      <c r="AW731" s="1030">
        <f t="shared" si="47"/>
        <v>0</v>
      </c>
      <c r="AX731" s="1030">
        <f>INDEX(V731:AG731,1,MATCH(Parametres!$B$3,V$1:AG$1,0))*IF(OR(C731="L",C731="S",C731="I"),-1,1)</f>
        <v>0</v>
      </c>
      <c r="AY731" s="598" t="s">
        <v>337</v>
      </c>
      <c r="AZ731" s="598" t="e">
        <f>+VLOOKUP($AJ731,Data_Validation!$A:$E,5,0)</f>
        <v>#N/A</v>
      </c>
    </row>
    <row r="732" spans="36:52" ht="15" customHeight="1">
      <c r="AJ732" s="1030">
        <f t="shared" si="48"/>
        <v>0</v>
      </c>
      <c r="AK732" s="1030">
        <f t="shared" si="48"/>
        <v>0</v>
      </c>
      <c r="AL732" s="1030">
        <f>IFERROR(INDEX(G732:R732,1,MATCH(Parametres!$B$3,G$1:R$1,0)-1)*IF(OR(F732="L",F732="S",F732="I"),-1,1),"")</f>
        <v>0</v>
      </c>
      <c r="AM732" s="1030">
        <f t="shared" si="45"/>
        <v>0</v>
      </c>
      <c r="AN732" s="1030">
        <f>INDEX(G732:R732,1,MATCH(Parametres!$B$3,G$1:R$1,0))*IF(OR(F732="L",F732="S",F732="I"),-1,1)</f>
        <v>0</v>
      </c>
      <c r="AO732" s="598" t="e">
        <f>+VLOOKUP($AJ732,Data_Validation!$A:$D,1,0)</f>
        <v>#N/A</v>
      </c>
      <c r="AP732" s="598" t="e">
        <f>+VLOOKUP($AJ732,Data_Validation!$A:$D,3,0)</f>
        <v>#N/A</v>
      </c>
      <c r="AQ732" s="598" t="e">
        <f>+VLOOKUP($AJ732,Data_Validation!$A:$D,4,0)</f>
        <v>#N/A</v>
      </c>
      <c r="AR732" s="598" t="s">
        <v>299</v>
      </c>
      <c r="AS732" s="598" t="e">
        <f>+VLOOKUP($AJ732,Data_Validation!$A:$E,5,0)</f>
        <v>#N/A</v>
      </c>
      <c r="AT732" s="1036">
        <f t="shared" si="46"/>
        <v>0</v>
      </c>
      <c r="AU732" s="599">
        <f t="shared" si="46"/>
        <v>0</v>
      </c>
      <c r="AV732" s="1030">
        <f>IFERROR(INDEX(V732:AG732,1,MATCH(Parametres!$B$3,V$1:AG$1,0)-1)*IF(OR(C732="L",C732="S",C732="I"),-1,1),"")</f>
        <v>0</v>
      </c>
      <c r="AW732" s="1030">
        <f t="shared" si="47"/>
        <v>0</v>
      </c>
      <c r="AX732" s="1030">
        <f>INDEX(V732:AG732,1,MATCH(Parametres!$B$3,V$1:AG$1,0))*IF(OR(C732="L",C732="S",C732="I"),-1,1)</f>
        <v>0</v>
      </c>
      <c r="AY732" s="598" t="s">
        <v>337</v>
      </c>
      <c r="AZ732" s="598" t="e">
        <f>+VLOOKUP($AJ732,Data_Validation!$A:$E,5,0)</f>
        <v>#N/A</v>
      </c>
    </row>
    <row r="733" spans="36:52" ht="15" customHeight="1">
      <c r="AJ733" s="1030">
        <f t="shared" si="48"/>
        <v>0</v>
      </c>
      <c r="AK733" s="1030">
        <f t="shared" si="48"/>
        <v>0</v>
      </c>
      <c r="AL733" s="1030">
        <f>IFERROR(INDEX(G733:R733,1,MATCH(Parametres!$B$3,G$1:R$1,0)-1)*IF(OR(F733="L",F733="S",F733="I"),-1,1),"")</f>
        <v>0</v>
      </c>
      <c r="AM733" s="1030">
        <f t="shared" si="45"/>
        <v>0</v>
      </c>
      <c r="AN733" s="1030">
        <f>INDEX(G733:R733,1,MATCH(Parametres!$B$3,G$1:R$1,0))*IF(OR(F733="L",F733="S",F733="I"),-1,1)</f>
        <v>0</v>
      </c>
      <c r="AO733" s="598" t="e">
        <f>+VLOOKUP($AJ733,Data_Validation!$A:$D,1,0)</f>
        <v>#N/A</v>
      </c>
      <c r="AP733" s="598" t="e">
        <f>+VLOOKUP($AJ733,Data_Validation!$A:$D,3,0)</f>
        <v>#N/A</v>
      </c>
      <c r="AQ733" s="598" t="e">
        <f>+VLOOKUP($AJ733,Data_Validation!$A:$D,4,0)</f>
        <v>#N/A</v>
      </c>
      <c r="AR733" s="598" t="s">
        <v>299</v>
      </c>
      <c r="AS733" s="598" t="e">
        <f>+VLOOKUP($AJ733,Data_Validation!$A:$E,5,0)</f>
        <v>#N/A</v>
      </c>
      <c r="AT733" s="1036">
        <f t="shared" si="46"/>
        <v>0</v>
      </c>
      <c r="AU733" s="599">
        <f t="shared" si="46"/>
        <v>0</v>
      </c>
      <c r="AV733" s="1030">
        <f>IFERROR(INDEX(V733:AG733,1,MATCH(Parametres!$B$3,V$1:AG$1,0)-1)*IF(OR(C733="L",C733="S",C733="I"),-1,1),"")</f>
        <v>0</v>
      </c>
      <c r="AW733" s="1030">
        <f t="shared" si="47"/>
        <v>0</v>
      </c>
      <c r="AX733" s="1030">
        <f>INDEX(V733:AG733,1,MATCH(Parametres!$B$3,V$1:AG$1,0))*IF(OR(C733="L",C733="S",C733="I"),-1,1)</f>
        <v>0</v>
      </c>
      <c r="AY733" s="598" t="s">
        <v>337</v>
      </c>
      <c r="AZ733" s="598" t="e">
        <f>+VLOOKUP($AJ733,Data_Validation!$A:$E,5,0)</f>
        <v>#N/A</v>
      </c>
    </row>
    <row r="734" spans="36:52" ht="15" customHeight="1">
      <c r="AJ734" s="1030">
        <f t="shared" si="48"/>
        <v>0</v>
      </c>
      <c r="AK734" s="1030">
        <f t="shared" si="48"/>
        <v>0</v>
      </c>
      <c r="AL734" s="1030">
        <f>IFERROR(INDEX(G734:R734,1,MATCH(Parametres!$B$3,G$1:R$1,0)-1)*IF(OR(F734="L",F734="S",F734="I"),-1,1),"")</f>
        <v>0</v>
      </c>
      <c r="AM734" s="1030">
        <f t="shared" si="45"/>
        <v>0</v>
      </c>
      <c r="AN734" s="1030">
        <f>INDEX(G734:R734,1,MATCH(Parametres!$B$3,G$1:R$1,0))*IF(OR(F734="L",F734="S",F734="I"),-1,1)</f>
        <v>0</v>
      </c>
      <c r="AO734" s="598" t="e">
        <f>+VLOOKUP($AJ734,Data_Validation!$A:$D,1,0)</f>
        <v>#N/A</v>
      </c>
      <c r="AP734" s="598" t="e">
        <f>+VLOOKUP($AJ734,Data_Validation!$A:$D,3,0)</f>
        <v>#N/A</v>
      </c>
      <c r="AQ734" s="598" t="e">
        <f>+VLOOKUP($AJ734,Data_Validation!$A:$D,4,0)</f>
        <v>#N/A</v>
      </c>
      <c r="AR734" s="598" t="s">
        <v>299</v>
      </c>
      <c r="AS734" s="598" t="e">
        <f>+VLOOKUP($AJ734,Data_Validation!$A:$E,5,0)</f>
        <v>#N/A</v>
      </c>
      <c r="AT734" s="1036">
        <f t="shared" si="46"/>
        <v>0</v>
      </c>
      <c r="AU734" s="599">
        <f t="shared" si="46"/>
        <v>0</v>
      </c>
      <c r="AV734" s="1030">
        <f>IFERROR(INDEX(V734:AG734,1,MATCH(Parametres!$B$3,V$1:AG$1,0)-1)*IF(OR(C734="L",C734="S",C734="I"),-1,1),"")</f>
        <v>0</v>
      </c>
      <c r="AW734" s="1030">
        <f t="shared" si="47"/>
        <v>0</v>
      </c>
      <c r="AX734" s="1030">
        <f>INDEX(V734:AG734,1,MATCH(Parametres!$B$3,V$1:AG$1,0))*IF(OR(C734="L",C734="S",C734="I"),-1,1)</f>
        <v>0</v>
      </c>
      <c r="AY734" s="598" t="s">
        <v>337</v>
      </c>
      <c r="AZ734" s="598" t="e">
        <f>+VLOOKUP($AJ734,Data_Validation!$A:$E,5,0)</f>
        <v>#N/A</v>
      </c>
    </row>
    <row r="735" spans="36:52" ht="15" customHeight="1">
      <c r="AJ735" s="1030">
        <f t="shared" si="48"/>
        <v>0</v>
      </c>
      <c r="AK735" s="1030">
        <f t="shared" si="48"/>
        <v>0</v>
      </c>
      <c r="AL735" s="1030">
        <f>IFERROR(INDEX(G735:R735,1,MATCH(Parametres!$B$3,G$1:R$1,0)-1)*IF(OR(F735="L",F735="S",F735="I"),-1,1),"")</f>
        <v>0</v>
      </c>
      <c r="AM735" s="1030">
        <f t="shared" si="45"/>
        <v>0</v>
      </c>
      <c r="AN735" s="1030">
        <f>INDEX(G735:R735,1,MATCH(Parametres!$B$3,G$1:R$1,0))*IF(OR(F735="L",F735="S",F735="I"),-1,1)</f>
        <v>0</v>
      </c>
      <c r="AO735" s="598" t="e">
        <f>+VLOOKUP($AJ735,Data_Validation!$A:$D,1,0)</f>
        <v>#N/A</v>
      </c>
      <c r="AP735" s="598" t="e">
        <f>+VLOOKUP($AJ735,Data_Validation!$A:$D,3,0)</f>
        <v>#N/A</v>
      </c>
      <c r="AQ735" s="598" t="e">
        <f>+VLOOKUP($AJ735,Data_Validation!$A:$D,4,0)</f>
        <v>#N/A</v>
      </c>
      <c r="AR735" s="598" t="s">
        <v>299</v>
      </c>
      <c r="AS735" s="598" t="e">
        <f>+VLOOKUP($AJ735,Data_Validation!$A:$E,5,0)</f>
        <v>#N/A</v>
      </c>
      <c r="AT735" s="1036">
        <f t="shared" si="46"/>
        <v>0</v>
      </c>
      <c r="AU735" s="599">
        <f t="shared" si="46"/>
        <v>0</v>
      </c>
      <c r="AV735" s="1030">
        <f>IFERROR(INDEX(V735:AG735,1,MATCH(Parametres!$B$3,V$1:AG$1,0)-1)*IF(OR(C735="L",C735="S",C735="I"),-1,1),"")</f>
        <v>0</v>
      </c>
      <c r="AW735" s="1030">
        <f t="shared" si="47"/>
        <v>0</v>
      </c>
      <c r="AX735" s="1030">
        <f>INDEX(V735:AG735,1,MATCH(Parametres!$B$3,V$1:AG$1,0))*IF(OR(C735="L",C735="S",C735="I"),-1,1)</f>
        <v>0</v>
      </c>
      <c r="AY735" s="598" t="s">
        <v>337</v>
      </c>
      <c r="AZ735" s="598" t="e">
        <f>+VLOOKUP($AJ735,Data_Validation!$A:$E,5,0)</f>
        <v>#N/A</v>
      </c>
    </row>
    <row r="736" spans="36:52" ht="15" customHeight="1">
      <c r="AJ736" s="1030">
        <f t="shared" si="48"/>
        <v>0</v>
      </c>
      <c r="AK736" s="1030">
        <f t="shared" si="48"/>
        <v>0</v>
      </c>
      <c r="AL736" s="1030">
        <f>IFERROR(INDEX(G736:R736,1,MATCH(Parametres!$B$3,G$1:R$1,0)-1)*IF(OR(F736="L",F736="S",F736="I"),-1,1),"")</f>
        <v>0</v>
      </c>
      <c r="AM736" s="1030">
        <f t="shared" si="45"/>
        <v>0</v>
      </c>
      <c r="AN736" s="1030">
        <f>INDEX(G736:R736,1,MATCH(Parametres!$B$3,G$1:R$1,0))*IF(OR(F736="L",F736="S",F736="I"),-1,1)</f>
        <v>0</v>
      </c>
      <c r="AO736" s="598" t="e">
        <f>+VLOOKUP($AJ736,Data_Validation!$A:$D,1,0)</f>
        <v>#N/A</v>
      </c>
      <c r="AP736" s="598" t="e">
        <f>+VLOOKUP($AJ736,Data_Validation!$A:$D,3,0)</f>
        <v>#N/A</v>
      </c>
      <c r="AQ736" s="598" t="e">
        <f>+VLOOKUP($AJ736,Data_Validation!$A:$D,4,0)</f>
        <v>#N/A</v>
      </c>
      <c r="AR736" s="598" t="s">
        <v>299</v>
      </c>
      <c r="AS736" s="598" t="e">
        <f>+VLOOKUP($AJ736,Data_Validation!$A:$E,5,0)</f>
        <v>#N/A</v>
      </c>
      <c r="AT736" s="1036">
        <f t="shared" si="46"/>
        <v>0</v>
      </c>
      <c r="AU736" s="599">
        <f t="shared" si="46"/>
        <v>0</v>
      </c>
      <c r="AV736" s="1030">
        <f>IFERROR(INDEX(V736:AG736,1,MATCH(Parametres!$B$3,V$1:AG$1,0)-1)*IF(OR(C736="L",C736="S",C736="I"),-1,1),"")</f>
        <v>0</v>
      </c>
      <c r="AW736" s="1030">
        <f t="shared" si="47"/>
        <v>0</v>
      </c>
      <c r="AX736" s="1030">
        <f>INDEX(V736:AG736,1,MATCH(Parametres!$B$3,V$1:AG$1,0))*IF(OR(C736="L",C736="S",C736="I"),-1,1)</f>
        <v>0</v>
      </c>
      <c r="AY736" s="598" t="s">
        <v>337</v>
      </c>
      <c r="AZ736" s="598" t="e">
        <f>+VLOOKUP($AJ736,Data_Validation!$A:$E,5,0)</f>
        <v>#N/A</v>
      </c>
    </row>
    <row r="737" spans="36:52" ht="15" customHeight="1">
      <c r="AJ737" s="1030">
        <f t="shared" si="48"/>
        <v>0</v>
      </c>
      <c r="AK737" s="1030">
        <f t="shared" si="48"/>
        <v>0</v>
      </c>
      <c r="AL737" s="1030">
        <f>IFERROR(INDEX(G737:R737,1,MATCH(Parametres!$B$3,G$1:R$1,0)-1)*IF(OR(F737="L",F737="S",F737="I"),-1,1),"")</f>
        <v>0</v>
      </c>
      <c r="AM737" s="1030">
        <f t="shared" si="45"/>
        <v>0</v>
      </c>
      <c r="AN737" s="1030">
        <f>INDEX(G737:R737,1,MATCH(Parametres!$B$3,G$1:R$1,0))*IF(OR(F737="L",F737="S",F737="I"),-1,1)</f>
        <v>0</v>
      </c>
      <c r="AO737" s="598" t="e">
        <f>+VLOOKUP($AJ737,Data_Validation!$A:$D,1,0)</f>
        <v>#N/A</v>
      </c>
      <c r="AP737" s="598" t="e">
        <f>+VLOOKUP($AJ737,Data_Validation!$A:$D,3,0)</f>
        <v>#N/A</v>
      </c>
      <c r="AQ737" s="598" t="e">
        <f>+VLOOKUP($AJ737,Data_Validation!$A:$D,4,0)</f>
        <v>#N/A</v>
      </c>
      <c r="AR737" s="598" t="s">
        <v>299</v>
      </c>
      <c r="AS737" s="598" t="e">
        <f>+VLOOKUP($AJ737,Data_Validation!$A:$E,5,0)</f>
        <v>#N/A</v>
      </c>
      <c r="AT737" s="1036">
        <f t="shared" si="46"/>
        <v>0</v>
      </c>
      <c r="AU737" s="599">
        <f t="shared" si="46"/>
        <v>0</v>
      </c>
      <c r="AV737" s="1030">
        <f>IFERROR(INDEX(V737:AG737,1,MATCH(Parametres!$B$3,V$1:AG$1,0)-1)*IF(OR(C737="L",C737="S",C737="I"),-1,1),"")</f>
        <v>0</v>
      </c>
      <c r="AW737" s="1030">
        <f t="shared" si="47"/>
        <v>0</v>
      </c>
      <c r="AX737" s="1030">
        <f>INDEX(V737:AG737,1,MATCH(Parametres!$B$3,V$1:AG$1,0))*IF(OR(C737="L",C737="S",C737="I"),-1,1)</f>
        <v>0</v>
      </c>
      <c r="AY737" s="598" t="s">
        <v>337</v>
      </c>
      <c r="AZ737" s="598" t="e">
        <f>+VLOOKUP($AJ737,Data_Validation!$A:$E,5,0)</f>
        <v>#N/A</v>
      </c>
    </row>
    <row r="738" spans="36:52" ht="15" customHeight="1">
      <c r="AJ738" s="1030">
        <f t="shared" si="48"/>
        <v>0</v>
      </c>
      <c r="AK738" s="1030">
        <f t="shared" si="48"/>
        <v>0</v>
      </c>
      <c r="AL738" s="1030">
        <f>IFERROR(INDEX(G738:R738,1,MATCH(Parametres!$B$3,G$1:R$1,0)-1)*IF(OR(F738="L",F738="S",F738="I"),-1,1),"")</f>
        <v>0</v>
      </c>
      <c r="AM738" s="1030">
        <f t="shared" si="45"/>
        <v>0</v>
      </c>
      <c r="AN738" s="1030">
        <f>INDEX(G738:R738,1,MATCH(Parametres!$B$3,G$1:R$1,0))*IF(OR(F738="L",F738="S",F738="I"),-1,1)</f>
        <v>0</v>
      </c>
      <c r="AO738" s="598" t="e">
        <f>+VLOOKUP($AJ738,Data_Validation!$A:$D,1,0)</f>
        <v>#N/A</v>
      </c>
      <c r="AP738" s="598" t="e">
        <f>+VLOOKUP($AJ738,Data_Validation!$A:$D,3,0)</f>
        <v>#N/A</v>
      </c>
      <c r="AQ738" s="598" t="e">
        <f>+VLOOKUP($AJ738,Data_Validation!$A:$D,4,0)</f>
        <v>#N/A</v>
      </c>
      <c r="AR738" s="598" t="s">
        <v>299</v>
      </c>
      <c r="AS738" s="598" t="e">
        <f>+VLOOKUP($AJ738,Data_Validation!$A:$E,5,0)</f>
        <v>#N/A</v>
      </c>
      <c r="AT738" s="1036">
        <f t="shared" si="46"/>
        <v>0</v>
      </c>
      <c r="AU738" s="599">
        <f t="shared" si="46"/>
        <v>0</v>
      </c>
      <c r="AV738" s="1030">
        <f>IFERROR(INDEX(V738:AG738,1,MATCH(Parametres!$B$3,V$1:AG$1,0)-1)*IF(OR(C738="L",C738="S",C738="I"),-1,1),"")</f>
        <v>0</v>
      </c>
      <c r="AW738" s="1030">
        <f t="shared" si="47"/>
        <v>0</v>
      </c>
      <c r="AX738" s="1030">
        <f>INDEX(V738:AG738,1,MATCH(Parametres!$B$3,V$1:AG$1,0))*IF(OR(C738="L",C738="S",C738="I"),-1,1)</f>
        <v>0</v>
      </c>
      <c r="AY738" s="598" t="s">
        <v>337</v>
      </c>
      <c r="AZ738" s="598" t="e">
        <f>+VLOOKUP($AJ738,Data_Validation!$A:$E,5,0)</f>
        <v>#N/A</v>
      </c>
    </row>
    <row r="739" spans="36:52" ht="15" customHeight="1">
      <c r="AJ739" s="1030">
        <f t="shared" si="48"/>
        <v>0</v>
      </c>
      <c r="AK739" s="1030">
        <f t="shared" si="48"/>
        <v>0</v>
      </c>
      <c r="AL739" s="1030">
        <f>IFERROR(INDEX(G739:R739,1,MATCH(Parametres!$B$3,G$1:R$1,0)-1)*IF(OR(F739="L",F739="S",F739="I"),-1,1),"")</f>
        <v>0</v>
      </c>
      <c r="AM739" s="1030">
        <f t="shared" si="45"/>
        <v>0</v>
      </c>
      <c r="AN739" s="1030">
        <f>INDEX(G739:R739,1,MATCH(Parametres!$B$3,G$1:R$1,0))*IF(OR(F739="L",F739="S",F739="I"),-1,1)</f>
        <v>0</v>
      </c>
      <c r="AO739" s="598" t="e">
        <f>+VLOOKUP($AJ739,Data_Validation!$A:$D,1,0)</f>
        <v>#N/A</v>
      </c>
      <c r="AP739" s="598" t="e">
        <f>+VLOOKUP($AJ739,Data_Validation!$A:$D,3,0)</f>
        <v>#N/A</v>
      </c>
      <c r="AQ739" s="598" t="e">
        <f>+VLOOKUP($AJ739,Data_Validation!$A:$D,4,0)</f>
        <v>#N/A</v>
      </c>
      <c r="AR739" s="598" t="s">
        <v>299</v>
      </c>
      <c r="AS739" s="598" t="e">
        <f>+VLOOKUP($AJ739,Data_Validation!$A:$E,5,0)</f>
        <v>#N/A</v>
      </c>
      <c r="AT739" s="1036">
        <f t="shared" si="46"/>
        <v>0</v>
      </c>
      <c r="AU739" s="599">
        <f t="shared" si="46"/>
        <v>0</v>
      </c>
      <c r="AV739" s="1030">
        <f>IFERROR(INDEX(V739:AG739,1,MATCH(Parametres!$B$3,V$1:AG$1,0)-1)*IF(OR(C739="L",C739="S",C739="I"),-1,1),"")</f>
        <v>0</v>
      </c>
      <c r="AW739" s="1030">
        <f t="shared" si="47"/>
        <v>0</v>
      </c>
      <c r="AX739" s="1030">
        <f>INDEX(V739:AG739,1,MATCH(Parametres!$B$3,V$1:AG$1,0))*IF(OR(C739="L",C739="S",C739="I"),-1,1)</f>
        <v>0</v>
      </c>
      <c r="AY739" s="598" t="s">
        <v>337</v>
      </c>
      <c r="AZ739" s="598" t="e">
        <f>+VLOOKUP($AJ739,Data_Validation!$A:$E,5,0)</f>
        <v>#N/A</v>
      </c>
    </row>
    <row r="740" spans="36:52" ht="15" customHeight="1">
      <c r="AJ740" s="1030">
        <f t="shared" si="48"/>
        <v>0</v>
      </c>
      <c r="AK740" s="1030">
        <f t="shared" si="48"/>
        <v>0</v>
      </c>
      <c r="AL740" s="1030">
        <f>IFERROR(INDEX(G740:R740,1,MATCH(Parametres!$B$3,G$1:R$1,0)-1)*IF(OR(F740="L",F740="S",F740="I"),-1,1),"")</f>
        <v>0</v>
      </c>
      <c r="AM740" s="1030">
        <f t="shared" si="45"/>
        <v>0</v>
      </c>
      <c r="AN740" s="1030">
        <f>INDEX(G740:R740,1,MATCH(Parametres!$B$3,G$1:R$1,0))*IF(OR(F740="L",F740="S",F740="I"),-1,1)</f>
        <v>0</v>
      </c>
      <c r="AO740" s="598" t="e">
        <f>+VLOOKUP($AJ740,Data_Validation!$A:$D,1,0)</f>
        <v>#N/A</v>
      </c>
      <c r="AP740" s="598" t="e">
        <f>+VLOOKUP($AJ740,Data_Validation!$A:$D,3,0)</f>
        <v>#N/A</v>
      </c>
      <c r="AQ740" s="598" t="e">
        <f>+VLOOKUP($AJ740,Data_Validation!$A:$D,4,0)</f>
        <v>#N/A</v>
      </c>
      <c r="AR740" s="598" t="s">
        <v>299</v>
      </c>
      <c r="AS740" s="598" t="e">
        <f>+VLOOKUP($AJ740,Data_Validation!$A:$E,5,0)</f>
        <v>#N/A</v>
      </c>
      <c r="AT740" s="1036">
        <f t="shared" si="46"/>
        <v>0</v>
      </c>
      <c r="AU740" s="599">
        <f t="shared" si="46"/>
        <v>0</v>
      </c>
      <c r="AV740" s="1030">
        <f>IFERROR(INDEX(V740:AG740,1,MATCH(Parametres!$B$3,V$1:AG$1,0)-1)*IF(OR(C740="L",C740="S",C740="I"),-1,1),"")</f>
        <v>0</v>
      </c>
      <c r="AW740" s="1030">
        <f t="shared" si="47"/>
        <v>0</v>
      </c>
      <c r="AX740" s="1030">
        <f>INDEX(V740:AG740,1,MATCH(Parametres!$B$3,V$1:AG$1,0))*IF(OR(C740="L",C740="S",C740="I"),-1,1)</f>
        <v>0</v>
      </c>
      <c r="AY740" s="598" t="s">
        <v>337</v>
      </c>
      <c r="AZ740" s="598" t="e">
        <f>+VLOOKUP($AJ740,Data_Validation!$A:$E,5,0)</f>
        <v>#N/A</v>
      </c>
    </row>
    <row r="741" spans="36:52" ht="15" customHeight="1">
      <c r="AJ741" s="1030">
        <f t="shared" si="48"/>
        <v>0</v>
      </c>
      <c r="AK741" s="1030">
        <f t="shared" si="48"/>
        <v>0</v>
      </c>
      <c r="AL741" s="1030">
        <f>IFERROR(INDEX(G741:R741,1,MATCH(Parametres!$B$3,G$1:R$1,0)-1)*IF(OR(F741="L",F741="S",F741="I"),-1,1),"")</f>
        <v>0</v>
      </c>
      <c r="AM741" s="1030">
        <f t="shared" si="45"/>
        <v>0</v>
      </c>
      <c r="AN741" s="1030">
        <f>INDEX(G741:R741,1,MATCH(Parametres!$B$3,G$1:R$1,0))*IF(OR(F741="L",F741="S",F741="I"),-1,1)</f>
        <v>0</v>
      </c>
      <c r="AO741" s="598" t="e">
        <f>+VLOOKUP($AJ741,Data_Validation!$A:$D,1,0)</f>
        <v>#N/A</v>
      </c>
      <c r="AP741" s="598" t="e">
        <f>+VLOOKUP($AJ741,Data_Validation!$A:$D,3,0)</f>
        <v>#N/A</v>
      </c>
      <c r="AQ741" s="598" t="e">
        <f>+VLOOKUP($AJ741,Data_Validation!$A:$D,4,0)</f>
        <v>#N/A</v>
      </c>
      <c r="AR741" s="598" t="s">
        <v>299</v>
      </c>
      <c r="AS741" s="598" t="e">
        <f>+VLOOKUP($AJ741,Data_Validation!$A:$E,5,0)</f>
        <v>#N/A</v>
      </c>
      <c r="AT741" s="1036">
        <f t="shared" si="46"/>
        <v>0</v>
      </c>
      <c r="AU741" s="599">
        <f t="shared" si="46"/>
        <v>0</v>
      </c>
      <c r="AV741" s="1030">
        <f>IFERROR(INDEX(V741:AG741,1,MATCH(Parametres!$B$3,V$1:AG$1,0)-1)*IF(OR(C741="L",C741="S",C741="I"),-1,1),"")</f>
        <v>0</v>
      </c>
      <c r="AW741" s="1030">
        <f t="shared" si="47"/>
        <v>0</v>
      </c>
      <c r="AX741" s="1030">
        <f>INDEX(V741:AG741,1,MATCH(Parametres!$B$3,V$1:AG$1,0))*IF(OR(C741="L",C741="S",C741="I"),-1,1)</f>
        <v>0</v>
      </c>
      <c r="AY741" s="598" t="s">
        <v>337</v>
      </c>
      <c r="AZ741" s="598" t="e">
        <f>+VLOOKUP($AJ741,Data_Validation!$A:$E,5,0)</f>
        <v>#N/A</v>
      </c>
    </row>
    <row r="742" spans="36:52" ht="15" customHeight="1">
      <c r="AJ742" s="1030">
        <f t="shared" si="48"/>
        <v>0</v>
      </c>
      <c r="AK742" s="1030">
        <f t="shared" si="48"/>
        <v>0</v>
      </c>
      <c r="AL742" s="1030">
        <f>IFERROR(INDEX(G742:R742,1,MATCH(Parametres!$B$3,G$1:R$1,0)-1)*IF(OR(F742="L",F742="S",F742="I"),-1,1),"")</f>
        <v>0</v>
      </c>
      <c r="AM742" s="1030">
        <f t="shared" si="45"/>
        <v>0</v>
      </c>
      <c r="AN742" s="1030">
        <f>INDEX(G742:R742,1,MATCH(Parametres!$B$3,G$1:R$1,0))*IF(OR(F742="L",F742="S",F742="I"),-1,1)</f>
        <v>0</v>
      </c>
      <c r="AO742" s="598" t="e">
        <f>+VLOOKUP($AJ742,Data_Validation!$A:$D,1,0)</f>
        <v>#N/A</v>
      </c>
      <c r="AP742" s="598" t="e">
        <f>+VLOOKUP($AJ742,Data_Validation!$A:$D,3,0)</f>
        <v>#N/A</v>
      </c>
      <c r="AQ742" s="598" t="e">
        <f>+VLOOKUP($AJ742,Data_Validation!$A:$D,4,0)</f>
        <v>#N/A</v>
      </c>
      <c r="AR742" s="598" t="s">
        <v>299</v>
      </c>
      <c r="AS742" s="598" t="e">
        <f>+VLOOKUP($AJ742,Data_Validation!$A:$E,5,0)</f>
        <v>#N/A</v>
      </c>
      <c r="AT742" s="1036">
        <f t="shared" si="46"/>
        <v>0</v>
      </c>
      <c r="AU742" s="599">
        <f t="shared" si="46"/>
        <v>0</v>
      </c>
      <c r="AV742" s="1030">
        <f>IFERROR(INDEX(V742:AG742,1,MATCH(Parametres!$B$3,V$1:AG$1,0)-1)*IF(OR(C742="L",C742="S",C742="I"),-1,1),"")</f>
        <v>0</v>
      </c>
      <c r="AW742" s="1030">
        <f t="shared" si="47"/>
        <v>0</v>
      </c>
      <c r="AX742" s="1030">
        <f>INDEX(V742:AG742,1,MATCH(Parametres!$B$3,V$1:AG$1,0))*IF(OR(C742="L",C742="S",C742="I"),-1,1)</f>
        <v>0</v>
      </c>
      <c r="AY742" s="598" t="s">
        <v>337</v>
      </c>
      <c r="AZ742" s="598" t="e">
        <f>+VLOOKUP($AJ742,Data_Validation!$A:$E,5,0)</f>
        <v>#N/A</v>
      </c>
    </row>
    <row r="743" spans="36:52" ht="15" customHeight="1">
      <c r="AJ743" s="1030">
        <f t="shared" si="48"/>
        <v>0</v>
      </c>
      <c r="AK743" s="1030">
        <f t="shared" si="48"/>
        <v>0</v>
      </c>
      <c r="AL743" s="1030">
        <f>IFERROR(INDEX(G743:R743,1,MATCH(Parametres!$B$3,G$1:R$1,0)-1)*IF(OR(F743="L",F743="S",F743="I"),-1,1),"")</f>
        <v>0</v>
      </c>
      <c r="AM743" s="1030">
        <f t="shared" si="45"/>
        <v>0</v>
      </c>
      <c r="AN743" s="1030">
        <f>INDEX(G743:R743,1,MATCH(Parametres!$B$3,G$1:R$1,0))*IF(OR(F743="L",F743="S",F743="I"),-1,1)</f>
        <v>0</v>
      </c>
      <c r="AO743" s="598" t="e">
        <f>+VLOOKUP($AJ743,Data_Validation!$A:$D,1,0)</f>
        <v>#N/A</v>
      </c>
      <c r="AP743" s="598" t="e">
        <f>+VLOOKUP($AJ743,Data_Validation!$A:$D,3,0)</f>
        <v>#N/A</v>
      </c>
      <c r="AQ743" s="598" t="e">
        <f>+VLOOKUP($AJ743,Data_Validation!$A:$D,4,0)</f>
        <v>#N/A</v>
      </c>
      <c r="AR743" s="598" t="s">
        <v>299</v>
      </c>
      <c r="AS743" s="598" t="e">
        <f>+VLOOKUP($AJ743,Data_Validation!$A:$E,5,0)</f>
        <v>#N/A</v>
      </c>
      <c r="AT743" s="1036">
        <f t="shared" si="46"/>
        <v>0</v>
      </c>
      <c r="AU743" s="599">
        <f t="shared" si="46"/>
        <v>0</v>
      </c>
      <c r="AV743" s="1030">
        <f>IFERROR(INDEX(V743:AG743,1,MATCH(Parametres!$B$3,V$1:AG$1,0)-1)*IF(OR(C743="L",C743="S",C743="I"),-1,1),"")</f>
        <v>0</v>
      </c>
      <c r="AW743" s="1030">
        <f t="shared" si="47"/>
        <v>0</v>
      </c>
      <c r="AX743" s="1030">
        <f>INDEX(V743:AG743,1,MATCH(Parametres!$B$3,V$1:AG$1,0))*IF(OR(C743="L",C743="S",C743="I"),-1,1)</f>
        <v>0</v>
      </c>
      <c r="AY743" s="598" t="s">
        <v>337</v>
      </c>
      <c r="AZ743" s="598" t="e">
        <f>+VLOOKUP($AJ743,Data_Validation!$A:$E,5,0)</f>
        <v>#N/A</v>
      </c>
    </row>
    <row r="744" spans="36:52" ht="15" customHeight="1">
      <c r="AJ744" s="1030">
        <f t="shared" si="48"/>
        <v>0</v>
      </c>
      <c r="AK744" s="1030">
        <f t="shared" si="48"/>
        <v>0</v>
      </c>
      <c r="AL744" s="1030">
        <f>IFERROR(INDEX(G744:R744,1,MATCH(Parametres!$B$3,G$1:R$1,0)-1)*IF(OR(F744="L",F744="S",F744="I"),-1,1),"")</f>
        <v>0</v>
      </c>
      <c r="AM744" s="1030">
        <f t="shared" si="45"/>
        <v>0</v>
      </c>
      <c r="AN744" s="1030">
        <f>INDEX(G744:R744,1,MATCH(Parametres!$B$3,G$1:R$1,0))*IF(OR(F744="L",F744="S",F744="I"),-1,1)</f>
        <v>0</v>
      </c>
      <c r="AO744" s="598" t="e">
        <f>+VLOOKUP($AJ744,Data_Validation!$A:$D,1,0)</f>
        <v>#N/A</v>
      </c>
      <c r="AP744" s="598" t="e">
        <f>+VLOOKUP($AJ744,Data_Validation!$A:$D,3,0)</f>
        <v>#N/A</v>
      </c>
      <c r="AQ744" s="598" t="e">
        <f>+VLOOKUP($AJ744,Data_Validation!$A:$D,4,0)</f>
        <v>#N/A</v>
      </c>
      <c r="AR744" s="598" t="s">
        <v>299</v>
      </c>
      <c r="AS744" s="598" t="e">
        <f>+VLOOKUP($AJ744,Data_Validation!$A:$E,5,0)</f>
        <v>#N/A</v>
      </c>
      <c r="AT744" s="1036">
        <f t="shared" si="46"/>
        <v>0</v>
      </c>
      <c r="AU744" s="599">
        <f t="shared" si="46"/>
        <v>0</v>
      </c>
      <c r="AV744" s="1030">
        <f>IFERROR(INDEX(V744:AG744,1,MATCH(Parametres!$B$3,V$1:AG$1,0)-1)*IF(OR(C744="L",C744="S",C744="I"),-1,1),"")</f>
        <v>0</v>
      </c>
      <c r="AW744" s="1030">
        <f t="shared" si="47"/>
        <v>0</v>
      </c>
      <c r="AX744" s="1030">
        <f>INDEX(V744:AG744,1,MATCH(Parametres!$B$3,V$1:AG$1,0))*IF(OR(C744="L",C744="S",C744="I"),-1,1)</f>
        <v>0</v>
      </c>
      <c r="AY744" s="598" t="s">
        <v>337</v>
      </c>
      <c r="AZ744" s="598" t="e">
        <f>+VLOOKUP($AJ744,Data_Validation!$A:$E,5,0)</f>
        <v>#N/A</v>
      </c>
    </row>
    <row r="745" spans="36:52" ht="15" customHeight="1">
      <c r="AJ745" s="1030">
        <f t="shared" si="48"/>
        <v>0</v>
      </c>
      <c r="AK745" s="1030">
        <f t="shared" si="48"/>
        <v>0</v>
      </c>
      <c r="AL745" s="1030">
        <f>IFERROR(INDEX(G745:R745,1,MATCH(Parametres!$B$3,G$1:R$1,0)-1)*IF(OR(F745="L",F745="S",F745="I"),-1,1),"")</f>
        <v>0</v>
      </c>
      <c r="AM745" s="1030">
        <f t="shared" si="45"/>
        <v>0</v>
      </c>
      <c r="AN745" s="1030">
        <f>INDEX(G745:R745,1,MATCH(Parametres!$B$3,G$1:R$1,0))*IF(OR(F745="L",F745="S",F745="I"),-1,1)</f>
        <v>0</v>
      </c>
      <c r="AO745" s="598" t="e">
        <f>+VLOOKUP($AJ745,Data_Validation!$A:$D,1,0)</f>
        <v>#N/A</v>
      </c>
      <c r="AP745" s="598" t="e">
        <f>+VLOOKUP($AJ745,Data_Validation!$A:$D,3,0)</f>
        <v>#N/A</v>
      </c>
      <c r="AQ745" s="598" t="e">
        <f>+VLOOKUP($AJ745,Data_Validation!$A:$D,4,0)</f>
        <v>#N/A</v>
      </c>
      <c r="AR745" s="598" t="s">
        <v>299</v>
      </c>
      <c r="AS745" s="598" t="e">
        <f>+VLOOKUP($AJ745,Data_Validation!$A:$E,5,0)</f>
        <v>#N/A</v>
      </c>
      <c r="AT745" s="1036">
        <f t="shared" si="46"/>
        <v>0</v>
      </c>
      <c r="AU745" s="599">
        <f t="shared" si="46"/>
        <v>0</v>
      </c>
      <c r="AV745" s="1030">
        <f>IFERROR(INDEX(V745:AG745,1,MATCH(Parametres!$B$3,V$1:AG$1,0)-1)*IF(OR(C745="L",C745="S",C745="I"),-1,1),"")</f>
        <v>0</v>
      </c>
      <c r="AW745" s="1030">
        <f t="shared" si="47"/>
        <v>0</v>
      </c>
      <c r="AX745" s="1030">
        <f>INDEX(V745:AG745,1,MATCH(Parametres!$B$3,V$1:AG$1,0))*IF(OR(C745="L",C745="S",C745="I"),-1,1)</f>
        <v>0</v>
      </c>
      <c r="AY745" s="598" t="s">
        <v>337</v>
      </c>
      <c r="AZ745" s="598" t="e">
        <f>+VLOOKUP($AJ745,Data_Validation!$A:$E,5,0)</f>
        <v>#N/A</v>
      </c>
    </row>
    <row r="746" spans="36:52" ht="15" customHeight="1">
      <c r="AJ746" s="1030">
        <f t="shared" si="48"/>
        <v>0</v>
      </c>
      <c r="AK746" s="1030">
        <f t="shared" si="48"/>
        <v>0</v>
      </c>
      <c r="AL746" s="1030">
        <f>IFERROR(INDEX(G746:R746,1,MATCH(Parametres!$B$3,G$1:R$1,0)-1)*IF(OR(F746="L",F746="S",F746="I"),-1,1),"")</f>
        <v>0</v>
      </c>
      <c r="AM746" s="1030">
        <f t="shared" si="45"/>
        <v>0</v>
      </c>
      <c r="AN746" s="1030">
        <f>INDEX(G746:R746,1,MATCH(Parametres!$B$3,G$1:R$1,0))*IF(OR(F746="L",F746="S",F746="I"),-1,1)</f>
        <v>0</v>
      </c>
      <c r="AO746" s="598" t="e">
        <f>+VLOOKUP($AJ746,Data_Validation!$A:$D,1,0)</f>
        <v>#N/A</v>
      </c>
      <c r="AP746" s="598" t="e">
        <f>+VLOOKUP($AJ746,Data_Validation!$A:$D,3,0)</f>
        <v>#N/A</v>
      </c>
      <c r="AQ746" s="598" t="e">
        <f>+VLOOKUP($AJ746,Data_Validation!$A:$D,4,0)</f>
        <v>#N/A</v>
      </c>
      <c r="AR746" s="598" t="s">
        <v>299</v>
      </c>
      <c r="AS746" s="598" t="e">
        <f>+VLOOKUP($AJ746,Data_Validation!$A:$E,5,0)</f>
        <v>#N/A</v>
      </c>
      <c r="AT746" s="1036">
        <f t="shared" si="46"/>
        <v>0</v>
      </c>
      <c r="AU746" s="599">
        <f t="shared" si="46"/>
        <v>0</v>
      </c>
      <c r="AV746" s="1030">
        <f>IFERROR(INDEX(V746:AG746,1,MATCH(Parametres!$B$3,V$1:AG$1,0)-1)*IF(OR(C746="L",C746="S",C746="I"),-1,1),"")</f>
        <v>0</v>
      </c>
      <c r="AW746" s="1030">
        <f t="shared" si="47"/>
        <v>0</v>
      </c>
      <c r="AX746" s="1030">
        <f>INDEX(V746:AG746,1,MATCH(Parametres!$B$3,V$1:AG$1,0))*IF(OR(C746="L",C746="S",C746="I"),-1,1)</f>
        <v>0</v>
      </c>
      <c r="AY746" s="598" t="s">
        <v>337</v>
      </c>
      <c r="AZ746" s="598" t="e">
        <f>+VLOOKUP($AJ746,Data_Validation!$A:$E,5,0)</f>
        <v>#N/A</v>
      </c>
    </row>
    <row r="747" spans="36:52" ht="15" customHeight="1">
      <c r="AJ747" s="1030">
        <f t="shared" si="48"/>
        <v>0</v>
      </c>
      <c r="AK747" s="1030">
        <f t="shared" si="48"/>
        <v>0</v>
      </c>
      <c r="AL747" s="1030">
        <f>IFERROR(INDEX(G747:R747,1,MATCH(Parametres!$B$3,G$1:R$1,0)-1)*IF(OR(F747="L",F747="S",F747="I"),-1,1),"")</f>
        <v>0</v>
      </c>
      <c r="AM747" s="1030">
        <f t="shared" si="45"/>
        <v>0</v>
      </c>
      <c r="AN747" s="1030">
        <f>INDEX(G747:R747,1,MATCH(Parametres!$B$3,G$1:R$1,0))*IF(OR(F747="L",F747="S",F747="I"),-1,1)</f>
        <v>0</v>
      </c>
      <c r="AO747" s="598" t="e">
        <f>+VLOOKUP($AJ747,Data_Validation!$A:$D,1,0)</f>
        <v>#N/A</v>
      </c>
      <c r="AP747" s="598" t="e">
        <f>+VLOOKUP($AJ747,Data_Validation!$A:$D,3,0)</f>
        <v>#N/A</v>
      </c>
      <c r="AQ747" s="598" t="e">
        <f>+VLOOKUP($AJ747,Data_Validation!$A:$D,4,0)</f>
        <v>#N/A</v>
      </c>
      <c r="AR747" s="598" t="s">
        <v>299</v>
      </c>
      <c r="AS747" s="598" t="e">
        <f>+VLOOKUP($AJ747,Data_Validation!$A:$E,5,0)</f>
        <v>#N/A</v>
      </c>
      <c r="AT747" s="1036">
        <f t="shared" si="46"/>
        <v>0</v>
      </c>
      <c r="AU747" s="599">
        <f t="shared" si="46"/>
        <v>0</v>
      </c>
      <c r="AV747" s="1030">
        <f>IFERROR(INDEX(V747:AG747,1,MATCH(Parametres!$B$3,V$1:AG$1,0)-1)*IF(OR(C747="L",C747="S",C747="I"),-1,1),"")</f>
        <v>0</v>
      </c>
      <c r="AW747" s="1030">
        <f t="shared" si="47"/>
        <v>0</v>
      </c>
      <c r="AX747" s="1030">
        <f>INDEX(V747:AG747,1,MATCH(Parametres!$B$3,V$1:AG$1,0))*IF(OR(C747="L",C747="S",C747="I"),-1,1)</f>
        <v>0</v>
      </c>
      <c r="AY747" s="598" t="s">
        <v>337</v>
      </c>
      <c r="AZ747" s="598" t="e">
        <f>+VLOOKUP($AJ747,Data_Validation!$A:$E,5,0)</f>
        <v>#N/A</v>
      </c>
    </row>
    <row r="748" spans="36:52" ht="15" customHeight="1">
      <c r="AJ748" s="1030">
        <f t="shared" si="48"/>
        <v>0</v>
      </c>
      <c r="AK748" s="1030">
        <f t="shared" si="48"/>
        <v>0</v>
      </c>
      <c r="AL748" s="1030">
        <f>IFERROR(INDEX(G748:R748,1,MATCH(Parametres!$B$3,G$1:R$1,0)-1)*IF(OR(F748="L",F748="S",F748="I"),-1,1),"")</f>
        <v>0</v>
      </c>
      <c r="AM748" s="1030">
        <f t="shared" si="45"/>
        <v>0</v>
      </c>
      <c r="AN748" s="1030">
        <f>INDEX(G748:R748,1,MATCH(Parametres!$B$3,G$1:R$1,0))*IF(OR(F748="L",F748="S",F748="I"),-1,1)</f>
        <v>0</v>
      </c>
      <c r="AO748" s="598" t="e">
        <f>+VLOOKUP($AJ748,Data_Validation!$A:$D,1,0)</f>
        <v>#N/A</v>
      </c>
      <c r="AP748" s="598" t="e">
        <f>+VLOOKUP($AJ748,Data_Validation!$A:$D,3,0)</f>
        <v>#N/A</v>
      </c>
      <c r="AQ748" s="598" t="e">
        <f>+VLOOKUP($AJ748,Data_Validation!$A:$D,4,0)</f>
        <v>#N/A</v>
      </c>
      <c r="AR748" s="598" t="s">
        <v>299</v>
      </c>
      <c r="AS748" s="598" t="e">
        <f>+VLOOKUP($AJ748,Data_Validation!$A:$E,5,0)</f>
        <v>#N/A</v>
      </c>
      <c r="AT748" s="1036">
        <f t="shared" si="46"/>
        <v>0</v>
      </c>
      <c r="AU748" s="599">
        <f t="shared" si="46"/>
        <v>0</v>
      </c>
      <c r="AV748" s="1030">
        <f>IFERROR(INDEX(V748:AG748,1,MATCH(Parametres!$B$3,V$1:AG$1,0)-1)*IF(OR(C748="L",C748="S",C748="I"),-1,1),"")</f>
        <v>0</v>
      </c>
      <c r="AW748" s="1030">
        <f t="shared" si="47"/>
        <v>0</v>
      </c>
      <c r="AX748" s="1030">
        <f>INDEX(V748:AG748,1,MATCH(Parametres!$B$3,V$1:AG$1,0))*IF(OR(C748="L",C748="S",C748="I"),-1,1)</f>
        <v>0</v>
      </c>
      <c r="AY748" s="598" t="s">
        <v>337</v>
      </c>
      <c r="AZ748" s="598" t="e">
        <f>+VLOOKUP($AJ748,Data_Validation!$A:$E,5,0)</f>
        <v>#N/A</v>
      </c>
    </row>
    <row r="749" spans="36:52" ht="15" customHeight="1">
      <c r="AJ749" s="1030">
        <f t="shared" si="48"/>
        <v>0</v>
      </c>
      <c r="AK749" s="1030">
        <f t="shared" si="48"/>
        <v>0</v>
      </c>
      <c r="AL749" s="1030">
        <f>IFERROR(INDEX(G749:R749,1,MATCH(Parametres!$B$3,G$1:R$1,0)-1)*IF(OR(F749="L",F749="S",F749="I"),-1,1),"")</f>
        <v>0</v>
      </c>
      <c r="AM749" s="1030">
        <f t="shared" si="45"/>
        <v>0</v>
      </c>
      <c r="AN749" s="1030">
        <f>INDEX(G749:R749,1,MATCH(Parametres!$B$3,G$1:R$1,0))*IF(OR(F749="L",F749="S",F749="I"),-1,1)</f>
        <v>0</v>
      </c>
      <c r="AO749" s="598" t="e">
        <f>+VLOOKUP($AJ749,Data_Validation!$A:$D,1,0)</f>
        <v>#N/A</v>
      </c>
      <c r="AP749" s="598" t="e">
        <f>+VLOOKUP($AJ749,Data_Validation!$A:$D,3,0)</f>
        <v>#N/A</v>
      </c>
      <c r="AQ749" s="598" t="e">
        <f>+VLOOKUP($AJ749,Data_Validation!$A:$D,4,0)</f>
        <v>#N/A</v>
      </c>
      <c r="AR749" s="598" t="s">
        <v>299</v>
      </c>
      <c r="AS749" s="598" t="e">
        <f>+VLOOKUP($AJ749,Data_Validation!$A:$E,5,0)</f>
        <v>#N/A</v>
      </c>
      <c r="AT749" s="1036">
        <f t="shared" si="46"/>
        <v>0</v>
      </c>
      <c r="AU749" s="599">
        <f t="shared" si="46"/>
        <v>0</v>
      </c>
      <c r="AV749" s="1030">
        <f>IFERROR(INDEX(V749:AG749,1,MATCH(Parametres!$B$3,V$1:AG$1,0)-1)*IF(OR(C749="L",C749="S",C749="I"),-1,1),"")</f>
        <v>0</v>
      </c>
      <c r="AW749" s="1030">
        <f t="shared" si="47"/>
        <v>0</v>
      </c>
      <c r="AX749" s="1030">
        <f>INDEX(V749:AG749,1,MATCH(Parametres!$B$3,V$1:AG$1,0))*IF(OR(C749="L",C749="S",C749="I"),-1,1)</f>
        <v>0</v>
      </c>
      <c r="AY749" s="598" t="s">
        <v>337</v>
      </c>
      <c r="AZ749" s="598" t="e">
        <f>+VLOOKUP($AJ749,Data_Validation!$A:$E,5,0)</f>
        <v>#N/A</v>
      </c>
    </row>
    <row r="750" spans="36:52" ht="15" customHeight="1">
      <c r="AJ750" s="1030">
        <f t="shared" si="48"/>
        <v>0</v>
      </c>
      <c r="AK750" s="1030">
        <f t="shared" si="48"/>
        <v>0</v>
      </c>
      <c r="AL750" s="1030">
        <f>IFERROR(INDEX(G750:R750,1,MATCH(Parametres!$B$3,G$1:R$1,0)-1)*IF(OR(F750="L",F750="S",F750="I"),-1,1),"")</f>
        <v>0</v>
      </c>
      <c r="AM750" s="1030">
        <f t="shared" si="45"/>
        <v>0</v>
      </c>
      <c r="AN750" s="1030">
        <f>INDEX(G750:R750,1,MATCH(Parametres!$B$3,G$1:R$1,0))*IF(OR(F750="L",F750="S",F750="I"),-1,1)</f>
        <v>0</v>
      </c>
      <c r="AO750" s="598" t="e">
        <f>+VLOOKUP($AJ750,Data_Validation!$A:$D,1,0)</f>
        <v>#N/A</v>
      </c>
      <c r="AP750" s="598" t="e">
        <f>+VLOOKUP($AJ750,Data_Validation!$A:$D,3,0)</f>
        <v>#N/A</v>
      </c>
      <c r="AQ750" s="598" t="e">
        <f>+VLOOKUP($AJ750,Data_Validation!$A:$D,4,0)</f>
        <v>#N/A</v>
      </c>
      <c r="AR750" s="598" t="s">
        <v>299</v>
      </c>
      <c r="AS750" s="598" t="e">
        <f>+VLOOKUP($AJ750,Data_Validation!$A:$E,5,0)</f>
        <v>#N/A</v>
      </c>
      <c r="AT750" s="1036">
        <f t="shared" si="46"/>
        <v>0</v>
      </c>
      <c r="AU750" s="599">
        <f t="shared" si="46"/>
        <v>0</v>
      </c>
      <c r="AV750" s="1030">
        <f>IFERROR(INDEX(V750:AG750,1,MATCH(Parametres!$B$3,V$1:AG$1,0)-1)*IF(OR(C750="L",C750="S",C750="I"),-1,1),"")</f>
        <v>0</v>
      </c>
      <c r="AW750" s="1030">
        <f t="shared" si="47"/>
        <v>0</v>
      </c>
      <c r="AX750" s="1030">
        <f>INDEX(V750:AG750,1,MATCH(Parametres!$B$3,V$1:AG$1,0))*IF(OR(C750="L",C750="S",C750="I"),-1,1)</f>
        <v>0</v>
      </c>
      <c r="AY750" s="598" t="s">
        <v>337</v>
      </c>
      <c r="AZ750" s="598" t="e">
        <f>+VLOOKUP($AJ750,Data_Validation!$A:$E,5,0)</f>
        <v>#N/A</v>
      </c>
    </row>
    <row r="751" spans="36:52" ht="15" customHeight="1">
      <c r="AJ751" s="1030">
        <f t="shared" si="48"/>
        <v>0</v>
      </c>
      <c r="AK751" s="1030">
        <f t="shared" si="48"/>
        <v>0</v>
      </c>
      <c r="AL751" s="1030">
        <f>IFERROR(INDEX(G751:R751,1,MATCH(Parametres!$B$3,G$1:R$1,0)-1)*IF(OR(F751="L",F751="S",F751="I"),-1,1),"")</f>
        <v>0</v>
      </c>
      <c r="AM751" s="1030">
        <f t="shared" si="45"/>
        <v>0</v>
      </c>
      <c r="AN751" s="1030">
        <f>INDEX(G751:R751,1,MATCH(Parametres!$B$3,G$1:R$1,0))*IF(OR(F751="L",F751="S",F751="I"),-1,1)</f>
        <v>0</v>
      </c>
      <c r="AO751" s="598" t="e">
        <f>+VLOOKUP($AJ751,Data_Validation!$A:$D,1,0)</f>
        <v>#N/A</v>
      </c>
      <c r="AP751" s="598" t="e">
        <f>+VLOOKUP($AJ751,Data_Validation!$A:$D,3,0)</f>
        <v>#N/A</v>
      </c>
      <c r="AQ751" s="598" t="e">
        <f>+VLOOKUP($AJ751,Data_Validation!$A:$D,4,0)</f>
        <v>#N/A</v>
      </c>
      <c r="AR751" s="598" t="s">
        <v>299</v>
      </c>
      <c r="AS751" s="598" t="e">
        <f>+VLOOKUP($AJ751,Data_Validation!$A:$E,5,0)</f>
        <v>#N/A</v>
      </c>
      <c r="AT751" s="1036">
        <f t="shared" si="46"/>
        <v>0</v>
      </c>
      <c r="AU751" s="599">
        <f t="shared" si="46"/>
        <v>0</v>
      </c>
      <c r="AV751" s="1030">
        <f>IFERROR(INDEX(V751:AG751,1,MATCH(Parametres!$B$3,V$1:AG$1,0)-1)*IF(OR(C751="L",C751="S",C751="I"),-1,1),"")</f>
        <v>0</v>
      </c>
      <c r="AW751" s="1030">
        <f t="shared" si="47"/>
        <v>0</v>
      </c>
      <c r="AX751" s="1030">
        <f>INDEX(V751:AG751,1,MATCH(Parametres!$B$3,V$1:AG$1,0))*IF(OR(C751="L",C751="S",C751="I"),-1,1)</f>
        <v>0</v>
      </c>
      <c r="AY751" s="598" t="s">
        <v>337</v>
      </c>
      <c r="AZ751" s="598" t="e">
        <f>+VLOOKUP($AJ751,Data_Validation!$A:$E,5,0)</f>
        <v>#N/A</v>
      </c>
    </row>
    <row r="752" spans="36:52" ht="15" customHeight="1">
      <c r="AJ752" s="1030">
        <f t="shared" si="48"/>
        <v>0</v>
      </c>
      <c r="AK752" s="1030">
        <f t="shared" si="48"/>
        <v>0</v>
      </c>
      <c r="AL752" s="1030">
        <f>IFERROR(INDEX(G752:R752,1,MATCH(Parametres!$B$3,G$1:R$1,0)-1)*IF(OR(F752="L",F752="S",F752="I"),-1,1),"")</f>
        <v>0</v>
      </c>
      <c r="AM752" s="1030">
        <f t="shared" si="45"/>
        <v>0</v>
      </c>
      <c r="AN752" s="1030">
        <f>INDEX(G752:R752,1,MATCH(Parametres!$B$3,G$1:R$1,0))*IF(OR(F752="L",F752="S",F752="I"),-1,1)</f>
        <v>0</v>
      </c>
      <c r="AO752" s="598" t="e">
        <f>+VLOOKUP($AJ752,Data_Validation!$A:$D,1,0)</f>
        <v>#N/A</v>
      </c>
      <c r="AP752" s="598" t="e">
        <f>+VLOOKUP($AJ752,Data_Validation!$A:$D,3,0)</f>
        <v>#N/A</v>
      </c>
      <c r="AQ752" s="598" t="e">
        <f>+VLOOKUP($AJ752,Data_Validation!$A:$D,4,0)</f>
        <v>#N/A</v>
      </c>
      <c r="AR752" s="598" t="s">
        <v>299</v>
      </c>
      <c r="AS752" s="598" t="e">
        <f>+VLOOKUP($AJ752,Data_Validation!$A:$E,5,0)</f>
        <v>#N/A</v>
      </c>
      <c r="AT752" s="1036">
        <f t="shared" si="46"/>
        <v>0</v>
      </c>
      <c r="AU752" s="599">
        <f t="shared" si="46"/>
        <v>0</v>
      </c>
      <c r="AV752" s="1030">
        <f>IFERROR(INDEX(V752:AG752,1,MATCH(Parametres!$B$3,V$1:AG$1,0)-1)*IF(OR(C752="L",C752="S",C752="I"),-1,1),"")</f>
        <v>0</v>
      </c>
      <c r="AW752" s="1030">
        <f t="shared" si="47"/>
        <v>0</v>
      </c>
      <c r="AX752" s="1030">
        <f>INDEX(V752:AG752,1,MATCH(Parametres!$B$3,V$1:AG$1,0))*IF(OR(C752="L",C752="S",C752="I"),-1,1)</f>
        <v>0</v>
      </c>
      <c r="AY752" s="598" t="s">
        <v>337</v>
      </c>
      <c r="AZ752" s="598" t="e">
        <f>+VLOOKUP($AJ752,Data_Validation!$A:$E,5,0)</f>
        <v>#N/A</v>
      </c>
    </row>
    <row r="753" spans="36:52" ht="15" customHeight="1">
      <c r="AJ753" s="1030">
        <f t="shared" si="48"/>
        <v>0</v>
      </c>
      <c r="AK753" s="1030">
        <f t="shared" si="48"/>
        <v>0</v>
      </c>
      <c r="AL753" s="1030">
        <f>IFERROR(INDEX(G753:R753,1,MATCH(Parametres!$B$3,G$1:R$1,0)-1)*IF(OR(F753="L",F753="S",F753="I"),-1,1),"")</f>
        <v>0</v>
      </c>
      <c r="AM753" s="1030">
        <f t="shared" si="45"/>
        <v>0</v>
      </c>
      <c r="AN753" s="1030">
        <f>INDEX(G753:R753,1,MATCH(Parametres!$B$3,G$1:R$1,0))*IF(OR(F753="L",F753="S",F753="I"),-1,1)</f>
        <v>0</v>
      </c>
      <c r="AO753" s="598" t="e">
        <f>+VLOOKUP($AJ753,Data_Validation!$A:$D,1,0)</f>
        <v>#N/A</v>
      </c>
      <c r="AP753" s="598" t="e">
        <f>+VLOOKUP($AJ753,Data_Validation!$A:$D,3,0)</f>
        <v>#N/A</v>
      </c>
      <c r="AQ753" s="598" t="e">
        <f>+VLOOKUP($AJ753,Data_Validation!$A:$D,4,0)</f>
        <v>#N/A</v>
      </c>
      <c r="AR753" s="598" t="s">
        <v>299</v>
      </c>
      <c r="AS753" s="598" t="e">
        <f>+VLOOKUP($AJ753,Data_Validation!$A:$E,5,0)</f>
        <v>#N/A</v>
      </c>
      <c r="AT753" s="1036">
        <f t="shared" si="46"/>
        <v>0</v>
      </c>
      <c r="AU753" s="599">
        <f t="shared" si="46"/>
        <v>0</v>
      </c>
      <c r="AV753" s="1030">
        <f>IFERROR(INDEX(V753:AG753,1,MATCH(Parametres!$B$3,V$1:AG$1,0)-1)*IF(OR(C753="L",C753="S",C753="I"),-1,1),"")</f>
        <v>0</v>
      </c>
      <c r="AW753" s="1030">
        <f t="shared" si="47"/>
        <v>0</v>
      </c>
      <c r="AX753" s="1030">
        <f>INDEX(V753:AG753,1,MATCH(Parametres!$B$3,V$1:AG$1,0))*IF(OR(C753="L",C753="S",C753="I"),-1,1)</f>
        <v>0</v>
      </c>
      <c r="AY753" s="598" t="s">
        <v>337</v>
      </c>
      <c r="AZ753" s="598" t="e">
        <f>+VLOOKUP($AJ753,Data_Validation!$A:$E,5,0)</f>
        <v>#N/A</v>
      </c>
    </row>
    <row r="754" spans="36:52" ht="15" customHeight="1">
      <c r="AJ754" s="1030">
        <f t="shared" si="48"/>
        <v>0</v>
      </c>
      <c r="AK754" s="1030">
        <f t="shared" si="48"/>
        <v>0</v>
      </c>
      <c r="AL754" s="1030">
        <f>IFERROR(INDEX(G754:R754,1,MATCH(Parametres!$B$3,G$1:R$1,0)-1)*IF(OR(F754="L",F754="S",F754="I"),-1,1),"")</f>
        <v>0</v>
      </c>
      <c r="AM754" s="1030">
        <f t="shared" si="45"/>
        <v>0</v>
      </c>
      <c r="AN754" s="1030">
        <f>INDEX(G754:R754,1,MATCH(Parametres!$B$3,G$1:R$1,0))*IF(OR(F754="L",F754="S",F754="I"),-1,1)</f>
        <v>0</v>
      </c>
      <c r="AO754" s="598" t="e">
        <f>+VLOOKUP($AJ754,Data_Validation!$A:$D,1,0)</f>
        <v>#N/A</v>
      </c>
      <c r="AP754" s="598" t="e">
        <f>+VLOOKUP($AJ754,Data_Validation!$A:$D,3,0)</f>
        <v>#N/A</v>
      </c>
      <c r="AQ754" s="598" t="e">
        <f>+VLOOKUP($AJ754,Data_Validation!$A:$D,4,0)</f>
        <v>#N/A</v>
      </c>
      <c r="AR754" s="598" t="s">
        <v>299</v>
      </c>
      <c r="AS754" s="598" t="e">
        <f>+VLOOKUP($AJ754,Data_Validation!$A:$E,5,0)</f>
        <v>#N/A</v>
      </c>
      <c r="AT754" s="1036">
        <f t="shared" si="46"/>
        <v>0</v>
      </c>
      <c r="AU754" s="599">
        <f t="shared" si="46"/>
        <v>0</v>
      </c>
      <c r="AV754" s="1030">
        <f>IFERROR(INDEX(V754:AG754,1,MATCH(Parametres!$B$3,V$1:AG$1,0)-1)*IF(OR(C754="L",C754="S",C754="I"),-1,1),"")</f>
        <v>0</v>
      </c>
      <c r="AW754" s="1030">
        <f t="shared" si="47"/>
        <v>0</v>
      </c>
      <c r="AX754" s="1030">
        <f>INDEX(V754:AG754,1,MATCH(Parametres!$B$3,V$1:AG$1,0))*IF(OR(C754="L",C754="S",C754="I"),-1,1)</f>
        <v>0</v>
      </c>
      <c r="AY754" s="598" t="s">
        <v>337</v>
      </c>
      <c r="AZ754" s="598" t="e">
        <f>+VLOOKUP($AJ754,Data_Validation!$A:$E,5,0)</f>
        <v>#N/A</v>
      </c>
    </row>
    <row r="755" spans="36:52" ht="15" customHeight="1">
      <c r="AJ755" s="1030">
        <f t="shared" si="48"/>
        <v>0</v>
      </c>
      <c r="AK755" s="1030">
        <f t="shared" si="48"/>
        <v>0</v>
      </c>
      <c r="AL755" s="1030">
        <f>IFERROR(INDEX(G755:R755,1,MATCH(Parametres!$B$3,G$1:R$1,0)-1)*IF(OR(F755="L",F755="S",F755="I"),-1,1),"")</f>
        <v>0</v>
      </c>
      <c r="AM755" s="1030">
        <f t="shared" si="45"/>
        <v>0</v>
      </c>
      <c r="AN755" s="1030">
        <f>INDEX(G755:R755,1,MATCH(Parametres!$B$3,G$1:R$1,0))*IF(OR(F755="L",F755="S",F755="I"),-1,1)</f>
        <v>0</v>
      </c>
      <c r="AO755" s="598" t="e">
        <f>+VLOOKUP($AJ755,Data_Validation!$A:$D,1,0)</f>
        <v>#N/A</v>
      </c>
      <c r="AP755" s="598" t="e">
        <f>+VLOOKUP($AJ755,Data_Validation!$A:$D,3,0)</f>
        <v>#N/A</v>
      </c>
      <c r="AQ755" s="598" t="e">
        <f>+VLOOKUP($AJ755,Data_Validation!$A:$D,4,0)</f>
        <v>#N/A</v>
      </c>
      <c r="AR755" s="598" t="s">
        <v>299</v>
      </c>
      <c r="AS755" s="598" t="e">
        <f>+VLOOKUP($AJ755,Data_Validation!$A:$E,5,0)</f>
        <v>#N/A</v>
      </c>
      <c r="AT755" s="1036">
        <f t="shared" si="46"/>
        <v>0</v>
      </c>
      <c r="AU755" s="599">
        <f t="shared" si="46"/>
        <v>0</v>
      </c>
      <c r="AV755" s="1030">
        <f>IFERROR(INDEX(V755:AG755,1,MATCH(Parametres!$B$3,V$1:AG$1,0)-1)*IF(OR(C755="L",C755="S",C755="I"),-1,1),"")</f>
        <v>0</v>
      </c>
      <c r="AW755" s="1030">
        <f t="shared" si="47"/>
        <v>0</v>
      </c>
      <c r="AX755" s="1030">
        <f>INDEX(V755:AG755,1,MATCH(Parametres!$B$3,V$1:AG$1,0))*IF(OR(C755="L",C755="S",C755="I"),-1,1)</f>
        <v>0</v>
      </c>
      <c r="AY755" s="598" t="s">
        <v>337</v>
      </c>
      <c r="AZ755" s="598" t="e">
        <f>+VLOOKUP($AJ755,Data_Validation!$A:$E,5,0)</f>
        <v>#N/A</v>
      </c>
    </row>
    <row r="756" spans="36:52" ht="15" customHeight="1">
      <c r="AJ756" s="1030">
        <f t="shared" si="48"/>
        <v>0</v>
      </c>
      <c r="AK756" s="1030">
        <f t="shared" si="48"/>
        <v>0</v>
      </c>
      <c r="AL756" s="1030">
        <f>IFERROR(INDEX(G756:R756,1,MATCH(Parametres!$B$3,G$1:R$1,0)-1)*IF(OR(F756="L",F756="S",F756="I"),-1,1),"")</f>
        <v>0</v>
      </c>
      <c r="AM756" s="1030">
        <f t="shared" si="45"/>
        <v>0</v>
      </c>
      <c r="AN756" s="1030">
        <f>INDEX(G756:R756,1,MATCH(Parametres!$B$3,G$1:R$1,0))*IF(OR(F756="L",F756="S",F756="I"),-1,1)</f>
        <v>0</v>
      </c>
      <c r="AO756" s="598" t="e">
        <f>+VLOOKUP($AJ756,Data_Validation!$A:$D,1,0)</f>
        <v>#N/A</v>
      </c>
      <c r="AP756" s="598" t="e">
        <f>+VLOOKUP($AJ756,Data_Validation!$A:$D,3,0)</f>
        <v>#N/A</v>
      </c>
      <c r="AQ756" s="598" t="e">
        <f>+VLOOKUP($AJ756,Data_Validation!$A:$D,4,0)</f>
        <v>#N/A</v>
      </c>
      <c r="AR756" s="598" t="s">
        <v>299</v>
      </c>
      <c r="AS756" s="598" t="e">
        <f>+VLOOKUP($AJ756,Data_Validation!$A:$E,5,0)</f>
        <v>#N/A</v>
      </c>
      <c r="AT756" s="1036">
        <f t="shared" si="46"/>
        <v>0</v>
      </c>
      <c r="AU756" s="599">
        <f t="shared" si="46"/>
        <v>0</v>
      </c>
      <c r="AV756" s="1030">
        <f>IFERROR(INDEX(V756:AG756,1,MATCH(Parametres!$B$3,V$1:AG$1,0)-1)*IF(OR(C756="L",C756="S",C756="I"),-1,1),"")</f>
        <v>0</v>
      </c>
      <c r="AW756" s="1030">
        <f t="shared" si="47"/>
        <v>0</v>
      </c>
      <c r="AX756" s="1030">
        <f>INDEX(V756:AG756,1,MATCH(Parametres!$B$3,V$1:AG$1,0))*IF(OR(C756="L",C756="S",C756="I"),-1,1)</f>
        <v>0</v>
      </c>
      <c r="AY756" s="598" t="s">
        <v>337</v>
      </c>
      <c r="AZ756" s="598" t="e">
        <f>+VLOOKUP($AJ756,Data_Validation!$A:$E,5,0)</f>
        <v>#N/A</v>
      </c>
    </row>
    <row r="757" spans="36:52" ht="15" customHeight="1">
      <c r="AJ757" s="1030">
        <f t="shared" si="48"/>
        <v>0</v>
      </c>
      <c r="AK757" s="1030">
        <f t="shared" si="48"/>
        <v>0</v>
      </c>
      <c r="AL757" s="1030">
        <f>IFERROR(INDEX(G757:R757,1,MATCH(Parametres!$B$3,G$1:R$1,0)-1)*IF(OR(F757="L",F757="S",F757="I"),-1,1),"")</f>
        <v>0</v>
      </c>
      <c r="AM757" s="1030">
        <f t="shared" si="45"/>
        <v>0</v>
      </c>
      <c r="AN757" s="1030">
        <f>INDEX(G757:R757,1,MATCH(Parametres!$B$3,G$1:R$1,0))*IF(OR(F757="L",F757="S",F757="I"),-1,1)</f>
        <v>0</v>
      </c>
      <c r="AO757" s="598" t="e">
        <f>+VLOOKUP($AJ757,Data_Validation!$A:$D,1,0)</f>
        <v>#N/A</v>
      </c>
      <c r="AP757" s="598" t="e">
        <f>+VLOOKUP($AJ757,Data_Validation!$A:$D,3,0)</f>
        <v>#N/A</v>
      </c>
      <c r="AQ757" s="598" t="e">
        <f>+VLOOKUP($AJ757,Data_Validation!$A:$D,4,0)</f>
        <v>#N/A</v>
      </c>
      <c r="AR757" s="598" t="s">
        <v>299</v>
      </c>
      <c r="AS757" s="598" t="e">
        <f>+VLOOKUP($AJ757,Data_Validation!$A:$E,5,0)</f>
        <v>#N/A</v>
      </c>
      <c r="AT757" s="1036">
        <f t="shared" si="46"/>
        <v>0</v>
      </c>
      <c r="AU757" s="599">
        <f t="shared" si="46"/>
        <v>0</v>
      </c>
      <c r="AV757" s="1030">
        <f>IFERROR(INDEX(V757:AG757,1,MATCH(Parametres!$B$3,V$1:AG$1,0)-1)*IF(OR(C757="L",C757="S",C757="I"),-1,1),"")</f>
        <v>0</v>
      </c>
      <c r="AW757" s="1030">
        <f t="shared" si="47"/>
        <v>0</v>
      </c>
      <c r="AX757" s="1030">
        <f>INDEX(V757:AG757,1,MATCH(Parametres!$B$3,V$1:AG$1,0))*IF(OR(C757="L",C757="S",C757="I"),-1,1)</f>
        <v>0</v>
      </c>
      <c r="AY757" s="598" t="s">
        <v>337</v>
      </c>
      <c r="AZ757" s="598" t="e">
        <f>+VLOOKUP($AJ757,Data_Validation!$A:$E,5,0)</f>
        <v>#N/A</v>
      </c>
    </row>
    <row r="758" spans="36:52" ht="15" customHeight="1">
      <c r="AJ758" s="1030">
        <f t="shared" si="48"/>
        <v>0</v>
      </c>
      <c r="AK758" s="1030">
        <f t="shared" si="48"/>
        <v>0</v>
      </c>
      <c r="AL758" s="1030">
        <f>IFERROR(INDEX(G758:R758,1,MATCH(Parametres!$B$3,G$1:R$1,0)-1)*IF(OR(F758="L",F758="S",F758="I"),-1,1),"")</f>
        <v>0</v>
      </c>
      <c r="AM758" s="1030">
        <f t="shared" si="45"/>
        <v>0</v>
      </c>
      <c r="AN758" s="1030">
        <f>INDEX(G758:R758,1,MATCH(Parametres!$B$3,G$1:R$1,0))*IF(OR(F758="L",F758="S",F758="I"),-1,1)</f>
        <v>0</v>
      </c>
      <c r="AO758" s="598" t="e">
        <f>+VLOOKUP($AJ758,Data_Validation!$A:$D,1,0)</f>
        <v>#N/A</v>
      </c>
      <c r="AP758" s="598" t="e">
        <f>+VLOOKUP($AJ758,Data_Validation!$A:$D,3,0)</f>
        <v>#N/A</v>
      </c>
      <c r="AQ758" s="598" t="e">
        <f>+VLOOKUP($AJ758,Data_Validation!$A:$D,4,0)</f>
        <v>#N/A</v>
      </c>
      <c r="AR758" s="598" t="s">
        <v>299</v>
      </c>
      <c r="AS758" s="598" t="e">
        <f>+VLOOKUP($AJ758,Data_Validation!$A:$E,5,0)</f>
        <v>#N/A</v>
      </c>
      <c r="AT758" s="1036">
        <f t="shared" si="46"/>
        <v>0</v>
      </c>
      <c r="AU758" s="599">
        <f t="shared" si="46"/>
        <v>0</v>
      </c>
      <c r="AV758" s="1030">
        <f>IFERROR(INDEX(V758:AG758,1,MATCH(Parametres!$B$3,V$1:AG$1,0)-1)*IF(OR(C758="L",C758="S",C758="I"),-1,1),"")</f>
        <v>0</v>
      </c>
      <c r="AW758" s="1030">
        <f t="shared" si="47"/>
        <v>0</v>
      </c>
      <c r="AX758" s="1030">
        <f>INDEX(V758:AG758,1,MATCH(Parametres!$B$3,V$1:AG$1,0))*IF(OR(C758="L",C758="S",C758="I"),-1,1)</f>
        <v>0</v>
      </c>
      <c r="AY758" s="598" t="s">
        <v>337</v>
      </c>
      <c r="AZ758" s="598" t="e">
        <f>+VLOOKUP($AJ758,Data_Validation!$A:$E,5,0)</f>
        <v>#N/A</v>
      </c>
    </row>
    <row r="759" spans="36:52" ht="15" customHeight="1">
      <c r="AJ759" s="1030">
        <f t="shared" si="48"/>
        <v>0</v>
      </c>
      <c r="AK759" s="1030">
        <f t="shared" si="48"/>
        <v>0</v>
      </c>
      <c r="AL759" s="1030">
        <f>IFERROR(INDEX(G759:R759,1,MATCH(Parametres!$B$3,G$1:R$1,0)-1)*IF(OR(F759="L",F759="S",F759="I"),-1,1),"")</f>
        <v>0</v>
      </c>
      <c r="AM759" s="1030">
        <f t="shared" si="45"/>
        <v>0</v>
      </c>
      <c r="AN759" s="1030">
        <f>INDEX(G759:R759,1,MATCH(Parametres!$B$3,G$1:R$1,0))*IF(OR(F759="L",F759="S",F759="I"),-1,1)</f>
        <v>0</v>
      </c>
      <c r="AO759" s="598" t="e">
        <f>+VLOOKUP($AJ759,Data_Validation!$A:$D,1,0)</f>
        <v>#N/A</v>
      </c>
      <c r="AP759" s="598" t="e">
        <f>+VLOOKUP($AJ759,Data_Validation!$A:$D,3,0)</f>
        <v>#N/A</v>
      </c>
      <c r="AQ759" s="598" t="e">
        <f>+VLOOKUP($AJ759,Data_Validation!$A:$D,4,0)</f>
        <v>#N/A</v>
      </c>
      <c r="AR759" s="598" t="s">
        <v>299</v>
      </c>
      <c r="AS759" s="598" t="e">
        <f>+VLOOKUP($AJ759,Data_Validation!$A:$E,5,0)</f>
        <v>#N/A</v>
      </c>
      <c r="AT759" s="1036">
        <f t="shared" si="46"/>
        <v>0</v>
      </c>
      <c r="AU759" s="599">
        <f t="shared" si="46"/>
        <v>0</v>
      </c>
      <c r="AV759" s="1030">
        <f>IFERROR(INDEX(V759:AG759,1,MATCH(Parametres!$B$3,V$1:AG$1,0)-1)*IF(OR(C759="L",C759="S",C759="I"),-1,1),"")</f>
        <v>0</v>
      </c>
      <c r="AW759" s="1030">
        <f t="shared" si="47"/>
        <v>0</v>
      </c>
      <c r="AX759" s="1030">
        <f>INDEX(V759:AG759,1,MATCH(Parametres!$B$3,V$1:AG$1,0))*IF(OR(C759="L",C759="S",C759="I"),-1,1)</f>
        <v>0</v>
      </c>
      <c r="AY759" s="598" t="s">
        <v>337</v>
      </c>
      <c r="AZ759" s="598" t="e">
        <f>+VLOOKUP($AJ759,Data_Validation!$A:$E,5,0)</f>
        <v>#N/A</v>
      </c>
    </row>
    <row r="760" spans="36:52" ht="15" customHeight="1">
      <c r="AJ760" s="1030">
        <f t="shared" si="48"/>
        <v>0</v>
      </c>
      <c r="AK760" s="1030">
        <f t="shared" si="48"/>
        <v>0</v>
      </c>
      <c r="AL760" s="1030">
        <f>IFERROR(INDEX(G760:R760,1,MATCH(Parametres!$B$3,G$1:R$1,0)-1)*IF(OR(F760="L",F760="S",F760="I"),-1,1),"")</f>
        <v>0</v>
      </c>
      <c r="AM760" s="1030">
        <f t="shared" si="45"/>
        <v>0</v>
      </c>
      <c r="AN760" s="1030">
        <f>INDEX(G760:R760,1,MATCH(Parametres!$B$3,G$1:R$1,0))*IF(OR(F760="L",F760="S",F760="I"),-1,1)</f>
        <v>0</v>
      </c>
      <c r="AO760" s="598" t="e">
        <f>+VLOOKUP($AJ760,Data_Validation!$A:$D,1,0)</f>
        <v>#N/A</v>
      </c>
      <c r="AP760" s="598" t="e">
        <f>+VLOOKUP($AJ760,Data_Validation!$A:$D,3,0)</f>
        <v>#N/A</v>
      </c>
      <c r="AQ760" s="598" t="e">
        <f>+VLOOKUP($AJ760,Data_Validation!$A:$D,4,0)</f>
        <v>#N/A</v>
      </c>
      <c r="AR760" s="598" t="s">
        <v>299</v>
      </c>
      <c r="AS760" s="598" t="e">
        <f>+VLOOKUP($AJ760,Data_Validation!$A:$E,5,0)</f>
        <v>#N/A</v>
      </c>
      <c r="AT760" s="1036">
        <f t="shared" si="46"/>
        <v>0</v>
      </c>
      <c r="AU760" s="599">
        <f t="shared" si="46"/>
        <v>0</v>
      </c>
      <c r="AV760" s="1030">
        <f>IFERROR(INDEX(V760:AG760,1,MATCH(Parametres!$B$3,V$1:AG$1,0)-1)*IF(OR(C760="L",C760="S",C760="I"),-1,1),"")</f>
        <v>0</v>
      </c>
      <c r="AW760" s="1030">
        <f t="shared" si="47"/>
        <v>0</v>
      </c>
      <c r="AX760" s="1030">
        <f>INDEX(V760:AG760,1,MATCH(Parametres!$B$3,V$1:AG$1,0))*IF(OR(C760="L",C760="S",C760="I"),-1,1)</f>
        <v>0</v>
      </c>
      <c r="AY760" s="598" t="s">
        <v>337</v>
      </c>
      <c r="AZ760" s="598" t="e">
        <f>+VLOOKUP($AJ760,Data_Validation!$A:$E,5,0)</f>
        <v>#N/A</v>
      </c>
    </row>
    <row r="761" spans="36:52" ht="15" customHeight="1">
      <c r="AJ761" s="1030">
        <f t="shared" si="48"/>
        <v>0</v>
      </c>
      <c r="AK761" s="1030">
        <f t="shared" si="48"/>
        <v>0</v>
      </c>
      <c r="AL761" s="1030">
        <f>IFERROR(INDEX(G761:R761,1,MATCH(Parametres!$B$3,G$1:R$1,0)-1)*IF(OR(F761="L",F761="S",F761="I"),-1,1),"")</f>
        <v>0</v>
      </c>
      <c r="AM761" s="1030">
        <f t="shared" si="45"/>
        <v>0</v>
      </c>
      <c r="AN761" s="1030">
        <f>INDEX(G761:R761,1,MATCH(Parametres!$B$3,G$1:R$1,0))*IF(OR(F761="L",F761="S",F761="I"),-1,1)</f>
        <v>0</v>
      </c>
      <c r="AO761" s="598" t="e">
        <f>+VLOOKUP($AJ761,Data_Validation!$A:$D,1,0)</f>
        <v>#N/A</v>
      </c>
      <c r="AP761" s="598" t="e">
        <f>+VLOOKUP($AJ761,Data_Validation!$A:$D,3,0)</f>
        <v>#N/A</v>
      </c>
      <c r="AQ761" s="598" t="e">
        <f>+VLOOKUP($AJ761,Data_Validation!$A:$D,4,0)</f>
        <v>#N/A</v>
      </c>
      <c r="AR761" s="598" t="s">
        <v>299</v>
      </c>
      <c r="AS761" s="598" t="e">
        <f>+VLOOKUP($AJ761,Data_Validation!$A:$E,5,0)</f>
        <v>#N/A</v>
      </c>
      <c r="AT761" s="1036">
        <f t="shared" si="46"/>
        <v>0</v>
      </c>
      <c r="AU761" s="599">
        <f t="shared" si="46"/>
        <v>0</v>
      </c>
      <c r="AV761" s="1030">
        <f>IFERROR(INDEX(V761:AG761,1,MATCH(Parametres!$B$3,V$1:AG$1,0)-1)*IF(OR(C761="L",C761="S",C761="I"),-1,1),"")</f>
        <v>0</v>
      </c>
      <c r="AW761" s="1030">
        <f t="shared" si="47"/>
        <v>0</v>
      </c>
      <c r="AX761" s="1030">
        <f>INDEX(V761:AG761,1,MATCH(Parametres!$B$3,V$1:AG$1,0))*IF(OR(C761="L",C761="S",C761="I"),-1,1)</f>
        <v>0</v>
      </c>
      <c r="AY761" s="598" t="s">
        <v>337</v>
      </c>
      <c r="AZ761" s="598" t="e">
        <f>+VLOOKUP($AJ761,Data_Validation!$A:$E,5,0)</f>
        <v>#N/A</v>
      </c>
    </row>
    <row r="762" spans="36:52" ht="15" customHeight="1">
      <c r="AJ762" s="1030">
        <f t="shared" si="48"/>
        <v>0</v>
      </c>
      <c r="AK762" s="1030">
        <f t="shared" si="48"/>
        <v>0</v>
      </c>
      <c r="AL762" s="1030">
        <f>IFERROR(INDEX(G762:R762,1,MATCH(Parametres!$B$3,G$1:R$1,0)-1)*IF(OR(F762="L",F762="S",F762="I"),-1,1),"")</f>
        <v>0</v>
      </c>
      <c r="AM762" s="1030">
        <f t="shared" si="45"/>
        <v>0</v>
      </c>
      <c r="AN762" s="1030">
        <f>INDEX(G762:R762,1,MATCH(Parametres!$B$3,G$1:R$1,0))*IF(OR(F762="L",F762="S",F762="I"),-1,1)</f>
        <v>0</v>
      </c>
      <c r="AO762" s="598" t="e">
        <f>+VLOOKUP($AJ762,Data_Validation!$A:$D,1,0)</f>
        <v>#N/A</v>
      </c>
      <c r="AP762" s="598" t="e">
        <f>+VLOOKUP($AJ762,Data_Validation!$A:$D,3,0)</f>
        <v>#N/A</v>
      </c>
      <c r="AQ762" s="598" t="e">
        <f>+VLOOKUP($AJ762,Data_Validation!$A:$D,4,0)</f>
        <v>#N/A</v>
      </c>
      <c r="AR762" s="598" t="s">
        <v>299</v>
      </c>
      <c r="AS762" s="598" t="e">
        <f>+VLOOKUP($AJ762,Data_Validation!$A:$E,5,0)</f>
        <v>#N/A</v>
      </c>
      <c r="AT762" s="1036">
        <f t="shared" si="46"/>
        <v>0</v>
      </c>
      <c r="AU762" s="599">
        <f t="shared" si="46"/>
        <v>0</v>
      </c>
      <c r="AV762" s="1030">
        <f>IFERROR(INDEX(V762:AG762,1,MATCH(Parametres!$B$3,V$1:AG$1,0)-1)*IF(OR(C762="L",C762="S",C762="I"),-1,1),"")</f>
        <v>0</v>
      </c>
      <c r="AW762" s="1030">
        <f t="shared" si="47"/>
        <v>0</v>
      </c>
      <c r="AX762" s="1030">
        <f>INDEX(V762:AG762,1,MATCH(Parametres!$B$3,V$1:AG$1,0))*IF(OR(C762="L",C762="S",C762="I"),-1,1)</f>
        <v>0</v>
      </c>
      <c r="AY762" s="598" t="s">
        <v>337</v>
      </c>
      <c r="AZ762" s="598" t="e">
        <f>+VLOOKUP($AJ762,Data_Validation!$A:$E,5,0)</f>
        <v>#N/A</v>
      </c>
    </row>
    <row r="763" spans="36:52" ht="15" customHeight="1">
      <c r="AJ763" s="1030">
        <f t="shared" si="48"/>
        <v>0</v>
      </c>
      <c r="AK763" s="1030">
        <f t="shared" si="48"/>
        <v>0</v>
      </c>
      <c r="AL763" s="1030">
        <f>IFERROR(INDEX(G763:R763,1,MATCH(Parametres!$B$3,G$1:R$1,0)-1)*IF(OR(F763="L",F763="S",F763="I"),-1,1),"")</f>
        <v>0</v>
      </c>
      <c r="AM763" s="1030">
        <f t="shared" si="45"/>
        <v>0</v>
      </c>
      <c r="AN763" s="1030">
        <f>INDEX(G763:R763,1,MATCH(Parametres!$B$3,G$1:R$1,0))*IF(OR(F763="L",F763="S",F763="I"),-1,1)</f>
        <v>0</v>
      </c>
      <c r="AO763" s="598" t="e">
        <f>+VLOOKUP($AJ763,Data_Validation!$A:$D,1,0)</f>
        <v>#N/A</v>
      </c>
      <c r="AP763" s="598" t="e">
        <f>+VLOOKUP($AJ763,Data_Validation!$A:$D,3,0)</f>
        <v>#N/A</v>
      </c>
      <c r="AQ763" s="598" t="e">
        <f>+VLOOKUP($AJ763,Data_Validation!$A:$D,4,0)</f>
        <v>#N/A</v>
      </c>
      <c r="AR763" s="598" t="s">
        <v>299</v>
      </c>
      <c r="AS763" s="598" t="e">
        <f>+VLOOKUP($AJ763,Data_Validation!$A:$E,5,0)</f>
        <v>#N/A</v>
      </c>
      <c r="AT763" s="1036">
        <f t="shared" si="46"/>
        <v>0</v>
      </c>
      <c r="AU763" s="599">
        <f t="shared" si="46"/>
        <v>0</v>
      </c>
      <c r="AV763" s="1030">
        <f>IFERROR(INDEX(V763:AG763,1,MATCH(Parametres!$B$3,V$1:AG$1,0)-1)*IF(OR(C763="L",C763="S",C763="I"),-1,1),"")</f>
        <v>0</v>
      </c>
      <c r="AW763" s="1030">
        <f t="shared" si="47"/>
        <v>0</v>
      </c>
      <c r="AX763" s="1030">
        <f>INDEX(V763:AG763,1,MATCH(Parametres!$B$3,V$1:AG$1,0))*IF(OR(C763="L",C763="S",C763="I"),-1,1)</f>
        <v>0</v>
      </c>
      <c r="AY763" s="598" t="s">
        <v>337</v>
      </c>
      <c r="AZ763" s="598" t="e">
        <f>+VLOOKUP($AJ763,Data_Validation!$A:$E,5,0)</f>
        <v>#N/A</v>
      </c>
    </row>
    <row r="764" spans="36:52" ht="15" customHeight="1">
      <c r="AJ764" s="1030">
        <f t="shared" si="48"/>
        <v>0</v>
      </c>
      <c r="AK764" s="1030">
        <f t="shared" si="48"/>
        <v>0</v>
      </c>
      <c r="AL764" s="1030">
        <f>IFERROR(INDEX(G764:R764,1,MATCH(Parametres!$B$3,G$1:R$1,0)-1)*IF(OR(F764="L",F764="S",F764="I"),-1,1),"")</f>
        <v>0</v>
      </c>
      <c r="AM764" s="1030">
        <f t="shared" si="45"/>
        <v>0</v>
      </c>
      <c r="AN764" s="1030">
        <f>INDEX(G764:R764,1,MATCH(Parametres!$B$3,G$1:R$1,0))*IF(OR(F764="L",F764="S",F764="I"),-1,1)</f>
        <v>0</v>
      </c>
      <c r="AO764" s="598" t="e">
        <f>+VLOOKUP($AJ764,Data_Validation!$A:$D,1,0)</f>
        <v>#N/A</v>
      </c>
      <c r="AP764" s="598" t="e">
        <f>+VLOOKUP($AJ764,Data_Validation!$A:$D,3,0)</f>
        <v>#N/A</v>
      </c>
      <c r="AQ764" s="598" t="e">
        <f>+VLOOKUP($AJ764,Data_Validation!$A:$D,4,0)</f>
        <v>#N/A</v>
      </c>
      <c r="AR764" s="598" t="s">
        <v>299</v>
      </c>
      <c r="AS764" s="598" t="e">
        <f>+VLOOKUP($AJ764,Data_Validation!$A:$E,5,0)</f>
        <v>#N/A</v>
      </c>
      <c r="AT764" s="1036">
        <f t="shared" si="46"/>
        <v>0</v>
      </c>
      <c r="AU764" s="599">
        <f t="shared" si="46"/>
        <v>0</v>
      </c>
      <c r="AV764" s="1030">
        <f>IFERROR(INDEX(V764:AG764,1,MATCH(Parametres!$B$3,V$1:AG$1,0)-1)*IF(OR(C764="L",C764="S",C764="I"),-1,1),"")</f>
        <v>0</v>
      </c>
      <c r="AW764" s="1030">
        <f t="shared" si="47"/>
        <v>0</v>
      </c>
      <c r="AX764" s="1030">
        <f>INDEX(V764:AG764,1,MATCH(Parametres!$B$3,V$1:AG$1,0))*IF(OR(C764="L",C764="S",C764="I"),-1,1)</f>
        <v>0</v>
      </c>
      <c r="AY764" s="598" t="s">
        <v>337</v>
      </c>
      <c r="AZ764" s="598" t="e">
        <f>+VLOOKUP($AJ764,Data_Validation!$A:$E,5,0)</f>
        <v>#N/A</v>
      </c>
    </row>
    <row r="765" spans="36:52" ht="15" customHeight="1">
      <c r="AJ765" s="1030">
        <f t="shared" si="48"/>
        <v>0</v>
      </c>
      <c r="AK765" s="1030">
        <f t="shared" si="48"/>
        <v>0</v>
      </c>
      <c r="AL765" s="1030">
        <f>IFERROR(INDEX(G765:R765,1,MATCH(Parametres!$B$3,G$1:R$1,0)-1)*IF(OR(F765="L",F765="S",F765="I"),-1,1),"")</f>
        <v>0</v>
      </c>
      <c r="AM765" s="1030">
        <f t="shared" si="45"/>
        <v>0</v>
      </c>
      <c r="AN765" s="1030">
        <f>INDEX(G765:R765,1,MATCH(Parametres!$B$3,G$1:R$1,0))*IF(OR(F765="L",F765="S",F765="I"),-1,1)</f>
        <v>0</v>
      </c>
      <c r="AO765" s="598" t="e">
        <f>+VLOOKUP($AJ765,Data_Validation!$A:$D,1,0)</f>
        <v>#N/A</v>
      </c>
      <c r="AP765" s="598" t="e">
        <f>+VLOOKUP($AJ765,Data_Validation!$A:$D,3,0)</f>
        <v>#N/A</v>
      </c>
      <c r="AQ765" s="598" t="e">
        <f>+VLOOKUP($AJ765,Data_Validation!$A:$D,4,0)</f>
        <v>#N/A</v>
      </c>
      <c r="AR765" s="598" t="s">
        <v>299</v>
      </c>
      <c r="AS765" s="598" t="e">
        <f>+VLOOKUP($AJ765,Data_Validation!$A:$E,5,0)</f>
        <v>#N/A</v>
      </c>
      <c r="AT765" s="1036">
        <f t="shared" si="46"/>
        <v>0</v>
      </c>
      <c r="AU765" s="599">
        <f t="shared" si="46"/>
        <v>0</v>
      </c>
      <c r="AV765" s="1030">
        <f>IFERROR(INDEX(V765:AG765,1,MATCH(Parametres!$B$3,V$1:AG$1,0)-1)*IF(OR(C765="L",C765="S",C765="I"),-1,1),"")</f>
        <v>0</v>
      </c>
      <c r="AW765" s="1030">
        <f t="shared" si="47"/>
        <v>0</v>
      </c>
      <c r="AX765" s="1030">
        <f>INDEX(V765:AG765,1,MATCH(Parametres!$B$3,V$1:AG$1,0))*IF(OR(C765="L",C765="S",C765="I"),-1,1)</f>
        <v>0</v>
      </c>
      <c r="AY765" s="598" t="s">
        <v>337</v>
      </c>
      <c r="AZ765" s="598" t="e">
        <f>+VLOOKUP($AJ765,Data_Validation!$A:$E,5,0)</f>
        <v>#N/A</v>
      </c>
    </row>
    <row r="766" spans="36:52" ht="15" customHeight="1">
      <c r="AJ766" s="1030">
        <f t="shared" si="48"/>
        <v>0</v>
      </c>
      <c r="AK766" s="1030">
        <f t="shared" si="48"/>
        <v>0</v>
      </c>
      <c r="AL766" s="1030">
        <f>IFERROR(INDEX(G766:R766,1,MATCH(Parametres!$B$3,G$1:R$1,0)-1)*IF(OR(F766="L",F766="S",F766="I"),-1,1),"")</f>
        <v>0</v>
      </c>
      <c r="AM766" s="1030">
        <f t="shared" si="45"/>
        <v>0</v>
      </c>
      <c r="AN766" s="1030">
        <f>INDEX(G766:R766,1,MATCH(Parametres!$B$3,G$1:R$1,0))*IF(OR(F766="L",F766="S",F766="I"),-1,1)</f>
        <v>0</v>
      </c>
      <c r="AO766" s="598" t="e">
        <f>+VLOOKUP($AJ766,Data_Validation!$A:$D,1,0)</f>
        <v>#N/A</v>
      </c>
      <c r="AP766" s="598" t="e">
        <f>+VLOOKUP($AJ766,Data_Validation!$A:$D,3,0)</f>
        <v>#N/A</v>
      </c>
      <c r="AQ766" s="598" t="e">
        <f>+VLOOKUP($AJ766,Data_Validation!$A:$D,4,0)</f>
        <v>#N/A</v>
      </c>
      <c r="AR766" s="598" t="s">
        <v>299</v>
      </c>
      <c r="AS766" s="598" t="e">
        <f>+VLOOKUP($AJ766,Data_Validation!$A:$E,5,0)</f>
        <v>#N/A</v>
      </c>
      <c r="AT766" s="1036">
        <f t="shared" si="46"/>
        <v>0</v>
      </c>
      <c r="AU766" s="599">
        <f t="shared" si="46"/>
        <v>0</v>
      </c>
      <c r="AV766" s="1030">
        <f>IFERROR(INDEX(V766:AG766,1,MATCH(Parametres!$B$3,V$1:AG$1,0)-1)*IF(OR(C766="L",C766="S",C766="I"),-1,1),"")</f>
        <v>0</v>
      </c>
      <c r="AW766" s="1030">
        <f t="shared" si="47"/>
        <v>0</v>
      </c>
      <c r="AX766" s="1030">
        <f>INDEX(V766:AG766,1,MATCH(Parametres!$B$3,V$1:AG$1,0))*IF(OR(C766="L",C766="S",C766="I"),-1,1)</f>
        <v>0</v>
      </c>
      <c r="AY766" s="598" t="s">
        <v>337</v>
      </c>
      <c r="AZ766" s="598" t="e">
        <f>+VLOOKUP($AJ766,Data_Validation!$A:$E,5,0)</f>
        <v>#N/A</v>
      </c>
    </row>
    <row r="767" spans="36:52" ht="15" customHeight="1">
      <c r="AJ767" s="1030">
        <f t="shared" si="48"/>
        <v>0</v>
      </c>
      <c r="AK767" s="1030">
        <f t="shared" si="48"/>
        <v>0</v>
      </c>
      <c r="AL767" s="1030">
        <f>IFERROR(INDEX(G767:R767,1,MATCH(Parametres!$B$3,G$1:R$1,0)-1)*IF(OR(F767="L",F767="S",F767="I"),-1,1),"")</f>
        <v>0</v>
      </c>
      <c r="AM767" s="1030">
        <f t="shared" si="45"/>
        <v>0</v>
      </c>
      <c r="AN767" s="1030">
        <f>INDEX(G767:R767,1,MATCH(Parametres!$B$3,G$1:R$1,0))*IF(OR(F767="L",F767="S",F767="I"),-1,1)</f>
        <v>0</v>
      </c>
      <c r="AO767" s="598" t="e">
        <f>+VLOOKUP($AJ767,Data_Validation!$A:$D,1,0)</f>
        <v>#N/A</v>
      </c>
      <c r="AP767" s="598" t="e">
        <f>+VLOOKUP($AJ767,Data_Validation!$A:$D,3,0)</f>
        <v>#N/A</v>
      </c>
      <c r="AQ767" s="598" t="e">
        <f>+VLOOKUP($AJ767,Data_Validation!$A:$D,4,0)</f>
        <v>#N/A</v>
      </c>
      <c r="AR767" s="598" t="s">
        <v>299</v>
      </c>
      <c r="AS767" s="598" t="e">
        <f>+VLOOKUP($AJ767,Data_Validation!$A:$E,5,0)</f>
        <v>#N/A</v>
      </c>
      <c r="AT767" s="1036">
        <f t="shared" si="46"/>
        <v>0</v>
      </c>
      <c r="AU767" s="599">
        <f t="shared" si="46"/>
        <v>0</v>
      </c>
      <c r="AV767" s="1030">
        <f>IFERROR(INDEX(V767:AG767,1,MATCH(Parametres!$B$3,V$1:AG$1,0)-1)*IF(OR(C767="L",C767="S",C767="I"),-1,1),"")</f>
        <v>0</v>
      </c>
      <c r="AW767" s="1030">
        <f t="shared" si="47"/>
        <v>0</v>
      </c>
      <c r="AX767" s="1030">
        <f>INDEX(V767:AG767,1,MATCH(Parametres!$B$3,V$1:AG$1,0))*IF(OR(C767="L",C767="S",C767="I"),-1,1)</f>
        <v>0</v>
      </c>
      <c r="AY767" s="598" t="s">
        <v>337</v>
      </c>
      <c r="AZ767" s="598" t="e">
        <f>+VLOOKUP($AJ767,Data_Validation!$A:$E,5,0)</f>
        <v>#N/A</v>
      </c>
    </row>
    <row r="768" spans="36:52" ht="15" customHeight="1">
      <c r="AJ768" s="1030">
        <f t="shared" si="48"/>
        <v>0</v>
      </c>
      <c r="AK768" s="1030">
        <f t="shared" si="48"/>
        <v>0</v>
      </c>
      <c r="AL768" s="1030">
        <f>IFERROR(INDEX(G768:R768,1,MATCH(Parametres!$B$3,G$1:R$1,0)-1)*IF(OR(F768="L",F768="S",F768="I"),-1,1),"")</f>
        <v>0</v>
      </c>
      <c r="AM768" s="1030">
        <f t="shared" si="45"/>
        <v>0</v>
      </c>
      <c r="AN768" s="1030">
        <f>INDEX(G768:R768,1,MATCH(Parametres!$B$3,G$1:R$1,0))*IF(OR(F768="L",F768="S",F768="I"),-1,1)</f>
        <v>0</v>
      </c>
      <c r="AO768" s="598" t="e">
        <f>+VLOOKUP($AJ768,Data_Validation!$A:$D,1,0)</f>
        <v>#N/A</v>
      </c>
      <c r="AP768" s="598" t="e">
        <f>+VLOOKUP($AJ768,Data_Validation!$A:$D,3,0)</f>
        <v>#N/A</v>
      </c>
      <c r="AQ768" s="598" t="e">
        <f>+VLOOKUP($AJ768,Data_Validation!$A:$D,4,0)</f>
        <v>#N/A</v>
      </c>
      <c r="AR768" s="598" t="s">
        <v>299</v>
      </c>
      <c r="AS768" s="598" t="e">
        <f>+VLOOKUP($AJ768,Data_Validation!$A:$E,5,0)</f>
        <v>#N/A</v>
      </c>
      <c r="AT768" s="1036">
        <f t="shared" si="46"/>
        <v>0</v>
      </c>
      <c r="AU768" s="599">
        <f t="shared" si="46"/>
        <v>0</v>
      </c>
      <c r="AV768" s="1030">
        <f>IFERROR(INDEX(V768:AG768,1,MATCH(Parametres!$B$3,V$1:AG$1,0)-1)*IF(OR(C768="L",C768="S",C768="I"),-1,1),"")</f>
        <v>0</v>
      </c>
      <c r="AW768" s="1030">
        <f t="shared" si="47"/>
        <v>0</v>
      </c>
      <c r="AX768" s="1030">
        <f>INDEX(V768:AG768,1,MATCH(Parametres!$B$3,V$1:AG$1,0))*IF(OR(C768="L",C768="S",C768="I"),-1,1)</f>
        <v>0</v>
      </c>
      <c r="AY768" s="598" t="s">
        <v>337</v>
      </c>
      <c r="AZ768" s="598" t="e">
        <f>+VLOOKUP($AJ768,Data_Validation!$A:$E,5,0)</f>
        <v>#N/A</v>
      </c>
    </row>
    <row r="769" spans="36:52" ht="15" customHeight="1">
      <c r="AJ769" s="1030">
        <f t="shared" si="48"/>
        <v>0</v>
      </c>
      <c r="AK769" s="1030">
        <f t="shared" si="48"/>
        <v>0</v>
      </c>
      <c r="AL769" s="1030">
        <f>IFERROR(INDEX(G769:R769,1,MATCH(Parametres!$B$3,G$1:R$1,0)-1)*IF(OR(F769="L",F769="S",F769="I"),-1,1),"")</f>
        <v>0</v>
      </c>
      <c r="AM769" s="1030">
        <f t="shared" si="45"/>
        <v>0</v>
      </c>
      <c r="AN769" s="1030">
        <f>INDEX(G769:R769,1,MATCH(Parametres!$B$3,G$1:R$1,0))*IF(OR(F769="L",F769="S",F769="I"),-1,1)</f>
        <v>0</v>
      </c>
      <c r="AO769" s="598" t="e">
        <f>+VLOOKUP($AJ769,Data_Validation!$A:$D,1,0)</f>
        <v>#N/A</v>
      </c>
      <c r="AP769" s="598" t="e">
        <f>+VLOOKUP($AJ769,Data_Validation!$A:$D,3,0)</f>
        <v>#N/A</v>
      </c>
      <c r="AQ769" s="598" t="e">
        <f>+VLOOKUP($AJ769,Data_Validation!$A:$D,4,0)</f>
        <v>#N/A</v>
      </c>
      <c r="AR769" s="598" t="s">
        <v>299</v>
      </c>
      <c r="AS769" s="598" t="e">
        <f>+VLOOKUP($AJ769,Data_Validation!$A:$E,5,0)</f>
        <v>#N/A</v>
      </c>
      <c r="AT769" s="1036">
        <f t="shared" si="46"/>
        <v>0</v>
      </c>
      <c r="AU769" s="599">
        <f t="shared" si="46"/>
        <v>0</v>
      </c>
      <c r="AV769" s="1030">
        <f>IFERROR(INDEX(V769:AG769,1,MATCH(Parametres!$B$3,V$1:AG$1,0)-1)*IF(OR(C769="L",C769="S",C769="I"),-1,1),"")</f>
        <v>0</v>
      </c>
      <c r="AW769" s="1030">
        <f t="shared" si="47"/>
        <v>0</v>
      </c>
      <c r="AX769" s="1030">
        <f>INDEX(V769:AG769,1,MATCH(Parametres!$B$3,V$1:AG$1,0))*IF(OR(C769="L",C769="S",C769="I"),-1,1)</f>
        <v>0</v>
      </c>
      <c r="AY769" s="598" t="s">
        <v>337</v>
      </c>
      <c r="AZ769" s="598" t="e">
        <f>+VLOOKUP($AJ769,Data_Validation!$A:$E,5,0)</f>
        <v>#N/A</v>
      </c>
    </row>
    <row r="770" spans="36:52" ht="15" customHeight="1">
      <c r="AJ770" s="1030">
        <f t="shared" si="48"/>
        <v>0</v>
      </c>
      <c r="AK770" s="1030">
        <f t="shared" si="48"/>
        <v>0</v>
      </c>
      <c r="AL770" s="1030">
        <f>IFERROR(INDEX(G770:R770,1,MATCH(Parametres!$B$3,G$1:R$1,0)-1)*IF(OR(F770="L",F770="S",F770="I"),-1,1),"")</f>
        <v>0</v>
      </c>
      <c r="AM770" s="1030">
        <f t="shared" si="45"/>
        <v>0</v>
      </c>
      <c r="AN770" s="1030">
        <f>INDEX(G770:R770,1,MATCH(Parametres!$B$3,G$1:R$1,0))*IF(OR(F770="L",F770="S",F770="I"),-1,1)</f>
        <v>0</v>
      </c>
      <c r="AO770" s="598" t="e">
        <f>+VLOOKUP($AJ770,Data_Validation!$A:$D,1,0)</f>
        <v>#N/A</v>
      </c>
      <c r="AP770" s="598" t="e">
        <f>+VLOOKUP($AJ770,Data_Validation!$A:$D,3,0)</f>
        <v>#N/A</v>
      </c>
      <c r="AQ770" s="598" t="e">
        <f>+VLOOKUP($AJ770,Data_Validation!$A:$D,4,0)</f>
        <v>#N/A</v>
      </c>
      <c r="AR770" s="598" t="s">
        <v>299</v>
      </c>
      <c r="AS770" s="598" t="e">
        <f>+VLOOKUP($AJ770,Data_Validation!$A:$E,5,0)</f>
        <v>#N/A</v>
      </c>
      <c r="AT770" s="1036">
        <f t="shared" si="46"/>
        <v>0</v>
      </c>
      <c r="AU770" s="599">
        <f t="shared" si="46"/>
        <v>0</v>
      </c>
      <c r="AV770" s="1030">
        <f>IFERROR(INDEX(V770:AG770,1,MATCH(Parametres!$B$3,V$1:AG$1,0)-1)*IF(OR(C770="L",C770="S",C770="I"),-1,1),"")</f>
        <v>0</v>
      </c>
      <c r="AW770" s="1030">
        <f t="shared" si="47"/>
        <v>0</v>
      </c>
      <c r="AX770" s="1030">
        <f>INDEX(V770:AG770,1,MATCH(Parametres!$B$3,V$1:AG$1,0))*IF(OR(C770="L",C770="S",C770="I"),-1,1)</f>
        <v>0</v>
      </c>
      <c r="AY770" s="598" t="s">
        <v>337</v>
      </c>
      <c r="AZ770" s="598" t="e">
        <f>+VLOOKUP($AJ770,Data_Validation!$A:$E,5,0)</f>
        <v>#N/A</v>
      </c>
    </row>
    <row r="771" spans="36:52" ht="15" customHeight="1">
      <c r="AJ771" s="1030">
        <f t="shared" si="48"/>
        <v>0</v>
      </c>
      <c r="AK771" s="1030">
        <f t="shared" si="48"/>
        <v>0</v>
      </c>
      <c r="AL771" s="1030">
        <f>IFERROR(INDEX(G771:R771,1,MATCH(Parametres!$B$3,G$1:R$1,0)-1)*IF(OR(F771="L",F771="S",F771="I"),-1,1),"")</f>
        <v>0</v>
      </c>
      <c r="AM771" s="1030">
        <f t="shared" si="45"/>
        <v>0</v>
      </c>
      <c r="AN771" s="1030">
        <f>INDEX(G771:R771,1,MATCH(Parametres!$B$3,G$1:R$1,0))*IF(OR(F771="L",F771="S",F771="I"),-1,1)</f>
        <v>0</v>
      </c>
      <c r="AO771" s="598" t="e">
        <f>+VLOOKUP($AJ771,Data_Validation!$A:$D,1,0)</f>
        <v>#N/A</v>
      </c>
      <c r="AP771" s="598" t="e">
        <f>+VLOOKUP($AJ771,Data_Validation!$A:$D,3,0)</f>
        <v>#N/A</v>
      </c>
      <c r="AQ771" s="598" t="e">
        <f>+VLOOKUP($AJ771,Data_Validation!$A:$D,4,0)</f>
        <v>#N/A</v>
      </c>
      <c r="AR771" s="598" t="s">
        <v>299</v>
      </c>
      <c r="AS771" s="598" t="e">
        <f>+VLOOKUP($AJ771,Data_Validation!$A:$E,5,0)</f>
        <v>#N/A</v>
      </c>
      <c r="AT771" s="1036">
        <f t="shared" si="46"/>
        <v>0</v>
      </c>
      <c r="AU771" s="599">
        <f t="shared" si="46"/>
        <v>0</v>
      </c>
      <c r="AV771" s="1030">
        <f>IFERROR(INDEX(V771:AG771,1,MATCH(Parametres!$B$3,V$1:AG$1,0)-1)*IF(OR(C771="L",C771="S",C771="I"),-1,1),"")</f>
        <v>0</v>
      </c>
      <c r="AW771" s="1030">
        <f t="shared" si="47"/>
        <v>0</v>
      </c>
      <c r="AX771" s="1030">
        <f>INDEX(V771:AG771,1,MATCH(Parametres!$B$3,V$1:AG$1,0))*IF(OR(C771="L",C771="S",C771="I"),-1,1)</f>
        <v>0</v>
      </c>
      <c r="AY771" s="598" t="s">
        <v>337</v>
      </c>
      <c r="AZ771" s="598" t="e">
        <f>+VLOOKUP($AJ771,Data_Validation!$A:$E,5,0)</f>
        <v>#N/A</v>
      </c>
    </row>
    <row r="772" spans="36:52" ht="15" customHeight="1">
      <c r="AJ772" s="1030">
        <f t="shared" si="48"/>
        <v>0</v>
      </c>
      <c r="AK772" s="1030">
        <f t="shared" si="48"/>
        <v>0</v>
      </c>
      <c r="AL772" s="1030">
        <f>IFERROR(INDEX(G772:R772,1,MATCH(Parametres!$B$3,G$1:R$1,0)-1)*IF(OR(F772="L",F772="S",F772="I"),-1,1),"")</f>
        <v>0</v>
      </c>
      <c r="AM772" s="1030">
        <f t="shared" ref="AM772:AM792" si="49">AN772-N(AL772)</f>
        <v>0</v>
      </c>
      <c r="AN772" s="1030">
        <f>INDEX(G772:R772,1,MATCH(Parametres!$B$3,G$1:R$1,0))*IF(OR(F772="L",F772="S",F772="I"),-1,1)</f>
        <v>0</v>
      </c>
      <c r="AO772" s="598" t="e">
        <f>+VLOOKUP($AJ772,Data_Validation!$A:$D,1,0)</f>
        <v>#N/A</v>
      </c>
      <c r="AP772" s="598" t="e">
        <f>+VLOOKUP($AJ772,Data_Validation!$A:$D,3,0)</f>
        <v>#N/A</v>
      </c>
      <c r="AQ772" s="598" t="e">
        <f>+VLOOKUP($AJ772,Data_Validation!$A:$D,4,0)</f>
        <v>#N/A</v>
      </c>
      <c r="AR772" s="598" t="s">
        <v>299</v>
      </c>
      <c r="AS772" s="598" t="e">
        <f>+VLOOKUP($AJ772,Data_Validation!$A:$E,5,0)</f>
        <v>#N/A</v>
      </c>
      <c r="AT772" s="1036">
        <f t="shared" ref="AT772:AU794" si="50">C772</f>
        <v>0</v>
      </c>
      <c r="AU772" s="599">
        <f t="shared" si="50"/>
        <v>0</v>
      </c>
      <c r="AV772" s="1030">
        <f>IFERROR(INDEX(V772:AG772,1,MATCH(Parametres!$B$3,V$1:AG$1,0)-1)*IF(OR(C772="L",C772="S",C772="I"),-1,1),"")</f>
        <v>0</v>
      </c>
      <c r="AW772" s="1030">
        <f t="shared" ref="AW772:AW794" si="51">AX772-AV772</f>
        <v>0</v>
      </c>
      <c r="AX772" s="1030">
        <f>INDEX(V772:AG772,1,MATCH(Parametres!$B$3,V$1:AG$1,0))*IF(OR(C772="L",C772="S",C772="I"),-1,1)</f>
        <v>0</v>
      </c>
      <c r="AY772" s="598" t="s">
        <v>337</v>
      </c>
      <c r="AZ772" s="598" t="e">
        <f>+VLOOKUP($AJ772,Data_Validation!$A:$E,5,0)</f>
        <v>#N/A</v>
      </c>
    </row>
    <row r="773" spans="36:52" ht="15" customHeight="1">
      <c r="AJ773" s="1030">
        <f t="shared" si="48"/>
        <v>0</v>
      </c>
      <c r="AK773" s="1030">
        <f t="shared" si="48"/>
        <v>0</v>
      </c>
      <c r="AL773" s="1030">
        <f>IFERROR(INDEX(G773:R773,1,MATCH(Parametres!$B$3,G$1:R$1,0)-1)*IF(OR(F773="L",F773="S",F773="I"),-1,1),"")</f>
        <v>0</v>
      </c>
      <c r="AM773" s="1030">
        <f t="shared" si="49"/>
        <v>0</v>
      </c>
      <c r="AN773" s="1030">
        <f>INDEX(G773:R773,1,MATCH(Parametres!$B$3,G$1:R$1,0))*IF(OR(F773="L",F773="S",F773="I"),-1,1)</f>
        <v>0</v>
      </c>
      <c r="AO773" s="598" t="e">
        <f>+VLOOKUP($AJ773,Data_Validation!$A:$D,1,0)</f>
        <v>#N/A</v>
      </c>
      <c r="AP773" s="598" t="e">
        <f>+VLOOKUP($AJ773,Data_Validation!$A:$D,3,0)</f>
        <v>#N/A</v>
      </c>
      <c r="AQ773" s="598" t="e">
        <f>+VLOOKUP($AJ773,Data_Validation!$A:$D,4,0)</f>
        <v>#N/A</v>
      </c>
      <c r="AR773" s="598" t="s">
        <v>299</v>
      </c>
      <c r="AS773" s="598" t="e">
        <f>+VLOOKUP($AJ773,Data_Validation!$A:$E,5,0)</f>
        <v>#N/A</v>
      </c>
      <c r="AT773" s="1036">
        <f t="shared" si="50"/>
        <v>0</v>
      </c>
      <c r="AU773" s="599">
        <f t="shared" si="50"/>
        <v>0</v>
      </c>
      <c r="AV773" s="1030">
        <f>IFERROR(INDEX(V773:AG773,1,MATCH(Parametres!$B$3,V$1:AG$1,0)-1)*IF(OR(C773="L",C773="S",C773="I"),-1,1),"")</f>
        <v>0</v>
      </c>
      <c r="AW773" s="1030">
        <f t="shared" si="51"/>
        <v>0</v>
      </c>
      <c r="AX773" s="1030">
        <f>INDEX(V773:AG773,1,MATCH(Parametres!$B$3,V$1:AG$1,0))*IF(OR(C773="L",C773="S",C773="I"),-1,1)</f>
        <v>0</v>
      </c>
      <c r="AY773" s="598" t="s">
        <v>337</v>
      </c>
      <c r="AZ773" s="598" t="e">
        <f>+VLOOKUP($AJ773,Data_Validation!$A:$E,5,0)</f>
        <v>#N/A</v>
      </c>
    </row>
    <row r="774" spans="36:52" ht="15" customHeight="1">
      <c r="AJ774" s="1030">
        <f t="shared" si="48"/>
        <v>0</v>
      </c>
      <c r="AK774" s="1030">
        <f t="shared" si="48"/>
        <v>0</v>
      </c>
      <c r="AL774" s="1030">
        <f>IFERROR(INDEX(G774:R774,1,MATCH(Parametres!$B$3,G$1:R$1,0)-1)*IF(OR(F774="L",F774="S",F774="I"),-1,1),"")</f>
        <v>0</v>
      </c>
      <c r="AM774" s="1030">
        <f t="shared" si="49"/>
        <v>0</v>
      </c>
      <c r="AN774" s="1030">
        <f>INDEX(G774:R774,1,MATCH(Parametres!$B$3,G$1:R$1,0))*IF(OR(F774="L",F774="S",F774="I"),-1,1)</f>
        <v>0</v>
      </c>
      <c r="AO774" s="598" t="e">
        <f>+VLOOKUP($AJ774,Data_Validation!$A:$D,1,0)</f>
        <v>#N/A</v>
      </c>
      <c r="AP774" s="598" t="e">
        <f>+VLOOKUP($AJ774,Data_Validation!$A:$D,3,0)</f>
        <v>#N/A</v>
      </c>
      <c r="AQ774" s="598" t="e">
        <f>+VLOOKUP($AJ774,Data_Validation!$A:$D,4,0)</f>
        <v>#N/A</v>
      </c>
      <c r="AR774" s="598" t="s">
        <v>299</v>
      </c>
      <c r="AS774" s="598" t="e">
        <f>+VLOOKUP($AJ774,Data_Validation!$A:$E,5,0)</f>
        <v>#N/A</v>
      </c>
      <c r="AT774" s="1036">
        <f t="shared" si="50"/>
        <v>0</v>
      </c>
      <c r="AU774" s="599">
        <f t="shared" si="50"/>
        <v>0</v>
      </c>
      <c r="AV774" s="1030">
        <f>IFERROR(INDEX(V774:AG774,1,MATCH(Parametres!$B$3,V$1:AG$1,0)-1)*IF(OR(C774="L",C774="S",C774="I"),-1,1),"")</f>
        <v>0</v>
      </c>
      <c r="AW774" s="1030">
        <f t="shared" si="51"/>
        <v>0</v>
      </c>
      <c r="AX774" s="1030">
        <f>INDEX(V774:AG774,1,MATCH(Parametres!$B$3,V$1:AG$1,0))*IF(OR(C774="L",C774="S",C774="I"),-1,1)</f>
        <v>0</v>
      </c>
      <c r="AY774" s="598" t="s">
        <v>337</v>
      </c>
      <c r="AZ774" s="598" t="e">
        <f>+VLOOKUP($AJ774,Data_Validation!$A:$E,5,0)</f>
        <v>#N/A</v>
      </c>
    </row>
    <row r="775" spans="36:52" ht="15" customHeight="1">
      <c r="AJ775" s="1030">
        <f t="shared" si="48"/>
        <v>0</v>
      </c>
      <c r="AK775" s="1030">
        <f t="shared" si="48"/>
        <v>0</v>
      </c>
      <c r="AL775" s="1030">
        <f>IFERROR(INDEX(G775:R775,1,MATCH(Parametres!$B$3,G$1:R$1,0)-1)*IF(OR(F775="L",F775="S",F775="I"),-1,1),"")</f>
        <v>0</v>
      </c>
      <c r="AM775" s="1030">
        <f t="shared" si="49"/>
        <v>0</v>
      </c>
      <c r="AN775" s="1030">
        <f>INDEX(G775:R775,1,MATCH(Parametres!$B$3,G$1:R$1,0))*IF(OR(F775="L",F775="S",F775="I"),-1,1)</f>
        <v>0</v>
      </c>
      <c r="AO775" s="598" t="e">
        <f>+VLOOKUP($AJ775,Data_Validation!$A:$D,1,0)</f>
        <v>#N/A</v>
      </c>
      <c r="AP775" s="598" t="e">
        <f>+VLOOKUP($AJ775,Data_Validation!$A:$D,3,0)</f>
        <v>#N/A</v>
      </c>
      <c r="AQ775" s="598" t="e">
        <f>+VLOOKUP($AJ775,Data_Validation!$A:$D,4,0)</f>
        <v>#N/A</v>
      </c>
      <c r="AR775" s="598" t="s">
        <v>299</v>
      </c>
      <c r="AS775" s="598" t="e">
        <f>+VLOOKUP($AJ775,Data_Validation!$A:$E,5,0)</f>
        <v>#N/A</v>
      </c>
      <c r="AT775" s="1036">
        <f t="shared" si="50"/>
        <v>0</v>
      </c>
      <c r="AU775" s="599">
        <f t="shared" si="50"/>
        <v>0</v>
      </c>
      <c r="AV775" s="1030">
        <f>IFERROR(INDEX(V775:AG775,1,MATCH(Parametres!$B$3,V$1:AG$1,0)-1)*IF(OR(C775="L",C775="S",C775="I"),-1,1),"")</f>
        <v>0</v>
      </c>
      <c r="AW775" s="1030">
        <f t="shared" si="51"/>
        <v>0</v>
      </c>
      <c r="AX775" s="1030">
        <f>INDEX(V775:AG775,1,MATCH(Parametres!$B$3,V$1:AG$1,0))*IF(OR(C775="L",C775="S",C775="I"),-1,1)</f>
        <v>0</v>
      </c>
      <c r="AY775" s="598" t="s">
        <v>337</v>
      </c>
      <c r="AZ775" s="598" t="e">
        <f>+VLOOKUP($AJ775,Data_Validation!$A:$E,5,0)</f>
        <v>#N/A</v>
      </c>
    </row>
    <row r="776" spans="36:52" ht="15" customHeight="1">
      <c r="AJ776" s="1030">
        <f t="shared" si="48"/>
        <v>0</v>
      </c>
      <c r="AK776" s="1030">
        <f t="shared" si="48"/>
        <v>0</v>
      </c>
      <c r="AL776" s="1030">
        <f>IFERROR(INDEX(G776:R776,1,MATCH(Parametres!$B$3,G$1:R$1,0)-1)*IF(OR(F776="L",F776="S",F776="I"),-1,1),"")</f>
        <v>0</v>
      </c>
      <c r="AM776" s="1030">
        <f t="shared" si="49"/>
        <v>0</v>
      </c>
      <c r="AN776" s="1030">
        <f>INDEX(G776:R776,1,MATCH(Parametres!$B$3,G$1:R$1,0))*IF(OR(F776="L",F776="S",F776="I"),-1,1)</f>
        <v>0</v>
      </c>
      <c r="AO776" s="598" t="e">
        <f>+VLOOKUP($AJ776,Data_Validation!$A:$D,1,0)</f>
        <v>#N/A</v>
      </c>
      <c r="AP776" s="598" t="e">
        <f>+VLOOKUP($AJ776,Data_Validation!$A:$D,3,0)</f>
        <v>#N/A</v>
      </c>
      <c r="AQ776" s="598" t="e">
        <f>+VLOOKUP($AJ776,Data_Validation!$A:$D,4,0)</f>
        <v>#N/A</v>
      </c>
      <c r="AR776" s="598" t="s">
        <v>299</v>
      </c>
      <c r="AS776" s="598" t="e">
        <f>+VLOOKUP($AJ776,Data_Validation!$A:$E,5,0)</f>
        <v>#N/A</v>
      </c>
      <c r="AT776" s="1036">
        <f t="shared" si="50"/>
        <v>0</v>
      </c>
      <c r="AU776" s="599">
        <f t="shared" si="50"/>
        <v>0</v>
      </c>
      <c r="AV776" s="1030">
        <f>IFERROR(INDEX(V776:AG776,1,MATCH(Parametres!$B$3,V$1:AG$1,0)-1)*IF(OR(C776="L",C776="S",C776="I"),-1,1),"")</f>
        <v>0</v>
      </c>
      <c r="AW776" s="1030">
        <f t="shared" si="51"/>
        <v>0</v>
      </c>
      <c r="AX776" s="1030">
        <f>INDEX(V776:AG776,1,MATCH(Parametres!$B$3,V$1:AG$1,0))*IF(OR(C776="L",C776="S",C776="I"),-1,1)</f>
        <v>0</v>
      </c>
      <c r="AY776" s="598" t="s">
        <v>337</v>
      </c>
      <c r="AZ776" s="598" t="e">
        <f>+VLOOKUP($AJ776,Data_Validation!$A:$E,5,0)</f>
        <v>#N/A</v>
      </c>
    </row>
    <row r="777" spans="36:52" ht="15" customHeight="1">
      <c r="AJ777" s="1030">
        <f t="shared" si="48"/>
        <v>0</v>
      </c>
      <c r="AK777" s="1030">
        <f t="shared" si="48"/>
        <v>0</v>
      </c>
      <c r="AL777" s="1030">
        <f>IFERROR(INDEX(G777:R777,1,MATCH(Parametres!$B$3,G$1:R$1,0)-1)*IF(OR(F777="L",F777="S",F777="I"),-1,1),"")</f>
        <v>0</v>
      </c>
      <c r="AM777" s="1030">
        <f t="shared" si="49"/>
        <v>0</v>
      </c>
      <c r="AN777" s="1030">
        <f>INDEX(G777:R777,1,MATCH(Parametres!$B$3,G$1:R$1,0))*IF(OR(F777="L",F777="S",F777="I"),-1,1)</f>
        <v>0</v>
      </c>
      <c r="AO777" s="598" t="e">
        <f>+VLOOKUP($AJ777,Data_Validation!$A:$D,1,0)</f>
        <v>#N/A</v>
      </c>
      <c r="AP777" s="598" t="e">
        <f>+VLOOKUP($AJ777,Data_Validation!$A:$D,3,0)</f>
        <v>#N/A</v>
      </c>
      <c r="AQ777" s="598" t="e">
        <f>+VLOOKUP($AJ777,Data_Validation!$A:$D,4,0)</f>
        <v>#N/A</v>
      </c>
      <c r="AR777" s="598" t="s">
        <v>299</v>
      </c>
      <c r="AS777" s="598" t="e">
        <f>+VLOOKUP($AJ777,Data_Validation!$A:$E,5,0)</f>
        <v>#N/A</v>
      </c>
      <c r="AT777" s="1036">
        <f t="shared" si="50"/>
        <v>0</v>
      </c>
      <c r="AU777" s="599">
        <f t="shared" si="50"/>
        <v>0</v>
      </c>
      <c r="AV777" s="1030">
        <f>IFERROR(INDEX(V777:AG777,1,MATCH(Parametres!$B$3,V$1:AG$1,0)-1)*IF(OR(C777="L",C777="S",C777="I"),-1,1),"")</f>
        <v>0</v>
      </c>
      <c r="AW777" s="1030">
        <f t="shared" si="51"/>
        <v>0</v>
      </c>
      <c r="AX777" s="1030">
        <f>INDEX(V777:AG777,1,MATCH(Parametres!$B$3,V$1:AG$1,0))*IF(OR(C777="L",C777="S",C777="I"),-1,1)</f>
        <v>0</v>
      </c>
      <c r="AY777" s="598" t="s">
        <v>337</v>
      </c>
      <c r="AZ777" s="598" t="e">
        <f>+VLOOKUP($AJ777,Data_Validation!$A:$E,5,0)</f>
        <v>#N/A</v>
      </c>
    </row>
    <row r="778" spans="36:52" ht="15" customHeight="1">
      <c r="AJ778" s="1030">
        <f t="shared" si="48"/>
        <v>0</v>
      </c>
      <c r="AK778" s="1030">
        <f t="shared" si="48"/>
        <v>0</v>
      </c>
      <c r="AL778" s="1030">
        <f>IFERROR(INDEX(G778:R778,1,MATCH(Parametres!$B$3,G$1:R$1,0)-1)*IF(OR(F778="L",F778="S",F778="I"),-1,1),"")</f>
        <v>0</v>
      </c>
      <c r="AM778" s="1030">
        <f t="shared" si="49"/>
        <v>0</v>
      </c>
      <c r="AN778" s="1030">
        <f>INDEX(G778:R778,1,MATCH(Parametres!$B$3,G$1:R$1,0))*IF(OR(F778="L",F778="S",F778="I"),-1,1)</f>
        <v>0</v>
      </c>
      <c r="AO778" s="598" t="e">
        <f>+VLOOKUP($AJ778,Data_Validation!$A:$D,1,0)</f>
        <v>#N/A</v>
      </c>
      <c r="AP778" s="598" t="e">
        <f>+VLOOKUP($AJ778,Data_Validation!$A:$D,3,0)</f>
        <v>#N/A</v>
      </c>
      <c r="AQ778" s="598" t="e">
        <f>+VLOOKUP($AJ778,Data_Validation!$A:$D,4,0)</f>
        <v>#N/A</v>
      </c>
      <c r="AR778" s="598" t="s">
        <v>299</v>
      </c>
      <c r="AS778" s="598" t="e">
        <f>+VLOOKUP($AJ778,Data_Validation!$A:$E,5,0)</f>
        <v>#N/A</v>
      </c>
      <c r="AT778" s="1036">
        <f t="shared" si="50"/>
        <v>0</v>
      </c>
      <c r="AU778" s="599">
        <f t="shared" si="50"/>
        <v>0</v>
      </c>
      <c r="AV778" s="1030">
        <f>IFERROR(INDEX(V778:AG778,1,MATCH(Parametres!$B$3,V$1:AG$1,0)-1)*IF(OR(C778="L",C778="S",C778="I"),-1,1),"")</f>
        <v>0</v>
      </c>
      <c r="AW778" s="1030">
        <f t="shared" si="51"/>
        <v>0</v>
      </c>
      <c r="AX778" s="1030">
        <f>INDEX(V778:AG778,1,MATCH(Parametres!$B$3,V$1:AG$1,0))*IF(OR(C778="L",C778="S",C778="I"),-1,1)</f>
        <v>0</v>
      </c>
      <c r="AY778" s="598" t="s">
        <v>337</v>
      </c>
      <c r="AZ778" s="598" t="e">
        <f>+VLOOKUP($AJ778,Data_Validation!$A:$E,5,0)</f>
        <v>#N/A</v>
      </c>
    </row>
    <row r="779" spans="36:52" ht="15" customHeight="1">
      <c r="AJ779" s="1030">
        <f t="shared" si="48"/>
        <v>0</v>
      </c>
      <c r="AK779" s="1030">
        <f t="shared" si="48"/>
        <v>0</v>
      </c>
      <c r="AL779" s="1030">
        <f>IFERROR(INDEX(G779:R779,1,MATCH(Parametres!$B$3,G$1:R$1,0)-1)*IF(OR(F779="L",F779="S",F779="I"),-1,1),"")</f>
        <v>0</v>
      </c>
      <c r="AM779" s="1030">
        <f t="shared" si="49"/>
        <v>0</v>
      </c>
      <c r="AN779" s="1030">
        <f>INDEX(G779:R779,1,MATCH(Parametres!$B$3,G$1:R$1,0))*IF(OR(F779="L",F779="S",F779="I"),-1,1)</f>
        <v>0</v>
      </c>
      <c r="AO779" s="598" t="e">
        <f>+VLOOKUP($AJ779,Data_Validation!$A:$D,1,0)</f>
        <v>#N/A</v>
      </c>
      <c r="AP779" s="598" t="e">
        <f>+VLOOKUP($AJ779,Data_Validation!$A:$D,3,0)</f>
        <v>#N/A</v>
      </c>
      <c r="AQ779" s="598" t="e">
        <f>+VLOOKUP($AJ779,Data_Validation!$A:$D,4,0)</f>
        <v>#N/A</v>
      </c>
      <c r="AR779" s="598" t="s">
        <v>299</v>
      </c>
      <c r="AS779" s="598" t="e">
        <f>+VLOOKUP($AJ779,Data_Validation!$A:$E,5,0)</f>
        <v>#N/A</v>
      </c>
      <c r="AT779" s="1036">
        <f t="shared" si="50"/>
        <v>0</v>
      </c>
      <c r="AU779" s="599">
        <f t="shared" si="50"/>
        <v>0</v>
      </c>
      <c r="AV779" s="1030">
        <f>IFERROR(INDEX(V779:AG779,1,MATCH(Parametres!$B$3,V$1:AG$1,0)-1)*IF(OR(C779="L",C779="S",C779="I"),-1,1),"")</f>
        <v>0</v>
      </c>
      <c r="AW779" s="1030">
        <f t="shared" si="51"/>
        <v>0</v>
      </c>
      <c r="AX779" s="1030">
        <f>INDEX(V779:AG779,1,MATCH(Parametres!$B$3,V$1:AG$1,0))*IF(OR(C779="L",C779="S",C779="I"),-1,1)</f>
        <v>0</v>
      </c>
      <c r="AY779" s="598" t="s">
        <v>337</v>
      </c>
      <c r="AZ779" s="598" t="e">
        <f>+VLOOKUP($AJ779,Data_Validation!$A:$E,5,0)</f>
        <v>#N/A</v>
      </c>
    </row>
    <row r="780" spans="36:52" ht="15" customHeight="1">
      <c r="AJ780" s="1030">
        <f t="shared" si="48"/>
        <v>0</v>
      </c>
      <c r="AK780" s="1030">
        <f t="shared" si="48"/>
        <v>0</v>
      </c>
      <c r="AL780" s="1030">
        <f>IFERROR(INDEX(G780:R780,1,MATCH(Parametres!$B$3,G$1:R$1,0)-1)*IF(OR(F780="L",F780="S",F780="I"),-1,1),"")</f>
        <v>0</v>
      </c>
      <c r="AM780" s="1030">
        <f t="shared" si="49"/>
        <v>0</v>
      </c>
      <c r="AN780" s="1030">
        <f>INDEX(G780:R780,1,MATCH(Parametres!$B$3,G$1:R$1,0))*IF(OR(F780="L",F780="S",F780="I"),-1,1)</f>
        <v>0</v>
      </c>
      <c r="AO780" s="598" t="e">
        <f>+VLOOKUP($AJ780,Data_Validation!$A:$D,1,0)</f>
        <v>#N/A</v>
      </c>
      <c r="AP780" s="598" t="e">
        <f>+VLOOKUP($AJ780,Data_Validation!$A:$D,3,0)</f>
        <v>#N/A</v>
      </c>
      <c r="AQ780" s="598" t="e">
        <f>+VLOOKUP($AJ780,Data_Validation!$A:$D,4,0)</f>
        <v>#N/A</v>
      </c>
      <c r="AR780" s="598" t="s">
        <v>299</v>
      </c>
      <c r="AS780" s="598" t="e">
        <f>+VLOOKUP($AJ780,Data_Validation!$A:$E,5,0)</f>
        <v>#N/A</v>
      </c>
      <c r="AT780" s="1036">
        <f t="shared" si="50"/>
        <v>0</v>
      </c>
      <c r="AU780" s="599">
        <f t="shared" si="50"/>
        <v>0</v>
      </c>
      <c r="AV780" s="1030">
        <f>IFERROR(INDEX(V780:AG780,1,MATCH(Parametres!$B$3,V$1:AG$1,0)-1)*IF(OR(C780="L",C780="S",C780="I"),-1,1),"")</f>
        <v>0</v>
      </c>
      <c r="AW780" s="1030">
        <f t="shared" si="51"/>
        <v>0</v>
      </c>
      <c r="AX780" s="1030">
        <f>INDEX(V780:AG780,1,MATCH(Parametres!$B$3,V$1:AG$1,0))*IF(OR(C780="L",C780="S",C780="I"),-1,1)</f>
        <v>0</v>
      </c>
      <c r="AY780" s="598" t="s">
        <v>337</v>
      </c>
      <c r="AZ780" s="598" t="e">
        <f>+VLOOKUP($AJ780,Data_Validation!$A:$E,5,0)</f>
        <v>#N/A</v>
      </c>
    </row>
    <row r="781" spans="36:52" ht="15" customHeight="1">
      <c r="AJ781" s="1030">
        <f t="shared" si="48"/>
        <v>0</v>
      </c>
      <c r="AK781" s="1030">
        <f t="shared" si="48"/>
        <v>0</v>
      </c>
      <c r="AL781" s="1030">
        <f>IFERROR(INDEX(G781:R781,1,MATCH(Parametres!$B$3,G$1:R$1,0)-1)*IF(OR(F781="L",F781="S",F781="I"),-1,1),"")</f>
        <v>0</v>
      </c>
      <c r="AM781" s="1030">
        <f t="shared" si="49"/>
        <v>0</v>
      </c>
      <c r="AN781" s="1030">
        <f>INDEX(G781:R781,1,MATCH(Parametres!$B$3,G$1:R$1,0))*IF(OR(F781="L",F781="S",F781="I"),-1,1)</f>
        <v>0</v>
      </c>
      <c r="AO781" s="598" t="e">
        <f>+VLOOKUP($AJ781,Data_Validation!$A:$D,1,0)</f>
        <v>#N/A</v>
      </c>
      <c r="AP781" s="598" t="e">
        <f>+VLOOKUP($AJ781,Data_Validation!$A:$D,3,0)</f>
        <v>#N/A</v>
      </c>
      <c r="AQ781" s="598" t="e">
        <f>+VLOOKUP($AJ781,Data_Validation!$A:$D,4,0)</f>
        <v>#N/A</v>
      </c>
      <c r="AR781" s="598" t="s">
        <v>299</v>
      </c>
      <c r="AS781" s="598" t="e">
        <f>+VLOOKUP($AJ781,Data_Validation!$A:$E,5,0)</f>
        <v>#N/A</v>
      </c>
      <c r="AT781" s="1036">
        <f t="shared" si="50"/>
        <v>0</v>
      </c>
      <c r="AU781" s="599">
        <f t="shared" si="50"/>
        <v>0</v>
      </c>
      <c r="AV781" s="1030">
        <f>IFERROR(INDEX(V781:AG781,1,MATCH(Parametres!$B$3,V$1:AG$1,0)-1)*IF(OR(C781="L",C781="S",C781="I"),-1,1),"")</f>
        <v>0</v>
      </c>
      <c r="AW781" s="1030">
        <f t="shared" si="51"/>
        <v>0</v>
      </c>
      <c r="AX781" s="1030">
        <f>INDEX(V781:AG781,1,MATCH(Parametres!$B$3,V$1:AG$1,0))*IF(OR(C781="L",C781="S",C781="I"),-1,1)</f>
        <v>0</v>
      </c>
      <c r="AY781" s="598" t="s">
        <v>337</v>
      </c>
      <c r="AZ781" s="598" t="e">
        <f>+VLOOKUP($AJ781,Data_Validation!$A:$E,5,0)</f>
        <v>#N/A</v>
      </c>
    </row>
    <row r="782" spans="36:52" ht="15" customHeight="1">
      <c r="AJ782" s="1030">
        <f t="shared" si="48"/>
        <v>0</v>
      </c>
      <c r="AK782" s="1030">
        <f t="shared" si="48"/>
        <v>0</v>
      </c>
      <c r="AL782" s="1030">
        <f>IFERROR(INDEX(G782:R782,1,MATCH(Parametres!$B$3,G$1:R$1,0)-1)*IF(OR(F782="L",F782="S",F782="I"),-1,1),"")</f>
        <v>0</v>
      </c>
      <c r="AM782" s="1030">
        <f t="shared" si="49"/>
        <v>0</v>
      </c>
      <c r="AN782" s="1030">
        <f>INDEX(G782:R782,1,MATCH(Parametres!$B$3,G$1:R$1,0))*IF(OR(F782="L",F782="S",F782="I"),-1,1)</f>
        <v>0</v>
      </c>
      <c r="AO782" s="598" t="e">
        <f>+VLOOKUP($AJ782,Data_Validation!$A:$D,1,0)</f>
        <v>#N/A</v>
      </c>
      <c r="AP782" s="598" t="e">
        <f>+VLOOKUP($AJ782,Data_Validation!$A:$D,3,0)</f>
        <v>#N/A</v>
      </c>
      <c r="AQ782" s="598" t="e">
        <f>+VLOOKUP($AJ782,Data_Validation!$A:$D,4,0)</f>
        <v>#N/A</v>
      </c>
      <c r="AR782" s="598" t="s">
        <v>299</v>
      </c>
      <c r="AS782" s="598" t="e">
        <f>+VLOOKUP($AJ782,Data_Validation!$A:$E,5,0)</f>
        <v>#N/A</v>
      </c>
      <c r="AT782" s="1036">
        <f t="shared" si="50"/>
        <v>0</v>
      </c>
      <c r="AU782" s="599">
        <f t="shared" si="50"/>
        <v>0</v>
      </c>
      <c r="AV782" s="1030">
        <f>IFERROR(INDEX(V782:AG782,1,MATCH(Parametres!$B$3,V$1:AG$1,0)-1)*IF(OR(C782="L",C782="S",C782="I"),-1,1),"")</f>
        <v>0</v>
      </c>
      <c r="AW782" s="1030">
        <f t="shared" si="51"/>
        <v>0</v>
      </c>
      <c r="AX782" s="1030">
        <f>INDEX(V782:AG782,1,MATCH(Parametres!$B$3,V$1:AG$1,0))*IF(OR(C782="L",C782="S",C782="I"),-1,1)</f>
        <v>0</v>
      </c>
      <c r="AY782" s="598" t="s">
        <v>337</v>
      </c>
      <c r="AZ782" s="598" t="e">
        <f>+VLOOKUP($AJ782,Data_Validation!$A:$E,5,0)</f>
        <v>#N/A</v>
      </c>
    </row>
    <row r="783" spans="36:52" ht="15" customHeight="1">
      <c r="AJ783" s="1030">
        <f t="shared" si="48"/>
        <v>0</v>
      </c>
      <c r="AK783" s="1030">
        <f t="shared" si="48"/>
        <v>0</v>
      </c>
      <c r="AL783" s="1030">
        <f>IFERROR(INDEX(G783:R783,1,MATCH(Parametres!$B$3,G$1:R$1,0)-1)*IF(OR(F783="L",F783="S",F783="I"),-1,1),"")</f>
        <v>0</v>
      </c>
      <c r="AM783" s="1030">
        <f t="shared" si="49"/>
        <v>0</v>
      </c>
      <c r="AN783" s="1030">
        <f>INDEX(G783:R783,1,MATCH(Parametres!$B$3,G$1:R$1,0))*IF(OR(F783="L",F783="S",F783="I"),-1,1)</f>
        <v>0</v>
      </c>
      <c r="AO783" s="598" t="e">
        <f>+VLOOKUP($AJ783,Data_Validation!$A:$D,1,0)</f>
        <v>#N/A</v>
      </c>
      <c r="AP783" s="598" t="e">
        <f>+VLOOKUP($AJ783,Data_Validation!$A:$D,3,0)</f>
        <v>#N/A</v>
      </c>
      <c r="AQ783" s="598" t="e">
        <f>+VLOOKUP($AJ783,Data_Validation!$A:$D,4,0)</f>
        <v>#N/A</v>
      </c>
      <c r="AR783" s="598" t="s">
        <v>299</v>
      </c>
      <c r="AS783" s="598" t="e">
        <f>+VLOOKUP($AJ783,Data_Validation!$A:$E,5,0)</f>
        <v>#N/A</v>
      </c>
      <c r="AT783" s="1036">
        <f t="shared" si="50"/>
        <v>0</v>
      </c>
      <c r="AU783" s="599">
        <f t="shared" si="50"/>
        <v>0</v>
      </c>
      <c r="AV783" s="1030">
        <f>IFERROR(INDEX(V783:AG783,1,MATCH(Parametres!$B$3,V$1:AG$1,0)-1)*IF(OR(C783="L",C783="S",C783="I"),-1,1),"")</f>
        <v>0</v>
      </c>
      <c r="AW783" s="1030">
        <f t="shared" si="51"/>
        <v>0</v>
      </c>
      <c r="AX783" s="1030">
        <f>INDEX(V783:AG783,1,MATCH(Parametres!$B$3,V$1:AG$1,0))*IF(OR(C783="L",C783="S",C783="I"),-1,1)</f>
        <v>0</v>
      </c>
      <c r="AY783" s="598" t="s">
        <v>337</v>
      </c>
      <c r="AZ783" s="598" t="e">
        <f>+VLOOKUP($AJ783,Data_Validation!$A:$E,5,0)</f>
        <v>#N/A</v>
      </c>
    </row>
    <row r="784" spans="36:52" ht="15" customHeight="1">
      <c r="AJ784" s="1030">
        <f t="shared" si="48"/>
        <v>0</v>
      </c>
      <c r="AK784" s="1030">
        <f t="shared" si="48"/>
        <v>0</v>
      </c>
      <c r="AL784" s="1030">
        <f>IFERROR(INDEX(G784:R784,1,MATCH(Parametres!$B$3,G$1:R$1,0)-1)*IF(OR(F784="L",F784="S",F784="I"),-1,1),"")</f>
        <v>0</v>
      </c>
      <c r="AM784" s="1030">
        <f t="shared" si="49"/>
        <v>0</v>
      </c>
      <c r="AN784" s="1030">
        <f>INDEX(G784:R784,1,MATCH(Parametres!$B$3,G$1:R$1,0))*IF(OR(F784="L",F784="S",F784="I"),-1,1)</f>
        <v>0</v>
      </c>
      <c r="AO784" s="598" t="e">
        <f>+VLOOKUP($AJ784,Data_Validation!$A:$D,1,0)</f>
        <v>#N/A</v>
      </c>
      <c r="AP784" s="598" t="e">
        <f>+VLOOKUP($AJ784,Data_Validation!$A:$D,3,0)</f>
        <v>#N/A</v>
      </c>
      <c r="AQ784" s="598" t="e">
        <f>+VLOOKUP($AJ784,Data_Validation!$A:$D,4,0)</f>
        <v>#N/A</v>
      </c>
      <c r="AR784" s="598" t="s">
        <v>299</v>
      </c>
      <c r="AS784" s="598" t="e">
        <f>+VLOOKUP($AJ784,Data_Validation!$A:$E,5,0)</f>
        <v>#N/A</v>
      </c>
      <c r="AT784" s="1036">
        <f t="shared" si="50"/>
        <v>0</v>
      </c>
      <c r="AU784" s="599">
        <f t="shared" si="50"/>
        <v>0</v>
      </c>
      <c r="AV784" s="1030">
        <f>IFERROR(INDEX(V784:AG784,1,MATCH(Parametres!$B$3,V$1:AG$1,0)-1)*IF(OR(C784="L",C784="S",C784="I"),-1,1),"")</f>
        <v>0</v>
      </c>
      <c r="AW784" s="1030">
        <f t="shared" si="51"/>
        <v>0</v>
      </c>
      <c r="AX784" s="1030">
        <f>INDEX(V784:AG784,1,MATCH(Parametres!$B$3,V$1:AG$1,0))*IF(OR(C784="L",C784="S",C784="I"),-1,1)</f>
        <v>0</v>
      </c>
      <c r="AY784" s="598" t="s">
        <v>337</v>
      </c>
      <c r="AZ784" s="598" t="e">
        <f>+VLOOKUP($AJ784,Data_Validation!$A:$E,5,0)</f>
        <v>#N/A</v>
      </c>
    </row>
    <row r="785" spans="36:52" ht="15" customHeight="1">
      <c r="AJ785" s="1030">
        <f t="shared" si="48"/>
        <v>0</v>
      </c>
      <c r="AK785" s="1030">
        <f t="shared" si="48"/>
        <v>0</v>
      </c>
      <c r="AL785" s="1030">
        <f>IFERROR(INDEX(G785:R785,1,MATCH(Parametres!$B$3,G$1:R$1,0)-1)*IF(OR(F785="L",F785="S",F785="I"),-1,1),"")</f>
        <v>0</v>
      </c>
      <c r="AM785" s="1030">
        <f t="shared" si="49"/>
        <v>0</v>
      </c>
      <c r="AN785" s="1030">
        <f>INDEX(G785:R785,1,MATCH(Parametres!$B$3,G$1:R$1,0))*IF(OR(F785="L",F785="S",F785="I"),-1,1)</f>
        <v>0</v>
      </c>
      <c r="AO785" s="598" t="e">
        <f>+VLOOKUP($AJ785,Data_Validation!$A:$D,1,0)</f>
        <v>#N/A</v>
      </c>
      <c r="AP785" s="598" t="e">
        <f>+VLOOKUP($AJ785,Data_Validation!$A:$D,3,0)</f>
        <v>#N/A</v>
      </c>
      <c r="AQ785" s="598" t="e">
        <f>+VLOOKUP($AJ785,Data_Validation!$A:$D,4,0)</f>
        <v>#N/A</v>
      </c>
      <c r="AR785" s="598" t="s">
        <v>299</v>
      </c>
      <c r="AS785" s="598" t="e">
        <f>+VLOOKUP($AJ785,Data_Validation!$A:$E,5,0)</f>
        <v>#N/A</v>
      </c>
      <c r="AT785" s="1036">
        <f t="shared" si="50"/>
        <v>0</v>
      </c>
      <c r="AU785" s="599">
        <f t="shared" si="50"/>
        <v>0</v>
      </c>
      <c r="AV785" s="1030">
        <f>IFERROR(INDEX(V785:AG785,1,MATCH(Parametres!$B$3,V$1:AG$1,0)-1)*IF(OR(C785="L",C785="S",C785="I"),-1,1),"")</f>
        <v>0</v>
      </c>
      <c r="AW785" s="1030">
        <f t="shared" si="51"/>
        <v>0</v>
      </c>
      <c r="AX785" s="1030">
        <f>INDEX(V785:AG785,1,MATCH(Parametres!$B$3,V$1:AG$1,0))*IF(OR(C785="L",C785="S",C785="I"),-1,1)</f>
        <v>0</v>
      </c>
      <c r="AY785" s="598" t="s">
        <v>337</v>
      </c>
      <c r="AZ785" s="598" t="e">
        <f>+VLOOKUP($AJ785,Data_Validation!$A:$E,5,0)</f>
        <v>#N/A</v>
      </c>
    </row>
    <row r="786" spans="36:52" ht="15" customHeight="1">
      <c r="AJ786" s="1030">
        <f t="shared" si="48"/>
        <v>0</v>
      </c>
      <c r="AK786" s="1030">
        <f t="shared" si="48"/>
        <v>0</v>
      </c>
      <c r="AL786" s="1030">
        <f>IFERROR(INDEX(G786:R786,1,MATCH(Parametres!$B$3,G$1:R$1,0)-1)*IF(OR(F786="L",F786="S",F786="I"),-1,1),"")</f>
        <v>0</v>
      </c>
      <c r="AM786" s="1030">
        <f t="shared" si="49"/>
        <v>0</v>
      </c>
      <c r="AN786" s="1030">
        <f>INDEX(G786:R786,1,MATCH(Parametres!$B$3,G$1:R$1,0))*IF(OR(F786="L",F786="S",F786="I"),-1,1)</f>
        <v>0</v>
      </c>
      <c r="AO786" s="598" t="e">
        <f>+VLOOKUP($AJ786,Data_Validation!$A:$D,1,0)</f>
        <v>#N/A</v>
      </c>
      <c r="AP786" s="598" t="e">
        <f>+VLOOKUP($AJ786,Data_Validation!$A:$D,3,0)</f>
        <v>#N/A</v>
      </c>
      <c r="AQ786" s="598" t="e">
        <f>+VLOOKUP($AJ786,Data_Validation!$A:$D,4,0)</f>
        <v>#N/A</v>
      </c>
      <c r="AR786" s="598" t="s">
        <v>299</v>
      </c>
      <c r="AS786" s="598" t="e">
        <f>+VLOOKUP($AJ786,Data_Validation!$A:$E,5,0)</f>
        <v>#N/A</v>
      </c>
      <c r="AT786" s="1036">
        <f t="shared" si="50"/>
        <v>0</v>
      </c>
      <c r="AU786" s="599">
        <f t="shared" si="50"/>
        <v>0</v>
      </c>
      <c r="AV786" s="1030">
        <f>IFERROR(INDEX(V786:AG786,1,MATCH(Parametres!$B$3,V$1:AG$1,0)-1)*IF(OR(C786="L",C786="S",C786="I"),-1,1),"")</f>
        <v>0</v>
      </c>
      <c r="AW786" s="1030">
        <f t="shared" si="51"/>
        <v>0</v>
      </c>
      <c r="AX786" s="1030">
        <f>INDEX(V786:AG786,1,MATCH(Parametres!$B$3,V$1:AG$1,0))*IF(OR(C786="L",C786="S",C786="I"),-1,1)</f>
        <v>0</v>
      </c>
      <c r="AY786" s="598" t="s">
        <v>337</v>
      </c>
      <c r="AZ786" s="598" t="e">
        <f>+VLOOKUP($AJ786,Data_Validation!$A:$E,5,0)</f>
        <v>#N/A</v>
      </c>
    </row>
    <row r="787" spans="36:52" ht="15" customHeight="1">
      <c r="AJ787" s="1030">
        <f t="shared" si="48"/>
        <v>0</v>
      </c>
      <c r="AK787" s="1030">
        <f t="shared" si="48"/>
        <v>0</v>
      </c>
      <c r="AL787" s="1030">
        <f>IFERROR(INDEX(G787:R787,1,MATCH(Parametres!$B$3,G$1:R$1,0)-1)*IF(OR(F787="L",F787="S",F787="I"),-1,1),"")</f>
        <v>0</v>
      </c>
      <c r="AM787" s="1030">
        <f t="shared" si="49"/>
        <v>0</v>
      </c>
      <c r="AN787" s="1030">
        <f>INDEX(G787:R787,1,MATCH(Parametres!$B$3,G$1:R$1,0))*IF(OR(F787="L",F787="S",F787="I"),-1,1)</f>
        <v>0</v>
      </c>
      <c r="AO787" s="598" t="e">
        <f>+VLOOKUP($AJ787,Data_Validation!$A:$D,1,0)</f>
        <v>#N/A</v>
      </c>
      <c r="AP787" s="598" t="e">
        <f>+VLOOKUP($AJ787,Data_Validation!$A:$D,3,0)</f>
        <v>#N/A</v>
      </c>
      <c r="AQ787" s="598" t="e">
        <f>+VLOOKUP($AJ787,Data_Validation!$A:$D,4,0)</f>
        <v>#N/A</v>
      </c>
      <c r="AR787" s="598" t="s">
        <v>299</v>
      </c>
      <c r="AS787" s="598" t="e">
        <f>+VLOOKUP($AJ787,Data_Validation!$A:$E,5,0)</f>
        <v>#N/A</v>
      </c>
      <c r="AT787" s="1036">
        <f t="shared" si="50"/>
        <v>0</v>
      </c>
      <c r="AU787" s="599">
        <f t="shared" si="50"/>
        <v>0</v>
      </c>
      <c r="AV787" s="1030">
        <f>IFERROR(INDEX(V787:AG787,1,MATCH(Parametres!$B$3,V$1:AG$1,0)-1)*IF(OR(C787="L",C787="S",C787="I"),-1,1),"")</f>
        <v>0</v>
      </c>
      <c r="AW787" s="1030">
        <f t="shared" si="51"/>
        <v>0</v>
      </c>
      <c r="AX787" s="1030">
        <f>INDEX(V787:AG787,1,MATCH(Parametres!$B$3,V$1:AG$1,0))*IF(OR(C787="L",C787="S",C787="I"),-1,1)</f>
        <v>0</v>
      </c>
      <c r="AY787" s="598" t="s">
        <v>337</v>
      </c>
      <c r="AZ787" s="598" t="e">
        <f>+VLOOKUP($AJ787,Data_Validation!$A:$E,5,0)</f>
        <v>#N/A</v>
      </c>
    </row>
    <row r="788" spans="36:52" ht="15" customHeight="1">
      <c r="AJ788" s="1030">
        <f t="shared" ref="AJ788:AK792" si="52">C788</f>
        <v>0</v>
      </c>
      <c r="AK788" s="1030">
        <f t="shared" si="52"/>
        <v>0</v>
      </c>
      <c r="AL788" s="1030">
        <f>IFERROR(INDEX(G788:R788,1,MATCH(Parametres!$B$3,G$1:R$1,0)-1)*IF(OR(F788="L",F788="S",F788="I"),-1,1),"")</f>
        <v>0</v>
      </c>
      <c r="AM788" s="1030">
        <f t="shared" si="49"/>
        <v>0</v>
      </c>
      <c r="AN788" s="1030">
        <f>INDEX(G788:R788,1,MATCH(Parametres!$B$3,G$1:R$1,0))*IF(OR(F788="L",F788="S",F788="I"),-1,1)</f>
        <v>0</v>
      </c>
      <c r="AO788" s="598" t="e">
        <f>+VLOOKUP($AJ788,Data_Validation!$A:$D,1,0)</f>
        <v>#N/A</v>
      </c>
      <c r="AP788" s="598" t="e">
        <f>+VLOOKUP($AJ788,Data_Validation!$A:$D,3,0)</f>
        <v>#N/A</v>
      </c>
      <c r="AQ788" s="598" t="e">
        <f>+VLOOKUP($AJ788,Data_Validation!$A:$D,4,0)</f>
        <v>#N/A</v>
      </c>
      <c r="AR788" s="598" t="s">
        <v>299</v>
      </c>
      <c r="AS788" s="598" t="e">
        <f>+VLOOKUP($AJ788,Data_Validation!$A:$E,5,0)</f>
        <v>#N/A</v>
      </c>
      <c r="AT788" s="1036">
        <f t="shared" si="50"/>
        <v>0</v>
      </c>
      <c r="AU788" s="599">
        <f t="shared" si="50"/>
        <v>0</v>
      </c>
      <c r="AV788" s="1030">
        <f>IFERROR(INDEX(V788:AG788,1,MATCH(Parametres!$B$3,V$1:AG$1,0)-1)*IF(OR(C788="L",C788="S",C788="I"),-1,1),"")</f>
        <v>0</v>
      </c>
      <c r="AW788" s="1030">
        <f t="shared" si="51"/>
        <v>0</v>
      </c>
      <c r="AX788" s="1030">
        <f>INDEX(V788:AG788,1,MATCH(Parametres!$B$3,V$1:AG$1,0))*IF(OR(C788="L",C788="S",C788="I"),-1,1)</f>
        <v>0</v>
      </c>
      <c r="AY788" s="598" t="s">
        <v>337</v>
      </c>
      <c r="AZ788" s="598" t="e">
        <f>+VLOOKUP($AJ788,Data_Validation!$A:$E,5,0)</f>
        <v>#N/A</v>
      </c>
    </row>
    <row r="789" spans="36:52" ht="15" customHeight="1">
      <c r="AJ789" s="1030">
        <f t="shared" si="52"/>
        <v>0</v>
      </c>
      <c r="AK789" s="1030">
        <f t="shared" si="52"/>
        <v>0</v>
      </c>
      <c r="AL789" s="1030">
        <f>IFERROR(INDEX(G789:R789,1,MATCH(Parametres!$B$3,G$1:R$1,0)-1)*IF(OR(F789="L",F789="S",F789="I"),-1,1),"")</f>
        <v>0</v>
      </c>
      <c r="AM789" s="1030">
        <f t="shared" si="49"/>
        <v>0</v>
      </c>
      <c r="AN789" s="1030">
        <f>INDEX(G789:R789,1,MATCH(Parametres!$B$3,G$1:R$1,0))*IF(OR(F789="L",F789="S",F789="I"),-1,1)</f>
        <v>0</v>
      </c>
      <c r="AO789" s="598" t="e">
        <f>+VLOOKUP($AJ789,Data_Validation!$A:$D,1,0)</f>
        <v>#N/A</v>
      </c>
      <c r="AP789" s="598" t="e">
        <f>+VLOOKUP($AJ789,Data_Validation!$A:$D,3,0)</f>
        <v>#N/A</v>
      </c>
      <c r="AQ789" s="598" t="e">
        <f>+VLOOKUP($AJ789,Data_Validation!$A:$D,4,0)</f>
        <v>#N/A</v>
      </c>
      <c r="AR789" s="598" t="s">
        <v>299</v>
      </c>
      <c r="AS789" s="598" t="e">
        <f>+VLOOKUP($AJ789,Data_Validation!$A:$E,5,0)</f>
        <v>#N/A</v>
      </c>
      <c r="AT789" s="1036">
        <f t="shared" si="50"/>
        <v>0</v>
      </c>
      <c r="AU789" s="599">
        <f t="shared" si="50"/>
        <v>0</v>
      </c>
      <c r="AV789" s="1030">
        <f>IFERROR(INDEX(V789:AG789,1,MATCH(Parametres!$B$3,V$1:AG$1,0)-1)*IF(OR(C789="L",C789="S",C789="I"),-1,1),"")</f>
        <v>0</v>
      </c>
      <c r="AW789" s="1030">
        <f t="shared" si="51"/>
        <v>0</v>
      </c>
      <c r="AX789" s="1030">
        <f>INDEX(V789:AG789,1,MATCH(Parametres!$B$3,V$1:AG$1,0))*IF(OR(C789="L",C789="S",C789="I"),-1,1)</f>
        <v>0</v>
      </c>
      <c r="AY789" s="598" t="s">
        <v>337</v>
      </c>
      <c r="AZ789" s="598" t="e">
        <f>+VLOOKUP($AJ789,Data_Validation!$A:$E,5,0)</f>
        <v>#N/A</v>
      </c>
    </row>
    <row r="790" spans="36:52" ht="15" customHeight="1">
      <c r="AJ790" s="1030">
        <f t="shared" si="52"/>
        <v>0</v>
      </c>
      <c r="AK790" s="1030">
        <f t="shared" si="52"/>
        <v>0</v>
      </c>
      <c r="AL790" s="1030">
        <f>IFERROR(INDEX(G790:R790,1,MATCH(Parametres!$B$3,G$1:R$1,0)-1)*IF(OR(F790="L",F790="S",F790="I"),-1,1),"")</f>
        <v>0</v>
      </c>
      <c r="AM790" s="1030">
        <f t="shared" si="49"/>
        <v>0</v>
      </c>
      <c r="AN790" s="1030">
        <f>INDEX(G790:R790,1,MATCH(Parametres!$B$3,G$1:R$1,0))*IF(OR(F790="L",F790="S",F790="I"),-1,1)</f>
        <v>0</v>
      </c>
      <c r="AO790" s="598" t="e">
        <f>+VLOOKUP($AJ790,Data_Validation!$A:$D,1,0)</f>
        <v>#N/A</v>
      </c>
      <c r="AP790" s="598" t="e">
        <f>+VLOOKUP($AJ790,Data_Validation!$A:$D,3,0)</f>
        <v>#N/A</v>
      </c>
      <c r="AQ790" s="598" t="e">
        <f>+VLOOKUP($AJ790,Data_Validation!$A:$D,4,0)</f>
        <v>#N/A</v>
      </c>
      <c r="AR790" s="598" t="s">
        <v>299</v>
      </c>
      <c r="AS790" s="598" t="e">
        <f>+VLOOKUP($AJ790,Data_Validation!$A:$E,5,0)</f>
        <v>#N/A</v>
      </c>
      <c r="AT790" s="1036">
        <f t="shared" si="50"/>
        <v>0</v>
      </c>
      <c r="AU790" s="599">
        <f t="shared" si="50"/>
        <v>0</v>
      </c>
      <c r="AV790" s="1030">
        <f>IFERROR(INDEX(V790:AG790,1,MATCH(Parametres!$B$3,V$1:AG$1,0)-1)*IF(OR(C790="L",C790="S",C790="I"),-1,1),"")</f>
        <v>0</v>
      </c>
      <c r="AW790" s="1030">
        <f t="shared" si="51"/>
        <v>0</v>
      </c>
      <c r="AX790" s="1030">
        <f>INDEX(V790:AG790,1,MATCH(Parametres!$B$3,V$1:AG$1,0))*IF(OR(C790="L",C790="S",C790="I"),-1,1)</f>
        <v>0</v>
      </c>
      <c r="AY790" s="598" t="s">
        <v>337</v>
      </c>
      <c r="AZ790" s="598" t="e">
        <f>+VLOOKUP($AJ790,Data_Validation!$A:$E,5,0)</f>
        <v>#N/A</v>
      </c>
    </row>
    <row r="791" spans="36:52" ht="15" customHeight="1">
      <c r="AJ791" s="1030">
        <f t="shared" si="52"/>
        <v>0</v>
      </c>
      <c r="AK791" s="1030">
        <f t="shared" si="52"/>
        <v>0</v>
      </c>
      <c r="AL791" s="1030">
        <f>IFERROR(INDEX(G791:R791,1,MATCH(Parametres!$B$3,G$1:R$1,0)-1)*IF(OR(F791="L",F791="S",F791="I"),-1,1),"")</f>
        <v>0</v>
      </c>
      <c r="AM791" s="1030">
        <f t="shared" si="49"/>
        <v>0</v>
      </c>
      <c r="AN791" s="1030">
        <f>INDEX(G791:R791,1,MATCH(Parametres!$B$3,G$1:R$1,0))*IF(OR(F791="L",F791="S",F791="I"),-1,1)</f>
        <v>0</v>
      </c>
      <c r="AO791" s="598" t="e">
        <f>+VLOOKUP($AJ791,Data_Validation!$A:$D,1,0)</f>
        <v>#N/A</v>
      </c>
      <c r="AP791" s="598" t="e">
        <f>+VLOOKUP($AJ791,Data_Validation!$A:$D,3,0)</f>
        <v>#N/A</v>
      </c>
      <c r="AQ791" s="598" t="e">
        <f>+VLOOKUP($AJ791,Data_Validation!$A:$D,4,0)</f>
        <v>#N/A</v>
      </c>
      <c r="AR791" s="598" t="s">
        <v>299</v>
      </c>
      <c r="AS791" s="598" t="e">
        <f>+VLOOKUP($AJ791,Data_Validation!$A:$E,5,0)</f>
        <v>#N/A</v>
      </c>
      <c r="AT791" s="1036">
        <f t="shared" si="50"/>
        <v>0</v>
      </c>
      <c r="AU791" s="599">
        <f t="shared" si="50"/>
        <v>0</v>
      </c>
      <c r="AV791" s="1030">
        <f>IFERROR(INDEX(V791:AG791,1,MATCH(Parametres!$B$3,V$1:AG$1,0)-1)*IF(OR(C791="L",C791="S",C791="I"),-1,1),"")</f>
        <v>0</v>
      </c>
      <c r="AW791" s="1030">
        <f t="shared" si="51"/>
        <v>0</v>
      </c>
      <c r="AX791" s="1030">
        <f>INDEX(V791:AG791,1,MATCH(Parametres!$B$3,V$1:AG$1,0))*IF(OR(C791="L",C791="S",C791="I"),-1,1)</f>
        <v>0</v>
      </c>
      <c r="AY791" s="598" t="s">
        <v>337</v>
      </c>
      <c r="AZ791" s="598" t="e">
        <f>+VLOOKUP($AJ791,Data_Validation!$A:$E,5,0)</f>
        <v>#N/A</v>
      </c>
    </row>
    <row r="792" spans="36:52" ht="15" customHeight="1">
      <c r="AJ792" s="1030">
        <f t="shared" si="52"/>
        <v>0</v>
      </c>
      <c r="AK792" s="1030">
        <f t="shared" si="52"/>
        <v>0</v>
      </c>
      <c r="AL792" s="1030">
        <f>IFERROR(INDEX(G792:R792,1,MATCH(Parametres!$B$3,G$1:R$1,0)-1)*IF(OR(F792="L",F792="S",F792="I"),-1,1),"")</f>
        <v>0</v>
      </c>
      <c r="AM792" s="1030">
        <f t="shared" si="49"/>
        <v>0</v>
      </c>
      <c r="AN792" s="1030">
        <f>INDEX(G792:R792,1,MATCH(Parametres!$B$3,G$1:R$1,0))*IF(OR(F792="L",F792="S",F792="I"),-1,1)</f>
        <v>0</v>
      </c>
      <c r="AO792" s="598" t="e">
        <f>+VLOOKUP($AJ792,Data_Validation!$A:$D,1,0)</f>
        <v>#N/A</v>
      </c>
      <c r="AP792" s="598" t="e">
        <f>+VLOOKUP($AJ792,Data_Validation!$A:$D,3,0)</f>
        <v>#N/A</v>
      </c>
      <c r="AQ792" s="598" t="e">
        <f>+VLOOKUP($AJ792,Data_Validation!$A:$D,4,0)</f>
        <v>#N/A</v>
      </c>
      <c r="AR792" s="598" t="s">
        <v>299</v>
      </c>
      <c r="AS792" s="598" t="e">
        <f>+VLOOKUP($AJ792,Data_Validation!$A:$E,5,0)</f>
        <v>#N/A</v>
      </c>
      <c r="AT792" s="1036">
        <f t="shared" si="50"/>
        <v>0</v>
      </c>
      <c r="AU792" s="599">
        <f t="shared" si="50"/>
        <v>0</v>
      </c>
      <c r="AV792" s="1030">
        <f>IFERROR(INDEX(V792:AG792,1,MATCH(Parametres!$B$3,V$1:AG$1,0)-1)*IF(OR(C792="L",C792="S",C792="I"),-1,1),"")</f>
        <v>0</v>
      </c>
      <c r="AW792" s="1030">
        <f t="shared" si="51"/>
        <v>0</v>
      </c>
      <c r="AX792" s="1030">
        <f>INDEX(V792:AG792,1,MATCH(Parametres!$B$3,V$1:AG$1,0))*IF(OR(C792="L",C792="S",C792="I"),-1,1)</f>
        <v>0</v>
      </c>
      <c r="AY792" s="598" t="s">
        <v>337</v>
      </c>
      <c r="AZ792" s="598" t="e">
        <f>+VLOOKUP($AJ792,Data_Validation!$A:$E,5,0)</f>
        <v>#N/A</v>
      </c>
    </row>
    <row r="793" spans="36:52" ht="15" customHeight="1">
      <c r="AT793" s="1036">
        <f t="shared" si="50"/>
        <v>0</v>
      </c>
      <c r="AU793" s="599">
        <f t="shared" si="50"/>
        <v>0</v>
      </c>
      <c r="AV793" s="1030">
        <f>IFERROR(INDEX(V793:AG793,1,MATCH(Parametres!$B$3,V$1:AG$1,0)-1)*IF(OR(C793="L",C793="S",C793="I"),-1,1),"")</f>
        <v>0</v>
      </c>
      <c r="AW793" s="1030">
        <f t="shared" si="51"/>
        <v>0</v>
      </c>
      <c r="AX793" s="1030">
        <f>INDEX(V793:AG793,1,MATCH(Parametres!$B$3,V$1:AG$1,0))*IF(OR(C793="L",C793="S",C793="I"),-1,1)</f>
        <v>0</v>
      </c>
      <c r="AY793" s="598" t="s">
        <v>337</v>
      </c>
      <c r="AZ793" s="598" t="e">
        <f>+VLOOKUP($AJ793,Data_Validation!$A:$E,5,0)</f>
        <v>#N/A</v>
      </c>
    </row>
    <row r="794" spans="36:52" ht="15" customHeight="1">
      <c r="AT794" s="1036">
        <f t="shared" si="50"/>
        <v>0</v>
      </c>
      <c r="AU794" s="599">
        <f t="shared" si="50"/>
        <v>0</v>
      </c>
      <c r="AV794" s="1030">
        <f>IFERROR(INDEX(V794:AG794,1,MATCH(Parametres!$B$3,V$1:AG$1,0)-1)*IF(OR(C794="L",C794="S",C794="I"),-1,1),"")</f>
        <v>0</v>
      </c>
      <c r="AW794" s="1030">
        <f t="shared" si="51"/>
        <v>0</v>
      </c>
      <c r="AX794" s="1030">
        <f>INDEX(V794:AG794,1,MATCH(Parametres!$B$3,V$1:AG$1,0))*IF(OR(C794="L",C794="S",C794="I"),-1,1)</f>
        <v>0</v>
      </c>
      <c r="AY794" s="598" t="s">
        <v>337</v>
      </c>
      <c r="AZ794" s="598" t="e">
        <f>+VLOOKUP($AJ794,Data_Validation!$A:$E,5,0)</f>
        <v>#N/A</v>
      </c>
    </row>
  </sheetData>
  <autoFilter ref="A2:AS794" xr:uid="{00000000-0001-0000-0E00-000000000000}"/>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13</vt:i4>
      </vt:variant>
      <vt:variant>
        <vt:lpstr>Plages nommées</vt:lpstr>
      </vt:variant>
      <vt:variant>
        <vt:i4>2</vt:i4>
      </vt:variant>
    </vt:vector>
  </HeadingPairs>
  <TitlesOfParts>
    <vt:vector size="15" baseType="lpstr">
      <vt:lpstr>Parametres</vt:lpstr>
      <vt:lpstr>Bilan</vt:lpstr>
      <vt:lpstr>Budget original</vt:lpstr>
      <vt:lpstr>Réel 2024</vt:lpstr>
      <vt:lpstr>Capex</vt:lpstr>
      <vt:lpstr>Inventaire_Used</vt:lpstr>
      <vt:lpstr>Inventaire_Neuf</vt:lpstr>
      <vt:lpstr>2pager</vt:lpstr>
      <vt:lpstr>Print_Mois</vt:lpstr>
      <vt:lpstr>Print_AAD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2026-06-02T19:19:26Z</cp:lastPrinted>
  <dcterms:created xsi:type="dcterms:W3CDTF">2023-01-24T17:19:21Z</dcterms:created>
  <dcterms:modified xsi:type="dcterms:W3CDTF">2026-09-28T14:39:41Z</dcterms:modified>
</cp:coreProperties>
</file>