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EADBC7F6-D1A4-49D5-840B-717F6A6A06AF}" xr6:coauthVersionLast="47" xr6:coauthVersionMax="47" xr10:uidLastSave="{00000000-0000-0000-0000-000000000000}"/>
  <bookViews>
    <workbookView xWindow="28680" yWindow="-120" windowWidth="29040" windowHeight="15720" activeTab="8"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V792" i="15"/>
  <c r="AU792" i="15"/>
  <c r="AT792" i="15"/>
  <c r="AX791" i="15"/>
  <c r="AW791" i="15" s="1"/>
  <c r="AV791" i="15"/>
  <c r="AU791" i="15"/>
  <c r="AT791" i="15"/>
  <c r="AX790" i="15"/>
  <c r="AW790" i="15" s="1"/>
  <c r="AV790" i="15"/>
  <c r="AU790" i="15"/>
  <c r="AT790" i="15"/>
  <c r="AX789" i="15"/>
  <c r="AV789" i="15"/>
  <c r="AU789" i="15"/>
  <c r="AT789" i="15"/>
  <c r="AX788" i="15"/>
  <c r="AW788" i="15" s="1"/>
  <c r="AV788" i="15"/>
  <c r="AU788" i="15"/>
  <c r="AT788" i="15"/>
  <c r="AX787" i="15"/>
  <c r="AW787" i="15" s="1"/>
  <c r="AV787" i="15"/>
  <c r="AU787" i="15"/>
  <c r="AT787" i="15"/>
  <c r="AX786" i="15"/>
  <c r="AV786" i="15"/>
  <c r="AU786" i="15"/>
  <c r="AT786" i="15"/>
  <c r="AX785" i="15"/>
  <c r="AW785" i="15" s="1"/>
  <c r="AV785" i="15"/>
  <c r="AU785" i="15"/>
  <c r="AT785" i="15"/>
  <c r="AX784" i="15"/>
  <c r="AW784" i="15" s="1"/>
  <c r="AV784" i="15"/>
  <c r="AU784" i="15"/>
  <c r="AT784" i="15"/>
  <c r="AX783" i="15"/>
  <c r="AV783" i="15"/>
  <c r="AU783" i="15"/>
  <c r="AT783" i="15"/>
  <c r="AX782" i="15"/>
  <c r="AW782" i="15" s="1"/>
  <c r="AV782" i="15"/>
  <c r="AU782" i="15"/>
  <c r="AT782" i="15"/>
  <c r="AX781" i="15"/>
  <c r="AW781" i="15" s="1"/>
  <c r="AV781" i="15"/>
  <c r="AU781" i="15"/>
  <c r="AT781" i="15"/>
  <c r="AX780" i="15"/>
  <c r="AV780" i="15"/>
  <c r="AU780" i="15"/>
  <c r="AT780" i="15"/>
  <c r="AX779" i="15"/>
  <c r="AW779" i="15" s="1"/>
  <c r="AV779" i="15"/>
  <c r="AU779" i="15"/>
  <c r="AT779" i="15"/>
  <c r="AX778" i="15"/>
  <c r="AW778" i="15" s="1"/>
  <c r="AV778" i="15"/>
  <c r="AU778" i="15"/>
  <c r="AT778" i="15"/>
  <c r="AX777" i="15"/>
  <c r="AV777" i="15"/>
  <c r="AU777" i="15"/>
  <c r="AT777" i="15"/>
  <c r="AX776" i="15"/>
  <c r="AW776" i="15" s="1"/>
  <c r="AV776" i="15"/>
  <c r="AU776" i="15"/>
  <c r="AT776" i="15"/>
  <c r="AX775" i="15"/>
  <c r="AW775" i="15" s="1"/>
  <c r="AV775" i="15"/>
  <c r="AU775" i="15"/>
  <c r="AT775" i="15"/>
  <c r="AX774" i="15"/>
  <c r="AV774" i="15"/>
  <c r="AU774" i="15"/>
  <c r="AT774" i="15"/>
  <c r="AX773" i="15"/>
  <c r="AW773" i="15" s="1"/>
  <c r="AV773" i="15"/>
  <c r="AU773" i="15"/>
  <c r="AT773" i="15"/>
  <c r="AX772" i="15"/>
  <c r="AW772" i="15" s="1"/>
  <c r="AV772" i="15"/>
  <c r="AU772" i="15"/>
  <c r="AT772" i="15"/>
  <c r="AX771" i="15"/>
  <c r="AV771" i="15"/>
  <c r="AU771" i="15"/>
  <c r="AT771" i="15"/>
  <c r="AX770" i="15"/>
  <c r="AW770" i="15" s="1"/>
  <c r="AV770" i="15"/>
  <c r="AU770" i="15"/>
  <c r="AT770" i="15"/>
  <c r="AX769" i="15"/>
  <c r="AW769" i="15" s="1"/>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V735" i="15"/>
  <c r="AU735" i="15"/>
  <c r="AT735" i="15"/>
  <c r="AX734" i="15"/>
  <c r="AV734" i="15"/>
  <c r="AU734" i="15"/>
  <c r="AT734" i="15"/>
  <c r="AX733" i="15"/>
  <c r="AW733" i="15" s="1"/>
  <c r="AV733" i="15"/>
  <c r="AU733" i="15"/>
  <c r="AT733" i="15"/>
  <c r="AX732" i="15"/>
  <c r="AV732" i="15"/>
  <c r="AU732" i="15"/>
  <c r="AT732" i="15"/>
  <c r="AX731" i="15"/>
  <c r="AW731" i="15" s="1"/>
  <c r="AV731" i="15"/>
  <c r="AU731" i="15"/>
  <c r="AT731" i="15"/>
  <c r="AX730" i="15"/>
  <c r="AW730" i="15" s="1"/>
  <c r="AV730" i="15"/>
  <c r="AU730" i="15"/>
  <c r="AT730" i="15"/>
  <c r="AX729" i="15"/>
  <c r="AV729" i="15"/>
  <c r="AU729" i="15"/>
  <c r="AT729" i="15"/>
  <c r="AX728" i="15"/>
  <c r="AW728" i="15" s="1"/>
  <c r="AV728" i="15"/>
  <c r="AU728" i="15"/>
  <c r="AT728" i="15"/>
  <c r="AX727" i="15"/>
  <c r="AW727" i="15" s="1"/>
  <c r="AV727" i="15"/>
  <c r="AU727" i="15"/>
  <c r="AT727" i="15"/>
  <c r="AX726" i="15"/>
  <c r="AV726" i="15"/>
  <c r="AU726" i="15"/>
  <c r="AT726" i="15"/>
  <c r="AX725" i="15"/>
  <c r="AW725" i="15" s="1"/>
  <c r="AV725" i="15"/>
  <c r="AU725" i="15"/>
  <c r="AT725" i="15"/>
  <c r="AX724" i="15"/>
  <c r="AW724" i="15" s="1"/>
  <c r="AV724" i="15"/>
  <c r="AU724" i="15"/>
  <c r="AT724" i="15"/>
  <c r="AX723" i="15"/>
  <c r="AV723" i="15"/>
  <c r="AU723" i="15"/>
  <c r="AT723" i="15"/>
  <c r="AX722" i="15"/>
  <c r="AW722" i="15" s="1"/>
  <c r="AV722" i="15"/>
  <c r="AU722" i="15"/>
  <c r="AT722" i="15"/>
  <c r="AX721" i="15"/>
  <c r="AW721" i="15" s="1"/>
  <c r="AV721" i="15"/>
  <c r="AU721" i="15"/>
  <c r="AT721" i="15"/>
  <c r="AX720" i="15"/>
  <c r="AV720" i="15"/>
  <c r="AU720" i="15"/>
  <c r="AT720" i="15"/>
  <c r="AX719" i="15"/>
  <c r="AW719" i="15" s="1"/>
  <c r="AV719" i="15"/>
  <c r="AU719" i="15"/>
  <c r="AT719" i="15"/>
  <c r="AX718" i="15"/>
  <c r="AW718" i="15" s="1"/>
  <c r="AV718" i="15"/>
  <c r="AU718" i="15"/>
  <c r="AT718" i="15"/>
  <c r="AX717" i="15"/>
  <c r="AV717" i="15"/>
  <c r="AU717" i="15"/>
  <c r="AT717" i="15"/>
  <c r="AX716" i="15"/>
  <c r="AW716" i="15" s="1"/>
  <c r="AV716" i="15"/>
  <c r="AU716" i="15"/>
  <c r="AT716" i="15"/>
  <c r="AX715" i="15"/>
  <c r="AW715" i="15" s="1"/>
  <c r="AV715" i="15"/>
  <c r="AU715" i="15"/>
  <c r="AT715" i="15"/>
  <c r="AX714" i="15"/>
  <c r="AV714" i="15"/>
  <c r="AU714" i="15"/>
  <c r="AT714" i="15"/>
  <c r="AX713" i="15"/>
  <c r="AW713" i="15" s="1"/>
  <c r="AV713" i="15"/>
  <c r="AU713" i="15"/>
  <c r="AT713" i="15"/>
  <c r="AX712" i="15"/>
  <c r="AW712" i="15" s="1"/>
  <c r="AV712" i="15"/>
  <c r="AU712" i="15"/>
  <c r="AT712" i="15"/>
  <c r="AX711" i="15"/>
  <c r="AV711" i="15"/>
  <c r="AU711" i="15"/>
  <c r="AT711" i="15"/>
  <c r="AX710" i="15"/>
  <c r="AW710" i="15" s="1"/>
  <c r="AV710" i="15"/>
  <c r="AU710" i="15"/>
  <c r="AT710" i="15"/>
  <c r="AX709" i="15"/>
  <c r="AW709" i="15" s="1"/>
  <c r="AV709" i="15"/>
  <c r="AU709" i="15"/>
  <c r="AT709" i="15"/>
  <c r="AX708" i="15"/>
  <c r="AV708" i="15"/>
  <c r="AU708" i="15"/>
  <c r="AT708" i="15"/>
  <c r="AX707" i="15"/>
  <c r="AW707" i="15" s="1"/>
  <c r="AV707" i="15"/>
  <c r="AU707" i="15"/>
  <c r="AT707" i="15"/>
  <c r="AX706" i="15"/>
  <c r="AW706" i="15" s="1"/>
  <c r="AV706" i="15"/>
  <c r="AU706" i="15"/>
  <c r="AT706" i="15"/>
  <c r="AX705" i="15"/>
  <c r="AV705" i="15"/>
  <c r="AU705" i="15"/>
  <c r="AT705" i="15"/>
  <c r="AX704" i="15"/>
  <c r="AW704" i="15" s="1"/>
  <c r="AV704" i="15"/>
  <c r="AU704" i="15"/>
  <c r="AT704" i="15"/>
  <c r="AX703" i="15"/>
  <c r="AW703" i="15" s="1"/>
  <c r="AV703" i="15"/>
  <c r="AU703" i="15"/>
  <c r="AT703" i="15"/>
  <c r="AX702" i="15"/>
  <c r="AV702" i="15"/>
  <c r="AU702" i="15"/>
  <c r="AT702" i="15"/>
  <c r="AX701" i="15"/>
  <c r="AW701" i="15" s="1"/>
  <c r="AV701" i="15"/>
  <c r="AU701" i="15"/>
  <c r="AT701" i="15"/>
  <c r="AX700" i="15"/>
  <c r="AW700" i="15" s="1"/>
  <c r="AV700" i="15"/>
  <c r="AU700" i="15"/>
  <c r="AT700" i="15"/>
  <c r="AX699" i="15"/>
  <c r="AV699" i="15"/>
  <c r="AU699" i="15"/>
  <c r="AT699" i="15"/>
  <c r="AX698" i="15"/>
  <c r="AW698" i="15" s="1"/>
  <c r="AV698" i="15"/>
  <c r="AU698" i="15"/>
  <c r="AT698" i="15"/>
  <c r="AX697" i="15"/>
  <c r="AW697" i="15" s="1"/>
  <c r="AV697" i="15"/>
  <c r="AU697" i="15"/>
  <c r="AT697" i="15"/>
  <c r="AX696" i="15"/>
  <c r="AV696" i="15"/>
  <c r="AU696" i="15"/>
  <c r="AT696" i="15"/>
  <c r="AX695" i="15"/>
  <c r="AW695" i="15" s="1"/>
  <c r="AV695" i="15"/>
  <c r="AU695" i="15"/>
  <c r="AT695" i="15"/>
  <c r="AX694" i="15"/>
  <c r="AW694" i="15" s="1"/>
  <c r="AV694" i="15"/>
  <c r="AU694" i="15"/>
  <c r="AT694" i="15"/>
  <c r="AX693" i="15"/>
  <c r="AV693" i="15"/>
  <c r="AU693" i="15"/>
  <c r="AT693" i="15"/>
  <c r="AX692" i="15"/>
  <c r="AW692" i="15" s="1"/>
  <c r="AV692" i="15"/>
  <c r="AU692" i="15"/>
  <c r="AT692" i="15"/>
  <c r="AX691" i="15"/>
  <c r="AW691" i="15" s="1"/>
  <c r="AV691" i="15"/>
  <c r="AU691" i="15"/>
  <c r="AT691" i="15"/>
  <c r="AX690" i="15"/>
  <c r="AV690" i="15"/>
  <c r="AU690" i="15"/>
  <c r="AT690" i="15"/>
  <c r="AX689" i="15"/>
  <c r="AW689" i="15" s="1"/>
  <c r="AV689" i="15"/>
  <c r="AU689" i="15"/>
  <c r="AT689" i="15"/>
  <c r="AX688" i="15"/>
  <c r="AW688" i="15" s="1"/>
  <c r="AV688" i="15"/>
  <c r="AU688" i="15"/>
  <c r="AT688" i="15"/>
  <c r="AX687" i="15"/>
  <c r="AV687" i="15"/>
  <c r="AU687" i="15"/>
  <c r="AT687" i="15"/>
  <c r="AX686" i="15"/>
  <c r="AW686" i="15" s="1"/>
  <c r="AV686" i="15"/>
  <c r="AU686" i="15"/>
  <c r="AT686" i="15"/>
  <c r="AX685" i="15"/>
  <c r="AW685" i="15" s="1"/>
  <c r="AV685" i="15"/>
  <c r="AU685" i="15"/>
  <c r="AT685" i="15"/>
  <c r="AX684" i="15"/>
  <c r="AV684" i="15"/>
  <c r="AU684" i="15"/>
  <c r="AT684" i="15"/>
  <c r="AX683" i="15"/>
  <c r="AW683" i="15" s="1"/>
  <c r="AV683" i="15"/>
  <c r="AU683" i="15"/>
  <c r="AT683" i="15"/>
  <c r="AX682" i="15"/>
  <c r="AW682" i="15" s="1"/>
  <c r="AV682" i="15"/>
  <c r="AU682" i="15"/>
  <c r="AT682" i="15"/>
  <c r="AX681" i="15"/>
  <c r="AV681" i="15"/>
  <c r="AU681" i="15"/>
  <c r="AT681" i="15"/>
  <c r="AX680" i="15"/>
  <c r="AW680" i="15" s="1"/>
  <c r="AV680" i="15"/>
  <c r="AU680" i="15"/>
  <c r="AT680" i="15"/>
  <c r="AX679" i="15"/>
  <c r="AW679" i="15" s="1"/>
  <c r="AV679" i="15"/>
  <c r="AU679" i="15"/>
  <c r="AT679" i="15"/>
  <c r="AX678" i="15"/>
  <c r="AV678" i="15"/>
  <c r="AU678" i="15"/>
  <c r="AT678" i="15"/>
  <c r="AX677" i="15"/>
  <c r="AW677" i="15" s="1"/>
  <c r="AV677" i="15"/>
  <c r="AU677" i="15"/>
  <c r="AT677" i="15"/>
  <c r="AX676" i="15"/>
  <c r="AW676" i="15" s="1"/>
  <c r="AV676" i="15"/>
  <c r="AU676" i="15"/>
  <c r="AT676" i="15"/>
  <c r="AX675" i="15"/>
  <c r="AV675" i="15"/>
  <c r="AU675" i="15"/>
  <c r="AT675" i="15"/>
  <c r="AX674" i="15"/>
  <c r="AW674" i="15" s="1"/>
  <c r="AV674" i="15"/>
  <c r="AU674" i="15"/>
  <c r="AT674" i="15"/>
  <c r="AX673" i="15"/>
  <c r="AW673" i="15" s="1"/>
  <c r="AV673" i="15"/>
  <c r="AU673" i="15"/>
  <c r="AT673" i="15"/>
  <c r="AX672" i="15"/>
  <c r="AV672" i="15"/>
  <c r="AU672" i="15"/>
  <c r="AT672" i="15"/>
  <c r="AX671" i="15"/>
  <c r="AW671" i="15" s="1"/>
  <c r="AV671" i="15"/>
  <c r="AU671" i="15"/>
  <c r="AT671" i="15"/>
  <c r="AX670" i="15"/>
  <c r="AW670" i="15" s="1"/>
  <c r="AV670" i="15"/>
  <c r="AU670" i="15"/>
  <c r="AT670" i="15"/>
  <c r="AX669" i="15"/>
  <c r="AV669" i="15"/>
  <c r="AU669" i="15"/>
  <c r="AT669" i="15"/>
  <c r="AX668" i="15"/>
  <c r="AW668" i="15" s="1"/>
  <c r="AV668" i="15"/>
  <c r="AU668" i="15"/>
  <c r="AT668" i="15"/>
  <c r="AX667" i="15"/>
  <c r="AW667" i="15" s="1"/>
  <c r="AV667" i="15"/>
  <c r="AU667" i="15"/>
  <c r="AT667" i="15"/>
  <c r="AX666" i="15"/>
  <c r="AV666" i="15"/>
  <c r="AU666" i="15"/>
  <c r="AT666" i="15"/>
  <c r="AX665" i="15"/>
  <c r="AW665" i="15" s="1"/>
  <c r="AV665" i="15"/>
  <c r="AU665" i="15"/>
  <c r="AT665" i="15"/>
  <c r="AX664" i="15"/>
  <c r="AW664" i="15" s="1"/>
  <c r="AV664" i="15"/>
  <c r="AU664" i="15"/>
  <c r="AT664" i="15"/>
  <c r="AX663" i="15"/>
  <c r="AV663" i="15"/>
  <c r="AU663" i="15"/>
  <c r="AT663" i="15"/>
  <c r="AX662" i="15"/>
  <c r="AW662" i="15" s="1"/>
  <c r="AV662" i="15"/>
  <c r="AU662" i="15"/>
  <c r="AT662" i="15"/>
  <c r="AX661" i="15"/>
  <c r="AW661" i="15" s="1"/>
  <c r="AV661" i="15"/>
  <c r="AU661" i="15"/>
  <c r="AT661" i="15"/>
  <c r="AX660" i="15"/>
  <c r="AV660" i="15"/>
  <c r="AU660" i="15"/>
  <c r="AT660" i="15"/>
  <c r="AX659" i="15"/>
  <c r="AW659" i="15" s="1"/>
  <c r="AV659" i="15"/>
  <c r="AU659" i="15"/>
  <c r="AT659" i="15"/>
  <c r="AX658" i="15"/>
  <c r="AW658" i="15" s="1"/>
  <c r="AV658" i="15"/>
  <c r="AU658" i="15"/>
  <c r="AT658" i="15"/>
  <c r="AX657" i="15"/>
  <c r="AV657" i="15"/>
  <c r="AU657" i="15"/>
  <c r="AT657" i="15"/>
  <c r="AX656" i="15"/>
  <c r="AW656" i="15" s="1"/>
  <c r="AV656" i="15"/>
  <c r="AU656" i="15"/>
  <c r="AT656" i="15"/>
  <c r="AX655" i="15"/>
  <c r="AW655" i="15" s="1"/>
  <c r="AV655" i="15"/>
  <c r="AU655" i="15"/>
  <c r="AT655" i="15"/>
  <c r="AX654" i="15"/>
  <c r="AV654" i="15"/>
  <c r="AU654" i="15"/>
  <c r="AT654" i="15"/>
  <c r="AX653" i="15"/>
  <c r="AW653" i="15" s="1"/>
  <c r="AV653" i="15"/>
  <c r="AU653" i="15"/>
  <c r="AT653" i="15"/>
  <c r="AX652" i="15"/>
  <c r="AW652" i="15" s="1"/>
  <c r="AV652" i="15"/>
  <c r="AU652" i="15"/>
  <c r="AT652" i="15"/>
  <c r="AX651" i="15"/>
  <c r="AV651" i="15"/>
  <c r="AU651" i="15"/>
  <c r="AT651" i="15"/>
  <c r="AX650" i="15"/>
  <c r="AW650" i="15" s="1"/>
  <c r="AV650" i="15"/>
  <c r="AU650" i="15"/>
  <c r="AT650" i="15"/>
  <c r="AX649" i="15"/>
  <c r="AW649" i="15" s="1"/>
  <c r="AV649" i="15"/>
  <c r="AU649" i="15"/>
  <c r="AT649" i="15"/>
  <c r="AX648" i="15"/>
  <c r="AV648" i="15"/>
  <c r="AU648" i="15"/>
  <c r="AT648" i="15"/>
  <c r="AX647" i="15"/>
  <c r="AW647" i="15" s="1"/>
  <c r="AV647" i="15"/>
  <c r="AU647" i="15"/>
  <c r="AT647" i="15"/>
  <c r="AX646" i="15"/>
  <c r="AW646" i="15" s="1"/>
  <c r="AV646" i="15"/>
  <c r="AU646" i="15"/>
  <c r="AT646" i="15"/>
  <c r="AX645" i="15"/>
  <c r="AV645" i="15"/>
  <c r="AU645" i="15"/>
  <c r="AT645" i="15"/>
  <c r="AX644" i="15"/>
  <c r="AW644" i="15" s="1"/>
  <c r="AV644" i="15"/>
  <c r="AU644" i="15"/>
  <c r="AT644" i="15"/>
  <c r="AX643" i="15"/>
  <c r="AW643" i="15" s="1"/>
  <c r="AV643" i="15"/>
  <c r="AU643" i="15"/>
  <c r="AT643" i="15"/>
  <c r="AX642" i="15"/>
  <c r="AV642" i="15"/>
  <c r="AU642" i="15"/>
  <c r="AT642" i="15"/>
  <c r="AX641" i="15"/>
  <c r="AW641" i="15" s="1"/>
  <c r="AV641" i="15"/>
  <c r="AU641" i="15"/>
  <c r="AT641" i="15"/>
  <c r="AX640" i="15"/>
  <c r="AW640" i="15" s="1"/>
  <c r="AV640" i="15"/>
  <c r="AU640" i="15"/>
  <c r="AT640" i="15"/>
  <c r="AX639" i="15"/>
  <c r="AV639" i="15"/>
  <c r="AU639" i="15"/>
  <c r="AT639" i="15"/>
  <c r="AX638" i="15"/>
  <c r="AW638" i="15" s="1"/>
  <c r="AV638" i="15"/>
  <c r="AU638" i="15"/>
  <c r="AT638" i="15"/>
  <c r="AX637" i="15"/>
  <c r="AW637" i="15" s="1"/>
  <c r="AV637" i="15"/>
  <c r="AU637" i="15"/>
  <c r="AT637" i="15"/>
  <c r="AX636" i="15"/>
  <c r="AV636" i="15"/>
  <c r="AU636" i="15"/>
  <c r="AT636" i="15"/>
  <c r="AX635" i="15"/>
  <c r="AW635" i="15" s="1"/>
  <c r="AV635" i="15"/>
  <c r="AU635" i="15"/>
  <c r="AT635" i="15"/>
  <c r="AX634" i="15"/>
  <c r="AW634" i="15" s="1"/>
  <c r="AV634" i="15"/>
  <c r="AU634" i="15"/>
  <c r="AT634" i="15"/>
  <c r="AX633" i="15"/>
  <c r="AV633" i="15"/>
  <c r="AU633" i="15"/>
  <c r="AT633" i="15"/>
  <c r="AX632" i="15"/>
  <c r="AW632" i="15" s="1"/>
  <c r="AV632" i="15"/>
  <c r="AU632" i="15"/>
  <c r="AT632" i="15"/>
  <c r="AX631" i="15"/>
  <c r="AV631" i="15"/>
  <c r="AU631" i="15"/>
  <c r="AT631" i="15"/>
  <c r="AX630" i="15"/>
  <c r="AV630" i="15"/>
  <c r="AU630" i="15"/>
  <c r="AT630" i="15"/>
  <c r="AX629" i="15"/>
  <c r="AW629" i="15" s="1"/>
  <c r="AV629" i="15"/>
  <c r="AU629" i="15"/>
  <c r="AT629" i="15"/>
  <c r="AX628" i="15"/>
  <c r="AV628" i="15"/>
  <c r="AU628" i="15"/>
  <c r="AT628" i="15"/>
  <c r="AX627" i="15"/>
  <c r="AV627" i="15"/>
  <c r="AU627" i="15"/>
  <c r="AT627" i="15"/>
  <c r="AX626" i="15"/>
  <c r="AW626" i="15" s="1"/>
  <c r="AV626" i="15"/>
  <c r="AU626" i="15"/>
  <c r="AT626" i="15"/>
  <c r="AX625" i="15"/>
  <c r="AW625" i="15" s="1"/>
  <c r="AV625" i="15"/>
  <c r="AU625" i="15"/>
  <c r="AT625" i="15"/>
  <c r="AX624" i="15"/>
  <c r="AV624" i="15"/>
  <c r="AU624" i="15"/>
  <c r="AT624" i="15"/>
  <c r="AX623" i="15"/>
  <c r="AW623" i="15" s="1"/>
  <c r="AV623" i="15"/>
  <c r="AU623" i="15"/>
  <c r="AT623" i="15"/>
  <c r="AX622" i="15"/>
  <c r="AW622" i="15" s="1"/>
  <c r="AV622" i="15"/>
  <c r="AU622" i="15"/>
  <c r="AT622" i="15"/>
  <c r="AX621" i="15"/>
  <c r="AV621" i="15"/>
  <c r="AU621" i="15"/>
  <c r="AT621" i="15"/>
  <c r="AX620" i="15"/>
  <c r="AW620" i="15" s="1"/>
  <c r="AV620" i="15"/>
  <c r="AU620" i="15"/>
  <c r="AT620" i="15"/>
  <c r="AX619" i="15"/>
  <c r="AW619" i="15" s="1"/>
  <c r="AV619" i="15"/>
  <c r="AU619" i="15"/>
  <c r="AT619" i="15"/>
  <c r="AX618" i="15"/>
  <c r="AV618" i="15"/>
  <c r="AU618" i="15"/>
  <c r="AT618" i="15"/>
  <c r="AX617" i="15"/>
  <c r="AW617" i="15" s="1"/>
  <c r="AV617" i="15"/>
  <c r="AU617" i="15"/>
  <c r="AT617" i="15"/>
  <c r="AX616" i="15"/>
  <c r="AW616" i="15" s="1"/>
  <c r="AV616" i="15"/>
  <c r="AU616" i="15"/>
  <c r="AT616" i="15"/>
  <c r="AX615" i="15"/>
  <c r="AV615" i="15"/>
  <c r="AU615" i="15"/>
  <c r="AT615" i="15"/>
  <c r="AX614" i="15"/>
  <c r="AW614" i="15" s="1"/>
  <c r="AV614" i="15"/>
  <c r="AU614" i="15"/>
  <c r="AT614" i="15"/>
  <c r="AX613" i="15"/>
  <c r="AW613" i="15" s="1"/>
  <c r="AV613" i="15"/>
  <c r="AU613" i="15"/>
  <c r="AT613" i="15"/>
  <c r="AX612" i="15"/>
  <c r="AV612" i="15"/>
  <c r="AU612" i="15"/>
  <c r="AT612" i="15"/>
  <c r="AX611" i="15"/>
  <c r="AW611" i="15" s="1"/>
  <c r="AV611" i="15"/>
  <c r="AU611" i="15"/>
  <c r="AT611" i="15"/>
  <c r="AX610" i="15"/>
  <c r="AV610" i="15"/>
  <c r="AU610" i="15"/>
  <c r="AT610" i="15"/>
  <c r="AX609" i="15"/>
  <c r="AV609" i="15"/>
  <c r="AU609" i="15"/>
  <c r="AT609" i="15"/>
  <c r="AX608" i="15"/>
  <c r="AW608" i="15" s="1"/>
  <c r="AV608" i="15"/>
  <c r="AU608" i="15"/>
  <c r="AT608" i="15"/>
  <c r="AX607" i="15"/>
  <c r="AV607" i="15"/>
  <c r="AU607" i="15"/>
  <c r="AT607" i="15"/>
  <c r="AX606" i="15"/>
  <c r="AV606" i="15"/>
  <c r="AU606" i="15"/>
  <c r="AT606" i="15"/>
  <c r="AX605" i="15"/>
  <c r="AW605" i="15" s="1"/>
  <c r="AV605" i="15"/>
  <c r="AU605" i="15"/>
  <c r="AT605" i="15"/>
  <c r="AX604" i="15"/>
  <c r="AV604" i="15"/>
  <c r="AU604" i="15"/>
  <c r="AT604" i="15"/>
  <c r="AX603" i="15"/>
  <c r="AV603" i="15"/>
  <c r="AU603" i="15"/>
  <c r="AT603" i="15"/>
  <c r="AX602" i="15"/>
  <c r="AW602" i="15" s="1"/>
  <c r="AV602" i="15"/>
  <c r="AU602" i="15"/>
  <c r="AT602" i="15"/>
  <c r="AX601" i="15"/>
  <c r="AV601" i="15"/>
  <c r="AU601" i="15"/>
  <c r="AT601" i="15"/>
  <c r="AX600" i="15"/>
  <c r="AV600" i="15"/>
  <c r="AU600" i="15"/>
  <c r="AT600" i="15"/>
  <c r="AX599" i="15"/>
  <c r="AW599" i="15" s="1"/>
  <c r="AV599" i="15"/>
  <c r="AU599" i="15"/>
  <c r="AT599" i="15"/>
  <c r="AX598" i="15"/>
  <c r="AV598" i="15"/>
  <c r="AU598" i="15"/>
  <c r="AT598" i="15"/>
  <c r="AX597" i="15"/>
  <c r="AV597" i="15"/>
  <c r="AU597" i="15"/>
  <c r="AT597" i="15"/>
  <c r="AX596" i="15"/>
  <c r="AW596" i="15" s="1"/>
  <c r="AV596" i="15"/>
  <c r="AU596" i="15"/>
  <c r="AT596" i="15"/>
  <c r="AX595" i="15"/>
  <c r="AV595" i="15"/>
  <c r="AU595" i="15"/>
  <c r="AT595" i="15"/>
  <c r="AX594" i="15"/>
  <c r="AV594" i="15"/>
  <c r="AU594" i="15"/>
  <c r="AT594" i="15"/>
  <c r="AX593" i="15"/>
  <c r="AW593" i="15" s="1"/>
  <c r="AV593" i="15"/>
  <c r="AU593" i="15"/>
  <c r="AT593" i="15"/>
  <c r="AX592" i="15"/>
  <c r="AV592" i="15"/>
  <c r="AU592" i="15"/>
  <c r="AT592" i="15"/>
  <c r="AX591" i="15"/>
  <c r="AV591" i="15"/>
  <c r="AU591" i="15"/>
  <c r="AT591" i="15"/>
  <c r="AX590" i="15"/>
  <c r="AW590" i="15" s="1"/>
  <c r="AV590" i="15"/>
  <c r="AU590" i="15"/>
  <c r="AT590" i="15"/>
  <c r="AX589" i="15"/>
  <c r="AV589" i="15"/>
  <c r="AU589" i="15"/>
  <c r="AT589" i="15"/>
  <c r="AX588" i="15"/>
  <c r="AV588" i="15"/>
  <c r="AU588" i="15"/>
  <c r="AT588" i="15"/>
  <c r="AX587" i="15"/>
  <c r="AW587" i="15" s="1"/>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W575" i="15" s="1"/>
  <c r="AV575" i="15"/>
  <c r="AU575" i="15"/>
  <c r="AT575" i="15"/>
  <c r="AX574" i="15"/>
  <c r="AV574" i="15"/>
  <c r="AU574" i="15"/>
  <c r="AT574" i="15"/>
  <c r="AX573" i="15"/>
  <c r="AV573" i="15"/>
  <c r="AU573" i="15"/>
  <c r="AT573" i="15"/>
  <c r="AX572" i="15"/>
  <c r="AW572" i="15" s="1"/>
  <c r="AV572" i="15"/>
  <c r="AU572" i="15"/>
  <c r="AT572" i="15"/>
  <c r="AX571" i="15"/>
  <c r="AV571" i="15"/>
  <c r="AU571" i="15"/>
  <c r="AT571" i="15"/>
  <c r="AX570" i="15"/>
  <c r="AV570" i="15"/>
  <c r="AU570" i="15"/>
  <c r="AT570" i="15"/>
  <c r="AX569" i="15"/>
  <c r="AW569" i="15" s="1"/>
  <c r="AV569" i="15"/>
  <c r="AU569" i="15"/>
  <c r="AT569" i="15"/>
  <c r="AX568" i="15"/>
  <c r="AV568" i="15"/>
  <c r="AU568" i="15"/>
  <c r="AT568" i="15"/>
  <c r="AX567" i="15"/>
  <c r="AV567" i="15"/>
  <c r="AU567" i="15"/>
  <c r="AT567" i="15"/>
  <c r="AX566" i="15"/>
  <c r="AW566" i="15" s="1"/>
  <c r="AV566" i="15"/>
  <c r="AU566" i="15"/>
  <c r="AT566" i="15"/>
  <c r="AX565" i="15"/>
  <c r="AV565" i="15"/>
  <c r="AU565" i="15"/>
  <c r="AT565" i="15"/>
  <c r="AX564" i="15"/>
  <c r="AV564" i="15"/>
  <c r="AU564" i="15"/>
  <c r="AT564" i="15"/>
  <c r="AX563" i="15"/>
  <c r="AW563" i="15" s="1"/>
  <c r="AV563" i="15"/>
  <c r="AU563" i="15"/>
  <c r="AT563" i="15"/>
  <c r="AX562" i="15"/>
  <c r="AV562" i="15"/>
  <c r="AU562" i="15"/>
  <c r="AT562" i="15"/>
  <c r="AX561" i="15"/>
  <c r="AV561" i="15"/>
  <c r="AU561" i="15"/>
  <c r="AT561" i="15"/>
  <c r="AX560" i="15"/>
  <c r="AW560" i="15" s="1"/>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W551" i="15" s="1"/>
  <c r="AV551" i="15"/>
  <c r="AU551" i="15"/>
  <c r="AT551" i="15"/>
  <c r="AX550" i="15"/>
  <c r="AV550" i="15"/>
  <c r="AU550" i="15"/>
  <c r="AT550" i="15"/>
  <c r="AX549" i="15"/>
  <c r="AV549" i="15"/>
  <c r="AU549" i="15"/>
  <c r="AT549" i="15"/>
  <c r="AX548" i="15"/>
  <c r="AW548" i="15" s="1"/>
  <c r="AV548" i="15"/>
  <c r="AU548" i="15"/>
  <c r="AT548" i="15"/>
  <c r="AX547" i="15"/>
  <c r="AV547" i="15"/>
  <c r="AU547" i="15"/>
  <c r="AT547" i="15"/>
  <c r="AX546" i="15"/>
  <c r="AV546" i="15"/>
  <c r="AU546" i="15"/>
  <c r="AT546" i="15"/>
  <c r="AX545" i="15"/>
  <c r="AW545" i="15" s="1"/>
  <c r="AV545" i="15"/>
  <c r="AU545" i="15"/>
  <c r="AT545" i="15"/>
  <c r="AX544" i="15"/>
  <c r="AV544" i="15"/>
  <c r="AU544" i="15"/>
  <c r="AT544" i="15"/>
  <c r="AX543" i="15"/>
  <c r="AV543" i="15"/>
  <c r="AU543" i="15"/>
  <c r="AT543" i="15"/>
  <c r="AX542" i="15"/>
  <c r="AW542" i="15" s="1"/>
  <c r="AV542" i="15"/>
  <c r="AU542" i="15"/>
  <c r="AT542" i="15"/>
  <c r="AX541" i="15"/>
  <c r="AV541" i="15"/>
  <c r="AU541" i="15"/>
  <c r="AT541" i="15"/>
  <c r="AX540" i="15"/>
  <c r="AV540" i="15"/>
  <c r="AU540" i="15"/>
  <c r="AT540" i="15"/>
  <c r="AX539" i="15"/>
  <c r="AW539" i="15" s="1"/>
  <c r="AV539" i="15"/>
  <c r="AU539" i="15"/>
  <c r="AT539" i="15"/>
  <c r="AX538" i="15"/>
  <c r="AV538" i="15"/>
  <c r="AU538" i="15"/>
  <c r="AT538" i="15"/>
  <c r="AX537" i="15"/>
  <c r="AV537" i="15"/>
  <c r="AU537" i="15"/>
  <c r="AT537" i="15"/>
  <c r="AX536" i="15"/>
  <c r="AW536" i="15" s="1"/>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554" i="15" l="1"/>
  <c r="AW557" i="15"/>
  <c r="AW529" i="15"/>
  <c r="AW541" i="15"/>
  <c r="AW550" i="15"/>
  <c r="AW559" i="15"/>
  <c r="AW568" i="15"/>
  <c r="AW577" i="15"/>
  <c r="AW586" i="15"/>
  <c r="AW595" i="15"/>
  <c r="AW604" i="15"/>
  <c r="AW628" i="15"/>
  <c r="AW526" i="15"/>
  <c r="AW535" i="15"/>
  <c r="AW544" i="15"/>
  <c r="AW553" i="15"/>
  <c r="AW562" i="15"/>
  <c r="AW571" i="15"/>
  <c r="AW580" i="15"/>
  <c r="AW589" i="15"/>
  <c r="AW598" i="15"/>
  <c r="AW607" i="15"/>
  <c r="AW631" i="15"/>
  <c r="AW532" i="15"/>
  <c r="AW538" i="15"/>
  <c r="AW547" i="15"/>
  <c r="AW556" i="15"/>
  <c r="AW565" i="15"/>
  <c r="AW574" i="15"/>
  <c r="AW583" i="15"/>
  <c r="AW592" i="15"/>
  <c r="AW601" i="15"/>
  <c r="AW610" i="15"/>
  <c r="AW414" i="15"/>
  <c r="AW441" i="15"/>
  <c r="AW450" i="15"/>
  <c r="AW459" i="15"/>
  <c r="AW468" i="15"/>
  <c r="AW477" i="15"/>
  <c r="AW486" i="15"/>
  <c r="AW492" i="15"/>
  <c r="AW504" i="15"/>
  <c r="AW510" i="15"/>
  <c r="AW519" i="15"/>
  <c r="AW528" i="15"/>
  <c r="AW537" i="15"/>
  <c r="AW546" i="15"/>
  <c r="AW555" i="15"/>
  <c r="AW567" i="15"/>
  <c r="AW621" i="15"/>
  <c r="AW444" i="15"/>
  <c r="AW453" i="15"/>
  <c r="AW462" i="15"/>
  <c r="AW471" i="15"/>
  <c r="AW480" i="15"/>
  <c r="AW489" i="15"/>
  <c r="AW498" i="15"/>
  <c r="AW507" i="15"/>
  <c r="AW516" i="15"/>
  <c r="AW525" i="15"/>
  <c r="AW534" i="15"/>
  <c r="AW543" i="15"/>
  <c r="AW552" i="15"/>
  <c r="AW564" i="15"/>
  <c r="AW618" i="15"/>
  <c r="AW428" i="15"/>
  <c r="AW449" i="15"/>
  <c r="AW458" i="15"/>
  <c r="AW467" i="15"/>
  <c r="AW476" i="15"/>
  <c r="AW485" i="15"/>
  <c r="AW494" i="15"/>
  <c r="AW503" i="15"/>
  <c r="AW512" i="15"/>
  <c r="AW521" i="15"/>
  <c r="AW527" i="15"/>
  <c r="AW533" i="15"/>
  <c r="AW578" i="15"/>
  <c r="AW581" i="15"/>
  <c r="AW584" i="15"/>
  <c r="AW734" i="15"/>
  <c r="AW434" i="15"/>
  <c r="AW452" i="15"/>
  <c r="AW461" i="15"/>
  <c r="AW470" i="15"/>
  <c r="AW479" i="15"/>
  <c r="AW488" i="15"/>
  <c r="AW497" i="15"/>
  <c r="AW506" i="15"/>
  <c r="AW515" i="15"/>
  <c r="AW524" i="15"/>
  <c r="AW446" i="15"/>
  <c r="AW455" i="15"/>
  <c r="AW464" i="15"/>
  <c r="AW473" i="15"/>
  <c r="AW482" i="15"/>
  <c r="AW491" i="15"/>
  <c r="AW500" i="15"/>
  <c r="AW509" i="15"/>
  <c r="AW518" i="15"/>
  <c r="AW530" i="15"/>
  <c r="AW438" i="15"/>
  <c r="AW447" i="15"/>
  <c r="AW456" i="15"/>
  <c r="AW465" i="15"/>
  <c r="AW474" i="15"/>
  <c r="AW483" i="15"/>
  <c r="AW495" i="15"/>
  <c r="AW501" i="15"/>
  <c r="AW513" i="15"/>
  <c r="AW522" i="15"/>
  <c r="AW531" i="15"/>
  <c r="AW540" i="15"/>
  <c r="AW549" i="15"/>
  <c r="AW558" i="15"/>
  <c r="AW561" i="15"/>
  <c r="AW570" i="15"/>
  <c r="AW573" i="15"/>
  <c r="AW576" i="15"/>
  <c r="AW579" i="15"/>
  <c r="AW582" i="15"/>
  <c r="AW585" i="15"/>
  <c r="AW588" i="15"/>
  <c r="AW591" i="15"/>
  <c r="AW594" i="15"/>
  <c r="AW597" i="15"/>
  <c r="AW600" i="15"/>
  <c r="AW603" i="15"/>
  <c r="AW606" i="15"/>
  <c r="AW609" i="15"/>
  <c r="AW612" i="15"/>
  <c r="AW615" i="15"/>
  <c r="AW624" i="15"/>
  <c r="AW627" i="15"/>
  <c r="AW630" i="15"/>
  <c r="AW633" i="15"/>
  <c r="AW636" i="15"/>
  <c r="AW639" i="15"/>
  <c r="AW642" i="15"/>
  <c r="AW645" i="15"/>
  <c r="AW648" i="15"/>
  <c r="AW651" i="15"/>
  <c r="AW654" i="15"/>
  <c r="AW657" i="15"/>
  <c r="AW660" i="15"/>
  <c r="AW663" i="15"/>
  <c r="AW666" i="15"/>
  <c r="AW669" i="15"/>
  <c r="AW672" i="15"/>
  <c r="AW675" i="15"/>
  <c r="AW678" i="15"/>
  <c r="AW681" i="15"/>
  <c r="AW684" i="15"/>
  <c r="AW687" i="15"/>
  <c r="AW690" i="15"/>
  <c r="AW693" i="15"/>
  <c r="AW696" i="15"/>
  <c r="AW699" i="15"/>
  <c r="AW702" i="15"/>
  <c r="AW705" i="15"/>
  <c r="AW708" i="15"/>
  <c r="AW711" i="15"/>
  <c r="AW714" i="15"/>
  <c r="AW717" i="15"/>
  <c r="AW720" i="15"/>
  <c r="AW723" i="15"/>
  <c r="AW726" i="15"/>
  <c r="AW729" i="15"/>
  <c r="AW732" i="15"/>
  <c r="AW735" i="15"/>
  <c r="AW765" i="15"/>
  <c r="AW768" i="15"/>
  <c r="AW771" i="15"/>
  <c r="AW774" i="15"/>
  <c r="AW777" i="15"/>
  <c r="AW780" i="15"/>
  <c r="AW783" i="15"/>
  <c r="AW786" i="15"/>
  <c r="AW789" i="15"/>
  <c r="AW792"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L466" i="15"/>
  <c r="AN465" i="15"/>
  <c r="AL465" i="15"/>
  <c r="AN464" i="15"/>
  <c r="AM464" i="15" s="1"/>
  <c r="AL464" i="15"/>
  <c r="AN463" i="15"/>
  <c r="AL463" i="15"/>
  <c r="AN462" i="15"/>
  <c r="AL462" i="15"/>
  <c r="AN461" i="15"/>
  <c r="AL461" i="15"/>
  <c r="AN460" i="15"/>
  <c r="AL460" i="15"/>
  <c r="AN459" i="15"/>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L447" i="15"/>
  <c r="AN446" i="15"/>
  <c r="AM446" i="15" s="1"/>
  <c r="AL446" i="15"/>
  <c r="AN445" i="15"/>
  <c r="AL445" i="15"/>
  <c r="AN444" i="15"/>
  <c r="AL444" i="15"/>
  <c r="AN443" i="15"/>
  <c r="AL443" i="15"/>
  <c r="AN442" i="15"/>
  <c r="AL442" i="15"/>
  <c r="AN441" i="15"/>
  <c r="AL441" i="15"/>
  <c r="AN440" i="15"/>
  <c r="AM440" i="15" s="1"/>
  <c r="AL440" i="15"/>
  <c r="AN439" i="15"/>
  <c r="AL439" i="15"/>
  <c r="AN438" i="15"/>
  <c r="AL438" i="15"/>
  <c r="AN437" i="15"/>
  <c r="AL437" i="15"/>
  <c r="AN436" i="15"/>
  <c r="AL436" i="15"/>
  <c r="AN435" i="15"/>
  <c r="AL435" i="15"/>
  <c r="AN434" i="15"/>
  <c r="AM434" i="15" s="1"/>
  <c r="AL434" i="15"/>
  <c r="AN433" i="15"/>
  <c r="AL433" i="15"/>
  <c r="AN432" i="15"/>
  <c r="AL432" i="15"/>
  <c r="AN431" i="15"/>
  <c r="AL431" i="15"/>
  <c r="AN430" i="15"/>
  <c r="AL430" i="15"/>
  <c r="AN429" i="15"/>
  <c r="AM429" i="15" s="1"/>
  <c r="AL429" i="15"/>
  <c r="AN428" i="15"/>
  <c r="AM428" i="15" s="1"/>
  <c r="AL428" i="15"/>
  <c r="AN427" i="15"/>
  <c r="AL427" i="15"/>
  <c r="AN426" i="15"/>
  <c r="AL426" i="15"/>
  <c r="AN425" i="15"/>
  <c r="AM425" i="15" s="1"/>
  <c r="AL425" i="15"/>
  <c r="AN424" i="15"/>
  <c r="AL424" i="15"/>
  <c r="AN423" i="15"/>
  <c r="AM423" i="15" s="1"/>
  <c r="AL423" i="15"/>
  <c r="AN422" i="15"/>
  <c r="AM422" i="15" s="1"/>
  <c r="AL422" i="15"/>
  <c r="AN421" i="15"/>
  <c r="AL421" i="15"/>
  <c r="AN420" i="15"/>
  <c r="AL420" i="15"/>
  <c r="AN419" i="15"/>
  <c r="AM419" i="15" s="1"/>
  <c r="AL419" i="15"/>
  <c r="AN418" i="15"/>
  <c r="AL418" i="15"/>
  <c r="AN417" i="15"/>
  <c r="AM417" i="15" s="1"/>
  <c r="AL417" i="15"/>
  <c r="AN416" i="15"/>
  <c r="AM416" i="15" s="1"/>
  <c r="AL416" i="15"/>
  <c r="AN415" i="15"/>
  <c r="AL415" i="15"/>
  <c r="AN414" i="15"/>
  <c r="AL414" i="15"/>
  <c r="AN413" i="15"/>
  <c r="AM413" i="15" s="1"/>
  <c r="AL413" i="15"/>
  <c r="AN412" i="15"/>
  <c r="AL412" i="15"/>
  <c r="AN411" i="15"/>
  <c r="AM411" i="15" s="1"/>
  <c r="AL411" i="15"/>
  <c r="AN410" i="15"/>
  <c r="AM410" i="15" s="1"/>
  <c r="AL410" i="15"/>
  <c r="AN409" i="15"/>
  <c r="AL409" i="15"/>
  <c r="AN408" i="15"/>
  <c r="AL408" i="15"/>
  <c r="AN407" i="15"/>
  <c r="AM407" i="15" s="1"/>
  <c r="AL407" i="15"/>
  <c r="AN406" i="15"/>
  <c r="AL406" i="15"/>
  <c r="AN405" i="15"/>
  <c r="AM405" i="15" s="1"/>
  <c r="AL405" i="15"/>
  <c r="AN404" i="15"/>
  <c r="AM404" i="15" s="1"/>
  <c r="AL404" i="15"/>
  <c r="AN403" i="15"/>
  <c r="AL403" i="15"/>
  <c r="AN402" i="15"/>
  <c r="AL402" i="15"/>
  <c r="AN401" i="15"/>
  <c r="AM401" i="15" s="1"/>
  <c r="AL401" i="15"/>
  <c r="AN400" i="15"/>
  <c r="AL400" i="15"/>
  <c r="AN399" i="15"/>
  <c r="AM399" i="15" s="1"/>
  <c r="AL399" i="15"/>
  <c r="AN398" i="15"/>
  <c r="AM398" i="15" s="1"/>
  <c r="AL398" i="15"/>
  <c r="AN397" i="15"/>
  <c r="AL397" i="15"/>
  <c r="AN396" i="15"/>
  <c r="AL396" i="15"/>
  <c r="AN395" i="15"/>
  <c r="AM395" i="15" s="1"/>
  <c r="AL395" i="15"/>
  <c r="AN394" i="15"/>
  <c r="AL394" i="15"/>
  <c r="AN393" i="15"/>
  <c r="AM393" i="15" s="1"/>
  <c r="AL393" i="15"/>
  <c r="AN392" i="15"/>
  <c r="AM392" i="15" s="1"/>
  <c r="AL392" i="15"/>
  <c r="AN391" i="15"/>
  <c r="AL391" i="15"/>
  <c r="AN390" i="15"/>
  <c r="AL390" i="15"/>
  <c r="AN389" i="15"/>
  <c r="AM389" i="15" s="1"/>
  <c r="AL389" i="15"/>
  <c r="AN388" i="15"/>
  <c r="AL388" i="15"/>
  <c r="AN387" i="15"/>
  <c r="AM387" i="15" s="1"/>
  <c r="AL387" i="15"/>
  <c r="AN386" i="15"/>
  <c r="AL386" i="15"/>
  <c r="AN385" i="15"/>
  <c r="AL385" i="15"/>
  <c r="AN384" i="15"/>
  <c r="AL384" i="15"/>
  <c r="AN383" i="15"/>
  <c r="AM383" i="15" s="1"/>
  <c r="AL383" i="15"/>
  <c r="AN382" i="15"/>
  <c r="AL382" i="15"/>
  <c r="AN381" i="15"/>
  <c r="AM381" i="15" s="1"/>
  <c r="AL381" i="15"/>
  <c r="AN380" i="15"/>
  <c r="AL380" i="15"/>
  <c r="AN379" i="15"/>
  <c r="AL379" i="15"/>
  <c r="AN378" i="15"/>
  <c r="AL378" i="15"/>
  <c r="AN377" i="15"/>
  <c r="AM377" i="15" s="1"/>
  <c r="AL377" i="15"/>
  <c r="AN376" i="15"/>
  <c r="AL376" i="15"/>
  <c r="AN375" i="15"/>
  <c r="AM375" i="15" s="1"/>
  <c r="AL375" i="15"/>
  <c r="AN374" i="15"/>
  <c r="AL374" i="15"/>
  <c r="AN373" i="15"/>
  <c r="AL373" i="15"/>
  <c r="AN372" i="15"/>
  <c r="AL372" i="15"/>
  <c r="AN371" i="15"/>
  <c r="AM371" i="15" s="1"/>
  <c r="AL371" i="15"/>
  <c r="AN370" i="15"/>
  <c r="AL370" i="15"/>
  <c r="AN369" i="15"/>
  <c r="AM369" i="15" s="1"/>
  <c r="AL369" i="15"/>
  <c r="AN368" i="15"/>
  <c r="AL368" i="15"/>
  <c r="AN367" i="15"/>
  <c r="AL367" i="15"/>
  <c r="AN366" i="15"/>
  <c r="AL366" i="15"/>
  <c r="AN365" i="15"/>
  <c r="AM365" i="15" s="1"/>
  <c r="AL365" i="15"/>
  <c r="AN364" i="15"/>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M225" i="15" s="1"/>
  <c r="AL225" i="15"/>
  <c r="AN224" i="15"/>
  <c r="AL224" i="15"/>
  <c r="AN223" i="15"/>
  <c r="AL223" i="15"/>
  <c r="AN222" i="15"/>
  <c r="AL222" i="15"/>
  <c r="AN221" i="15"/>
  <c r="AM221" i="15" s="1"/>
  <c r="AL221" i="15"/>
  <c r="AN220" i="15"/>
  <c r="AL220" i="15"/>
  <c r="AN219" i="15"/>
  <c r="AM219" i="15" s="1"/>
  <c r="AL219" i="15"/>
  <c r="AN218" i="15"/>
  <c r="AL218" i="15"/>
  <c r="AN217" i="15"/>
  <c r="AL217" i="15"/>
  <c r="AN216" i="15"/>
  <c r="AL216" i="15"/>
  <c r="AN215" i="15"/>
  <c r="AM215" i="15" s="1"/>
  <c r="AL215" i="15"/>
  <c r="AN214" i="15"/>
  <c r="AL214" i="15"/>
  <c r="AN213" i="15"/>
  <c r="AM213" i="15" s="1"/>
  <c r="AL213" i="15"/>
  <c r="AN212" i="15"/>
  <c r="AL212" i="15"/>
  <c r="AN211" i="15"/>
  <c r="AL211" i="15"/>
  <c r="AN210" i="15"/>
  <c r="AL210" i="15"/>
  <c r="AN209" i="15"/>
  <c r="AM209" i="15" s="1"/>
  <c r="AL209" i="15"/>
  <c r="AN208" i="15"/>
  <c r="AL208" i="15"/>
  <c r="AN207" i="15"/>
  <c r="AM207" i="15" s="1"/>
  <c r="AL207" i="15"/>
  <c r="AN206" i="15"/>
  <c r="AL206" i="15"/>
  <c r="AN205" i="15"/>
  <c r="AL205" i="15"/>
  <c r="AN204" i="15"/>
  <c r="AL204" i="15"/>
  <c r="AN203" i="15"/>
  <c r="AM203" i="15" s="1"/>
  <c r="AL203" i="15"/>
  <c r="AN202" i="15"/>
  <c r="AL202" i="15"/>
  <c r="AN201" i="15"/>
  <c r="AM201" i="15" s="1"/>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L139" i="15"/>
  <c r="AN138" i="15"/>
  <c r="AL138" i="15"/>
  <c r="AN137" i="15"/>
  <c r="AM137" i="15" s="1"/>
  <c r="AL137" i="15"/>
  <c r="AN136" i="15"/>
  <c r="AL136" i="15"/>
  <c r="AN135" i="15"/>
  <c r="AM135" i="15" s="1"/>
  <c r="AL135" i="15"/>
  <c r="AN134" i="15"/>
  <c r="AL134" i="15"/>
  <c r="AN133" i="15"/>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L121" i="15"/>
  <c r="AN120" i="15"/>
  <c r="AL120" i="15"/>
  <c r="AN119" i="15"/>
  <c r="AM119" i="15" s="1"/>
  <c r="AL119" i="15"/>
  <c r="AN118" i="15"/>
  <c r="AL118" i="15"/>
  <c r="AN117" i="15"/>
  <c r="AM117" i="15" s="1"/>
  <c r="AL117" i="15"/>
  <c r="AN116" i="15"/>
  <c r="AL116" i="15"/>
  <c r="AN115" i="15"/>
  <c r="AL115" i="15"/>
  <c r="AN114" i="15"/>
  <c r="AL114" i="15"/>
  <c r="AN113" i="15"/>
  <c r="AM113" i="15" s="1"/>
  <c r="AL113" i="15"/>
  <c r="AN112" i="15"/>
  <c r="AL112" i="15"/>
  <c r="AN111" i="15"/>
  <c r="AM111" i="15" s="1"/>
  <c r="AL111" i="15"/>
  <c r="AN110" i="15"/>
  <c r="AL110" i="15"/>
  <c r="AN109" i="15"/>
  <c r="AL109" i="15"/>
  <c r="AN108" i="15"/>
  <c r="AL108" i="15"/>
  <c r="AN107" i="15"/>
  <c r="AM107" i="15" s="1"/>
  <c r="AL107" i="15"/>
  <c r="AN106" i="15"/>
  <c r="AL106" i="15"/>
  <c r="AN105" i="15"/>
  <c r="AM105" i="15" s="1"/>
  <c r="AL105" i="15"/>
  <c r="AN104" i="15"/>
  <c r="AL104" i="15"/>
  <c r="AN103" i="15"/>
  <c r="AL103" i="15"/>
  <c r="AN102" i="15"/>
  <c r="AL102" i="15"/>
  <c r="AN101" i="15"/>
  <c r="AM101" i="15" s="1"/>
  <c r="AL101" i="15"/>
  <c r="AN100" i="15"/>
  <c r="AL100" i="15"/>
  <c r="AN99" i="15"/>
  <c r="AM99" i="15" s="1"/>
  <c r="AL99" i="15"/>
  <c r="AN98" i="15"/>
  <c r="AL98" i="15"/>
  <c r="AN97" i="15"/>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97" i="15" l="1"/>
  <c r="AM103" i="15"/>
  <c r="AM109" i="15"/>
  <c r="AM115" i="15"/>
  <c r="AM121" i="15"/>
  <c r="AM753" i="15"/>
  <c r="AM756" i="15"/>
  <c r="AM759" i="15"/>
  <c r="AM762" i="15"/>
  <c r="AM768" i="15"/>
  <c r="AM771" i="15"/>
  <c r="AM774" i="15"/>
  <c r="AM777" i="15"/>
  <c r="AM780" i="15"/>
  <c r="AM783" i="15"/>
  <c r="AM786" i="15"/>
  <c r="AM789" i="15"/>
  <c r="AM386" i="15"/>
  <c r="AM380" i="15"/>
  <c r="AM435" i="15"/>
  <c r="AM441" i="15"/>
  <c r="AM406" i="15"/>
  <c r="AM412" i="15"/>
  <c r="AM418" i="15"/>
  <c r="AM424" i="15"/>
  <c r="AM430" i="15"/>
  <c r="AM460" i="15"/>
  <c r="AM466" i="15"/>
  <c r="AM133" i="15"/>
  <c r="AM139" i="15"/>
  <c r="AM355" i="15"/>
  <c r="AM447" i="15"/>
  <c r="AM459" i="15"/>
  <c r="AM465" i="15"/>
  <c r="AM370" i="15"/>
  <c r="AM382" i="15"/>
  <c r="AM394" i="15"/>
  <c r="AM436" i="15"/>
  <c r="AM442" i="15"/>
  <c r="AM448" i="15"/>
  <c r="AM454"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64" i="15"/>
  <c r="AM376" i="15"/>
  <c r="AM388" i="15"/>
  <c r="AM400"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<sst xmlns="http://schemas.openxmlformats.org/spreadsheetml/2006/main" count="13877" uniqueCount="2722">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</sst>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5" sqref="D2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19</v>
      </c>
      <c r="C3" s="4">
        <f>+VLOOKUP(B3,$K$3:$L$14,2,0)</f>
        <v>11</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c r="A10" s="3" t="s">
        <v>2714</v>
      </c>
      <c r="I10" s="3"/>
      <c r="K10" s="5" t="s">
        <v>15</v>
      </c>
      <c r="L10" s="4">
        <v>8</v>
      </c>
      <c r="M10" s="4" t="str">
        <f t="shared" si="0"/>
        <v/>
      </c>
      <c r="N10" s="4" t="str">
        <f t="shared" si="1"/>
        <v>X</v>
      </c>
    </row>
    <row r="11" spans="1:14">
      <c r="A11" s="3" t="s">
        <v>16</v>
      </c>
      <c r="I11" s="3"/>
      <c r="K11" s="5" t="s">
        <v>17</v>
      </c>
      <c r="L11" s="4">
        <v>9</v>
      </c>
      <c r="M11" s="4" t="str">
        <f t="shared" si="0"/>
        <v/>
      </c>
      <c r="N11" s="4" t="str">
        <f t="shared" si="1"/>
        <v>X</v>
      </c>
    </row>
    <row r="12" spans="1:14">
      <c r="A12" s="3"/>
      <c r="I12" s="3"/>
      <c r="K12" s="5" t="s">
        <v>18</v>
      </c>
      <c r="L12" s="4">
        <v>10</v>
      </c>
      <c r="M12" s="4" t="str">
        <f t="shared" si="0"/>
        <v/>
      </c>
      <c r="N12" s="4" t="str">
        <f t="shared" si="1"/>
        <v>X</v>
      </c>
    </row>
    <row r="13" spans="1:14">
      <c r="A13" s="3"/>
      <c r="I13" s="3"/>
      <c r="K13" s="5" t="s">
        <v>19</v>
      </c>
      <c r="L13" s="4">
        <v>11</v>
      </c>
      <c r="M13" s="4" t="str">
        <f t="shared" si="0"/>
        <v>X</v>
      </c>
      <c r="N13" s="4" t="str">
        <f t="shared" si="1"/>
        <v>X</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D54" sqref="D5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Novembre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7131954.8700000001</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7131954.8700000001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71310.070000000007</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-18087.66</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56888.429999999993</v>
      </c>
      <c r="C10" s="15"/>
      <c r="D10" s="20" t="s">
        <v>29</v>
      </c>
      <c r="E10" s="21">
        <f>-SUMIFS(BV_Data_An_Cour!$AN:$AN,BV_Data_An_Cour!$AP:$AP,$A$1,BV_Data_An_Cour!$AQ:$AQ,$D10)</f>
        <v>360399.02999999997</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446390.62</v>
      </c>
      <c r="C11" s="15"/>
      <c r="D11" s="20" t="s">
        <v>31</v>
      </c>
      <c r="E11" s="21">
        <f>-SUMIFS(BV_Data_An_Cour!$AN:$AN,BV_Data_An_Cour!$AP:$AP,$A$1,BV_Data_An_Cour!$AQ:$AQ,$D11)</f>
        <v>-42610.69</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-72635.429999999993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251117.15</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-6407938.9900000002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-14904.38</v>
      </c>
      <c r="F15" s="3"/>
      <c r="G15" s="3"/>
      <c r="H15" s="3"/>
      <c r="I15" s="3"/>
      <c r="J15" s="3"/>
      <c r="K15" s="3"/>
      <c r="L15" s="3"/>
      <c r="M15" s="3"/>
      <c r="N15" s="3"/>
      <c r="O15" s="3"/>
      <c r="P15" s="3"/>
      <c r="Q15" s="3"/>
      <c r="R15" s="3"/>
      <c r="S15" s="3"/>
      <c r="T15" s="3"/>
      <c r="U15" s="3"/>
      <c r="V15" s="3"/>
      <c r="W15" s="3"/>
      <c r="X15" s="3"/>
      <c r="Y15" s="3"/>
    </row>
    <row r="16" spans="1:25">
      <c r="A16" s="17" t="s">
        <v>40</v>
      </c>
      <c r="B16" s="18">
        <f>+SUM(B8:B15)</f>
        <v>-5824580.1500000004</v>
      </c>
      <c r="C16" s="19"/>
      <c r="D16" s="17" t="s">
        <v>41</v>
      </c>
      <c r="E16" s="18">
        <f>+SUM(E10:E15)</f>
        <v>481365.67999999993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9305006.5800000001</v>
      </c>
      <c r="C18" s="15"/>
      <c r="D18" s="20" t="s">
        <v>43</v>
      </c>
      <c r="E18" s="21">
        <f>-SUMIFS(BV_Data_An_Cour!$AN:$AN,BV_Data_An_Cour!$AP:$AP,$A$1,BV_Data_An_Cour!$AQ:$AQ,$D18)</f>
        <v>10404915.719999999</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505216.99</v>
      </c>
      <c r="C19" s="15"/>
      <c r="D19" s="20" t="s">
        <v>45</v>
      </c>
      <c r="E19" s="21">
        <f>-SUMIFS(BV_Data_An_Cour!$AN:$AN,BV_Data_An_Cour!$AP:$AP,$A$1,BV_Data_An_Cour!$AQ:$AQ,$D19)</f>
        <v>412592</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295155.68999999994</v>
      </c>
      <c r="C20" s="15"/>
      <c r="D20" s="17" t="s">
        <v>47</v>
      </c>
      <c r="E20" s="18">
        <f>+SUM(E18:E19)</f>
        <v>10817507.719999999</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10105379.26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322650.71999999997</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92255.24</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6723.95</v>
      </c>
      <c r="C24" s="15"/>
      <c r="D24" s="20" t="s">
        <v>53</v>
      </c>
      <c r="E24" s="21">
        <f>-SUMIFS(BV_Data_An_Cour!$AN:$AN,BV_Data_An_Cour!$AP:$AP,$A$1,BV_Data_An_Cour!$AQ:$AQ,$D24)</f>
        <v>152887.65000000002</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-82.27</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130017.08999999997</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567793.61</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136658.76999999996</v>
      </c>
      <c r="C30" s="19"/>
      <c r="D30" s="23" t="s">
        <v>59</v>
      </c>
      <c r="E30" s="24">
        <f>+E5+E7+E16+E20+E28</f>
        <v>11866667.009999998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11549412.75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10940.790000000008</v>
      </c>
      <c r="C37" s="15"/>
      <c r="D37" s="20" t="s">
        <v>67</v>
      </c>
      <c r="E37" s="21">
        <f>-SUMIFS(BV_Data_An_Cour!$AN:$AN,BV_Data_An_Cour!$AP:$AP,$A$1,BV_Data_An_Cour!$AQ:$AQ,$D37)</f>
        <v>3570253.16</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120578.81999999995</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53826.31</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8830.7200000000012</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3570253.16</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9020.2600000000093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203196.89999999997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15436920.169999998</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3034168.4800000051</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6921795.9000000004</v>
      </c>
      <c r="C53" s="19"/>
      <c r="D53" s="23" t="s">
        <v>85</v>
      </c>
      <c r="E53" s="24">
        <f>SUM(E48:E51)</f>
        <v>3034288.4800000051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18471208.649999999</v>
      </c>
      <c r="C56" s="19"/>
      <c r="D56" s="23" t="s">
        <v>87</v>
      </c>
      <c r="E56" s="24">
        <f>+E53+E45</f>
        <v>18471208.650000002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Novembre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65</v>
      </c>
      <c r="D4" s="160">
        <f>+Print_Mois!$D$13+Print_Mois!$D$15</f>
        <v>0</v>
      </c>
      <c r="E4" s="160">
        <f>+Print_Mois!$O$13+Print_Mois!$O$15</f>
        <v>0</v>
      </c>
      <c r="F4" s="161">
        <f t="shared" ref="F4:F15" si="0">+IFERROR($C4-D4,"")</f>
        <v>65</v>
      </c>
      <c r="G4" s="162">
        <f t="shared" ref="G4:G15" si="1">+IFERROR($C4-E4,"")</f>
        <v>65</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124256.24999999872</v>
      </c>
      <c r="D5" s="166">
        <f>+Print_Mois!$F$13+Print_Mois!$F$15</f>
        <v>0</v>
      </c>
      <c r="E5" s="166">
        <f>+Print_Mois!$Q$13+Print_Mois!$Q$15</f>
        <v>0</v>
      </c>
      <c r="F5" s="167">
        <f t="shared" si="0"/>
        <v>124256.24999999872</v>
      </c>
      <c r="G5" s="168">
        <f t="shared" si="1"/>
        <v>124256.24999999872</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1911.6346153845957</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48019.530000000028</v>
      </c>
      <c r="D7" s="166">
        <f>+Print_Mois!$F$31</f>
        <v>0</v>
      </c>
      <c r="E7" s="166">
        <f>+Print_Mois!$Q$31</f>
        <v>0</v>
      </c>
      <c r="F7" s="167">
        <f t="shared" si="0"/>
        <v>48019.530000000028</v>
      </c>
      <c r="G7" s="168">
        <f t="shared" si="1"/>
        <v>48019.530000000028</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0.38645565112419311</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63649.150000000023</v>
      </c>
      <c r="D9" s="166">
        <f>+Print_Mois!$F$24</f>
        <v>0</v>
      </c>
      <c r="E9" s="166">
        <f>+Print_Mois!$Q$24</f>
        <v>0</v>
      </c>
      <c r="F9" s="167">
        <f t="shared" si="0"/>
        <v>63649.150000000023</v>
      </c>
      <c r="G9" s="168">
        <f t="shared" si="1"/>
        <v>63649.150000000023</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979.21769230769269</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26848.539999999979</v>
      </c>
      <c r="D11" s="166">
        <f>+Print_Mois!$F$32</f>
        <v>0</v>
      </c>
      <c r="E11" s="166">
        <f>+Print_Mois!$Q$32</f>
        <v>0</v>
      </c>
      <c r="F11" s="167">
        <f t="shared" si="0"/>
        <v>26848.539999999979</v>
      </c>
      <c r="G11" s="168">
        <f t="shared" si="1"/>
        <v>26848.539999999979</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0.42182087270607649</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54370.619999999981</v>
      </c>
      <c r="D13" s="166">
        <f>+Print_Mois!$F$41-D7-D11</f>
        <v>0</v>
      </c>
      <c r="E13" s="166">
        <f>+Print_Mois!$Q$41-E7-E11</f>
        <v>0</v>
      </c>
      <c r="F13" s="167">
        <f t="shared" si="0"/>
        <v>54370.619999999981</v>
      </c>
      <c r="G13" s="168">
        <f t="shared" si="1"/>
        <v>54370.619999999981</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836.47107692307668</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77998</v>
      </c>
      <c r="D15" s="166">
        <f>+Print_Mois!$F$83</f>
        <v>0</v>
      </c>
      <c r="E15" s="166">
        <f>+Print_Mois!$Q$83</f>
        <v>0</v>
      </c>
      <c r="F15" s="167">
        <f t="shared" si="0"/>
        <v>77998</v>
      </c>
      <c r="G15" s="168">
        <f t="shared" si="1"/>
        <v>77998</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11</v>
      </c>
      <c r="D21" s="160">
        <f>+Print_Mois!$D$97</f>
        <v>0</v>
      </c>
      <c r="E21" s="160">
        <f>+Print_Mois!$O$97</f>
        <v>0</v>
      </c>
      <c r="F21" s="161">
        <f t="shared" ref="F21:F32" si="11">+IFERROR($C21-D21,"")</f>
        <v>11</v>
      </c>
      <c r="G21" s="162">
        <f t="shared" ref="G21:G32" si="12">+IFERROR($C21-E21,"")</f>
        <v>11</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10964.020000000019</v>
      </c>
      <c r="D22" s="166">
        <f>+Print_Mois!$F$97</f>
        <v>0</v>
      </c>
      <c r="E22" s="166">
        <f>+Print_Mois!$Q$97</f>
        <v>0</v>
      </c>
      <c r="F22" s="167">
        <f t="shared" si="11"/>
        <v>10964.020000000019</v>
      </c>
      <c r="G22" s="168">
        <f t="shared" si="12"/>
        <v>10964.020000000019</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996.72909090909263</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16497.839999999997</v>
      </c>
      <c r="D24" s="166">
        <f>+Print_Mois!$F$113</f>
        <v>0</v>
      </c>
      <c r="E24" s="166">
        <f>+Print_Mois!$Q$113</f>
        <v>0</v>
      </c>
      <c r="F24" s="167">
        <f t="shared" si="11"/>
        <v>16497.839999999997</v>
      </c>
      <c r="G24" s="168">
        <f t="shared" si="12"/>
        <v>16497.839999999997</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1.5047254565387485</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38666.67</v>
      </c>
      <c r="D26" s="166">
        <f>+Print_Mois!$F$106</f>
        <v>0</v>
      </c>
      <c r="E26" s="166">
        <f>+Print_Mois!$Q$106</f>
        <v>0</v>
      </c>
      <c r="F26" s="167">
        <f t="shared" si="11"/>
        <v>38666.67</v>
      </c>
      <c r="G26" s="168">
        <f t="shared" si="12"/>
        <v>38666.67</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3515.1518181818178</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7807.880000000001</v>
      </c>
      <c r="D28" s="166">
        <f>+Print_Mois!$F$114</f>
        <v>0</v>
      </c>
      <c r="E28" s="166">
        <f>+Print_Mois!$Q$114</f>
        <v>0</v>
      </c>
      <c r="F28" s="167">
        <f t="shared" si="11"/>
        <v>7807.880000000001</v>
      </c>
      <c r="G28" s="168">
        <f t="shared" si="12"/>
        <v>7807.880000000001</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0.20192791362690404</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1610.6900000000023</v>
      </c>
      <c r="D30" s="166">
        <f>+Print_Mois!$F$123-D24-D28</f>
        <v>0</v>
      </c>
      <c r="E30" s="166">
        <f>+Print_Mois!$Q$123-E24-E28</f>
        <v>0</v>
      </c>
      <c r="F30" s="167">
        <f t="shared" si="11"/>
        <v>1610.6900000000023</v>
      </c>
      <c r="G30" s="168">
        <f t="shared" si="12"/>
        <v>1610.6900000000023</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146.42636363636385</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245772.36999999988</v>
      </c>
      <c r="D38" s="200">
        <f>+Print_Mois!$E$195</f>
        <v>0</v>
      </c>
      <c r="E38" s="200">
        <f>+Print_Mois!$P$195</f>
        <v>0</v>
      </c>
      <c r="F38" s="201">
        <f t="shared" ref="F38:F47" si="22">+IFERROR($C38-D38,"")</f>
        <v>245772.36999999988</v>
      </c>
      <c r="G38" s="202">
        <f t="shared" ref="G38:G47" si="23">+IFERROR($C38-E38,"")</f>
        <v>245772.36999999988</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155323.97999999989</v>
      </c>
      <c r="D39" s="200">
        <f>+Print_Mois!$F$195</f>
        <v>0</v>
      </c>
      <c r="E39" s="200">
        <f>+Print_Mois!$Q$195</f>
        <v>0</v>
      </c>
      <c r="F39" s="201">
        <f t="shared" si="22"/>
        <v>155323.97999999989</v>
      </c>
      <c r="G39" s="202">
        <f t="shared" si="23"/>
        <v>155323.97999999989</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139.1558271375464</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122.28989130434765</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-5098.5799999999981</v>
      </c>
      <c r="D42" s="166">
        <f>+Print_Mois!$F$185</f>
        <v>0</v>
      </c>
      <c r="E42" s="166">
        <f>+Print_Mois!$Q$185</f>
        <v>0</v>
      </c>
      <c r="F42" s="167">
        <f t="shared" si="22"/>
        <v>-5098.5799999999981</v>
      </c>
      <c r="G42" s="168">
        <f t="shared" si="23"/>
        <v>-5098.5799999999981</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72140.259999999951</v>
      </c>
      <c r="D43" s="166">
        <f>+Print_Mois!$F$211</f>
        <v>0</v>
      </c>
      <c r="E43" s="166">
        <f>+Print_Mois!$Q$211</f>
        <v>0</v>
      </c>
      <c r="F43" s="167">
        <f t="shared" si="22"/>
        <v>72140.259999999951</v>
      </c>
      <c r="G43" s="168">
        <f t="shared" si="23"/>
        <v>72140.259999999951</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52359.339999999953</v>
      </c>
      <c r="D44" s="166">
        <f>+SUM(Print_Mois!$F$199:$F$205)</f>
        <v>0</v>
      </c>
      <c r="E44" s="166">
        <f>+SUM(Print_Mois!$Q$199:$Q$205)</f>
        <v>0</v>
      </c>
      <c r="F44" s="167">
        <f t="shared" si="22"/>
        <v>52359.339999999953</v>
      </c>
      <c r="G44" s="168">
        <f t="shared" si="23"/>
        <v>52359.339999999953</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19780.919999999998</v>
      </c>
      <c r="D45" s="166">
        <f>+SUM(Print_Mois!$F$206:$F$210)</f>
        <v>0</v>
      </c>
      <c r="E45" s="166">
        <f>+SUM(Print_Mois!$Q$206:$Q$210)</f>
        <v>0</v>
      </c>
      <c r="F45" s="167">
        <f t="shared" si="22"/>
        <v>19780.919999999998</v>
      </c>
      <c r="G45" s="168">
        <f t="shared" si="23"/>
        <v>19780.919999999998</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0.29352469522916669</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7237.3300000000017</v>
      </c>
      <c r="D47" s="184">
        <f>+Print_Mois!$F$214</f>
        <v>0</v>
      </c>
      <c r="E47" s="184">
        <f>+Print_Mois!$Q$214</f>
        <v>0</v>
      </c>
      <c r="F47" s="185">
        <f t="shared" si="22"/>
        <v>7237.3300000000017</v>
      </c>
      <c r="G47" s="186">
        <f t="shared" si="23"/>
        <v>7237.3300000000017</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581412.94000000018</v>
      </c>
      <c r="D50" s="200">
        <f>+Print_Mois!$D$315</f>
        <v>0</v>
      </c>
      <c r="E50" s="200">
        <f>+Print_Mois!$O$315</f>
        <v>0</v>
      </c>
      <c r="F50" s="201">
        <f t="shared" ref="F50:F59" si="27">+IFERROR($C50-D50,"")</f>
        <v>581412.94000000018</v>
      </c>
      <c r="G50" s="202">
        <f t="shared" ref="G50:G59" si="28">+IFERROR($C50-E50,"")</f>
        <v>581412.94000000018</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75593.449999999953</v>
      </c>
      <c r="D51" s="166">
        <f>+Print_Mois!$D$296</f>
        <v>0</v>
      </c>
      <c r="E51" s="166">
        <f>+Print_Mois!$O$296</f>
        <v>0</v>
      </c>
      <c r="F51" s="167">
        <f t="shared" si="27"/>
        <v>75593.449999999953</v>
      </c>
      <c r="G51" s="168">
        <f t="shared" si="28"/>
        <v>75593.449999999953</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18809.080000000075</v>
      </c>
      <c r="D52" s="166">
        <f>+Print_Mois!$D$298</f>
        <v>0</v>
      </c>
      <c r="E52" s="166">
        <f>+Print_Mois!$O$298</f>
        <v>0</v>
      </c>
      <c r="F52" s="167">
        <f t="shared" si="27"/>
        <v>18809.080000000075</v>
      </c>
      <c r="G52" s="168">
        <f t="shared" si="28"/>
        <v>18809.080000000075</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289807.91000000015</v>
      </c>
      <c r="D53" s="166">
        <f>+Print_Mois!$D$301</f>
        <v>0</v>
      </c>
      <c r="E53" s="166">
        <f>+Print_Mois!$O$301</f>
        <v>0</v>
      </c>
      <c r="F53" s="167">
        <f t="shared" si="27"/>
        <v>289807.91000000015</v>
      </c>
      <c r="G53" s="168">
        <f t="shared" si="28"/>
        <v>289807.91000000015</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117957.26000000001</v>
      </c>
      <c r="D54" s="166">
        <f>+Print_Mois!$D$308</f>
        <v>0</v>
      </c>
      <c r="E54" s="166">
        <f>+Print_Mois!$O$308</f>
        <v>0</v>
      </c>
      <c r="F54" s="167">
        <f t="shared" si="27"/>
        <v>117957.26000000001</v>
      </c>
      <c r="G54" s="168">
        <f t="shared" si="28"/>
        <v>117957.26000000001</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79245.239999999991</v>
      </c>
      <c r="D55" s="166">
        <f t="shared" si="31"/>
        <v>0</v>
      </c>
      <c r="E55" s="166">
        <f t="shared" si="31"/>
        <v>0</v>
      </c>
      <c r="F55" s="167">
        <f t="shared" si="27"/>
        <v>79245.239999999991</v>
      </c>
      <c r="G55" s="168">
        <f t="shared" si="28"/>
        <v>79245.239999999991</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137480.11000000045</v>
      </c>
      <c r="D56" s="200">
        <f>+Print_Mois!$F$315</f>
        <v>0</v>
      </c>
      <c r="E56" s="200">
        <f>+Print_Mois!$Q$315</f>
        <v>0</v>
      </c>
      <c r="F56" s="201">
        <f t="shared" si="27"/>
        <v>137480.11000000045</v>
      </c>
      <c r="G56" s="202">
        <f t="shared" si="28"/>
        <v>137480.11000000045</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70.254135687732301</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204.44652173913124</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21165.119999999995</v>
      </c>
      <c r="D59" s="184">
        <f>+Print_Mois!$F$321</f>
        <v>0</v>
      </c>
      <c r="E59" s="184">
        <f>+Print_Mois!$Q$321</f>
        <v>0</v>
      </c>
      <c r="F59" s="185">
        <f t="shared" si="27"/>
        <v>21165.119999999995</v>
      </c>
      <c r="G59" s="186">
        <f t="shared" si="28"/>
        <v>21165.119999999995</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0.26808227688849556</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44528.83</v>
      </c>
      <c r="D64" s="166">
        <f>+Print_Mois!$Z$415+Print_Mois!$Z$435</f>
        <v>0</v>
      </c>
      <c r="E64" s="166">
        <f>+Print_Mois!$AL$415+Print_Mois!$AL$435</f>
        <v>0</v>
      </c>
      <c r="F64" s="167">
        <f t="shared" si="32"/>
        <v>44528.83</v>
      </c>
      <c r="G64" s="168">
        <f t="shared" si="32"/>
        <v>44528.83</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57874.26999999999</v>
      </c>
      <c r="D65" s="166">
        <f>+Print_Mois!$Z$453-Print_Mois!$Z$435</f>
        <v>0</v>
      </c>
      <c r="E65" s="166">
        <f>+Print_Mois!$AL$453-Print_Mois!$AL$435</f>
        <v>0</v>
      </c>
      <c r="F65" s="167">
        <f t="shared" si="32"/>
        <v>57874.26999999999</v>
      </c>
      <c r="G65" s="168">
        <f t="shared" si="32"/>
        <v>57874.26999999999</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32505.76999999999</v>
      </c>
      <c r="D66" s="166">
        <f>+Print_Mois!$Z$416</f>
        <v>0</v>
      </c>
      <c r="E66" s="166">
        <f>+Print_Mois!$AL$416</f>
        <v>0</v>
      </c>
      <c r="F66" s="167">
        <f t="shared" si="32"/>
        <v>32505.76999999999</v>
      </c>
      <c r="G66" s="168">
        <f t="shared" si="32"/>
        <v>32505.76999999999</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40063.52999999997</v>
      </c>
      <c r="D67" s="184">
        <f>+Print_Mois!$Z$482-D32-D15</f>
        <v>0</v>
      </c>
      <c r="E67" s="184">
        <f>+Print_Mois!$AL$482-E32-E15</f>
        <v>0</v>
      </c>
      <c r="F67" s="185">
        <f t="shared" si="32"/>
        <v>40063.52999999997</v>
      </c>
      <c r="G67" s="186">
        <f t="shared" si="32"/>
        <v>40063.52999999997</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150111.15</v>
      </c>
      <c r="D70" s="166">
        <f>+Print_Mois!$Z$420-Print_Mois!$Z$416+Print_Mois!$Z$435+Print_Mois!$Z$436+Print_Mois!$Z$437</f>
        <v>0</v>
      </c>
      <c r="E70" s="166">
        <f>+Print_Mois!$AL$420-Print_Mois!$AL$416+Print_Mois!$AL$435+Print_Mois!$AL$436+Print_Mois!$AL$437</f>
        <v>0</v>
      </c>
      <c r="F70" s="225">
        <f t="shared" ref="F70:G77" si="35">+IFERROR($C70-D70,"")</f>
        <v>150111.15</v>
      </c>
      <c r="G70" s="226">
        <f t="shared" si="35"/>
        <v>150111.15</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0.24086871699663748</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405495.12999999989</v>
      </c>
      <c r="D72" s="166">
        <f>+Print_Mois!$Z$467+Print_Mois!$Z$434+Print_Mois!$Z$438+Print_Mois!$Z$440+SUM(Print_Mois!$Z$441:$Z$449)+Print_Mois!$Z$439</f>
        <v>0</v>
      </c>
      <c r="E72" s="166">
        <f>+Print_Mois!$AL$467+Print_Mois!$AL$434+Print_Mois!$AL$438+Print_Mois!$AL$440+SUM(Print_Mois!$AL$441:$AL$449)+Print_Mois!$AL$439</f>
        <v>0</v>
      </c>
      <c r="F72" s="167">
        <f t="shared" si="35"/>
        <v>405495.12999999989</v>
      </c>
      <c r="G72" s="168">
        <f t="shared" si="35"/>
        <v>405495.12999999989</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0.65065847348104855</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185662.57999999975</v>
      </c>
      <c r="D74" s="200">
        <f>+Print_Mois!$Z$484+Print_Mois!$Z$416</f>
        <v>0</v>
      </c>
      <c r="E74" s="200">
        <f>+Print_Mois!$AL$484+Print_Mois!$AL$416</f>
        <v>0</v>
      </c>
      <c r="F74" s="201">
        <f t="shared" si="35"/>
        <v>185662.57999999975</v>
      </c>
      <c r="G74" s="202">
        <f t="shared" si="35"/>
        <v>185662.57999999975</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4.2522569789661575E-2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144413.65999999977</v>
      </c>
      <c r="D76" s="200">
        <f>+Print_Mois!$Z$499</f>
        <v>0</v>
      </c>
      <c r="E76" s="200">
        <f>+Print_Mois!$AL$499</f>
        <v>0</v>
      </c>
      <c r="F76" s="201">
        <f t="shared" si="35"/>
        <v>144413.65999999977</v>
      </c>
      <c r="G76" s="202">
        <f t="shared" si="35"/>
        <v>144413.65999999977</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3.307526985745031E-2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126137.57999999975</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167935.65999999977</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Novembre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Novembre 2025</v>
      </c>
      <c r="C87" s="790">
        <f>+C76</f>
        <v>144413.65999999977</v>
      </c>
      <c r="D87" s="781">
        <f>+Print_AAD!AF499</f>
        <v>2269881.9300000048</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Novembre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Novembre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Novembre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2830835.9</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10</v>
      </c>
      <c r="K6" s="253">
        <f t="shared" ref="K6:K12" si="0">IF(J6=0,0,L6/J6)</f>
        <v>1532.0309999999649</v>
      </c>
      <c r="L6" s="255">
        <f>-SUMIFS(BV_Data_An_Cour!$AM:$AM,BV_Data_An_Cour!$AP:$AP,$B6,BV_Data_An_Cour!$AQ:$AQ,$C6,BV_Data_An_Cour!$AR:$AR,L$2)</f>
        <v>15320.309999999648</v>
      </c>
      <c r="M6" s="254">
        <f t="shared" ref="M6:M12" si="1">J6-D6</f>
        <v>10</v>
      </c>
      <c r="N6" s="255">
        <f t="shared" ref="N6:N12" si="2">L6-F6</f>
        <v>15320.309999999648</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10</v>
      </c>
      <c r="S6" s="255">
        <f t="shared" ref="S6:S12" si="5">L6-Q6</f>
        <v>15320.309999999648</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35</v>
      </c>
      <c r="K7" s="253">
        <f t="shared" si="0"/>
        <v>2058.1557142857246</v>
      </c>
      <c r="L7" s="255">
        <f>-SUMIFS(BV_Data_An_Cour!$AM:$AM,BV_Data_An_Cour!$AP:$AP,$B7,BV_Data_An_Cour!$AQ:$AQ,$C7,BV_Data_An_Cour!$AR:$AR,L$2)</f>
        <v>72035.450000000361</v>
      </c>
      <c r="M7" s="254">
        <f t="shared" si="1"/>
        <v>35</v>
      </c>
      <c r="N7" s="255">
        <f t="shared" si="2"/>
        <v>72035.450000000361</v>
      </c>
      <c r="O7" s="254">
        <f>SUMIFS(BV_Data_An_Prec!$AW:$AW,BV_Data_An_Prec!$AP:$AP,$B7,BV_Data_An_Prec!$AQ:$AQ,$C7,BV_Data_An_Prec!$AY:$AY,O$2)</f>
        <v>0</v>
      </c>
      <c r="P7" s="253">
        <f t="shared" si="3"/>
        <v>0</v>
      </c>
      <c r="Q7" s="255">
        <f>-SUMIFS(BV_Data_An_Prec!$AM:$AM,BV_Data_An_Prec!$AP:$AP,$B7,BV_Data_An_Prec!$AQ:$AQ,$C7,BV_Data_An_Prec!$AR:$AR,Q$2)</f>
        <v>0</v>
      </c>
      <c r="R7" s="254">
        <f t="shared" si="4"/>
        <v>35</v>
      </c>
      <c r="S7" s="255">
        <f t="shared" si="5"/>
        <v>72035.450000000361</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20</v>
      </c>
      <c r="K8" s="253">
        <f t="shared" si="0"/>
        <v>1839.0654999999504</v>
      </c>
      <c r="L8" s="255">
        <f>-SUMIFS(BV_Data_An_Cour!$AM:$AM,BV_Data_An_Cour!$AP:$AP,$B8,BV_Data_An_Cour!$AQ:$AQ,$C8,BV_Data_An_Cour!$AR:$AR,L$2)</f>
        <v>36781.309999999008</v>
      </c>
      <c r="M8" s="254">
        <f t="shared" si="1"/>
        <v>20</v>
      </c>
      <c r="N8" s="255">
        <f t="shared" si="2"/>
        <v>36781.309999999008</v>
      </c>
      <c r="O8" s="254">
        <f>SUMIFS(BV_Data_An_Prec!$AW:$AW,BV_Data_An_Prec!$AP:$AP,$B8,BV_Data_An_Prec!$AQ:$AQ,$C8,BV_Data_An_Prec!$AY:$AY,O$2)</f>
        <v>0</v>
      </c>
      <c r="P8" s="253">
        <f t="shared" si="3"/>
        <v>0</v>
      </c>
      <c r="Q8" s="255">
        <f>-SUMIFS(BV_Data_An_Prec!$AM:$AM,BV_Data_An_Prec!$AP:$AP,$B8,BV_Data_An_Prec!$AQ:$AQ,$C8,BV_Data_An_Prec!$AR:$AR,Q$2)</f>
        <v>0</v>
      </c>
      <c r="R8" s="254">
        <f t="shared" si="4"/>
        <v>20</v>
      </c>
      <c r="S8" s="255">
        <f t="shared" si="5"/>
        <v>36781.309999999008</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4</v>
      </c>
      <c r="K9" s="253">
        <f t="shared" si="0"/>
        <v>29.794999999925494</v>
      </c>
      <c r="L9" s="255">
        <f>-SUMIFS(BV_Data_An_Cour!$AM:$AM,BV_Data_An_Cour!$AP:$AP,$B9,BV_Data_An_Cour!$AQ:$AQ,$C9,BV_Data_An_Cour!$AR:$AR,L$2)</f>
        <v>119.17999999970198</v>
      </c>
      <c r="M9" s="254">
        <f t="shared" si="1"/>
        <v>4</v>
      </c>
      <c r="N9" s="255">
        <f t="shared" si="2"/>
        <v>119.17999999970198</v>
      </c>
      <c r="O9" s="254">
        <f>SUMIFS(BV_Data_An_Prec!$AW:$AW,BV_Data_An_Prec!$AP:$AP,$B9,BV_Data_An_Prec!$AQ:$AQ,$C9,BV_Data_An_Prec!$AY:$AY,O$2)</f>
        <v>0</v>
      </c>
      <c r="P9" s="253">
        <f t="shared" si="3"/>
        <v>0</v>
      </c>
      <c r="Q9" s="255">
        <f>-SUMIFS(BV_Data_An_Prec!$AM:$AM,BV_Data_An_Prec!$AP:$AP,$B9,BV_Data_An_Prec!$AQ:$AQ,$C9,BV_Data_An_Prec!$AR:$AR,Q$2)</f>
        <v>0</v>
      </c>
      <c r="R9" s="254">
        <f t="shared" si="4"/>
        <v>4</v>
      </c>
      <c r="S9" s="255">
        <f t="shared" si="5"/>
        <v>119.17999999970198</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65</v>
      </c>
      <c r="K13" s="259">
        <f>IF(J13&lt;=0,0,L13/J13)</f>
        <v>1911.6346153845957</v>
      </c>
      <c r="L13" s="260">
        <f t="shared" ref="L13" si="7">+SUM(L6:L12)</f>
        <v>124256.24999999872</v>
      </c>
      <c r="M13" s="261">
        <f>+SUM(M6:M12)</f>
        <v>69</v>
      </c>
      <c r="N13" s="260">
        <f t="shared" ref="N13" si="8">+SUM(N6:N12)</f>
        <v>124256.24999999872</v>
      </c>
      <c r="O13" s="261">
        <f>+SUM(O6:O8)</f>
        <v>0</v>
      </c>
      <c r="P13" s="259">
        <f>IF(O13&lt;=0,0,Q13/O13)</f>
        <v>0</v>
      </c>
      <c r="Q13" s="260">
        <f t="shared" ref="Q13" si="9">+SUM(Q6:Q12)</f>
        <v>0</v>
      </c>
      <c r="R13" s="261">
        <f t="shared" ref="R13:S13" si="10">+SUM(R6:R12)</f>
        <v>69</v>
      </c>
      <c r="S13" s="260">
        <f t="shared" si="10"/>
        <v>124256.24999999872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0</v>
      </c>
      <c r="K17" s="253">
        <f>IF(J17=0,0,L17/J17)</f>
        <v>0</v>
      </c>
      <c r="L17" s="255">
        <f>-SUMIFS(BV_Data_An_Cour!$AM:$AM,BV_Data_An_Cour!$AP:$AP,$B17,BV_Data_An_Cour!$AQ:$AQ,$C17,BV_Data_An_Cour!$AR:$AR,L$2)</f>
        <v>0</v>
      </c>
      <c r="M17" s="266">
        <f>J17-D17</f>
        <v>0</v>
      </c>
      <c r="N17" s="255">
        <f>L17-F17</f>
        <v>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0</v>
      </c>
      <c r="S17" s="255">
        <f>L17-Q17</f>
        <v>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v>
      </c>
      <c r="L21" s="255">
        <f>-SUMIFS(BV_Data_An_Cour!$AM:$AM,BV_Data_An_Cour!$AP:$AP,$B21,BV_Data_An_Cour!$AQ:$AQ,$C21,BV_Data_An_Cour!$AR:$AR,L$2)</f>
        <v>0</v>
      </c>
      <c r="M21" s="254"/>
      <c r="N21" s="255">
        <f>L21-F21</f>
        <v>0</v>
      </c>
      <c r="O21" s="254"/>
      <c r="P21" s="253">
        <f>IF(O13=0,0,Q21/(O13+O15))</f>
        <v>0</v>
      </c>
      <c r="Q21" s="255">
        <f>-SUMIFS(BV_Data_An_Prec!$AM:$AM,BV_Data_An_Prec!$AP:$AP,$B21,BV_Data_An_Prec!$AQ:$AQ,$C21,BV_Data_An_Prec!$AR:$AR,Q$2)</f>
        <v>0</v>
      </c>
      <c r="R21" s="254">
        <f t="shared" ref="R21:R23" si="11">O21-K21</f>
        <v>0</v>
      </c>
      <c r="S21" s="255">
        <f t="shared" ref="S21:S24" si="12">L21-Q21</f>
        <v>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979.21769230769269</v>
      </c>
      <c r="L22" s="255">
        <f>-SUMIFS(BV_Data_An_Cour!$AM:$AM,BV_Data_An_Cour!$AP:$AP,$B22,BV_Data_An_Cour!$AQ:$AQ,$C22,BV_Data_An_Cour!$AR:$AR,L$2)</f>
        <v>63649.150000000023</v>
      </c>
      <c r="M22" s="254"/>
      <c r="N22" s="255">
        <f>L22-F22</f>
        <v>63649.150000000023</v>
      </c>
      <c r="O22" s="254"/>
      <c r="P22" s="253">
        <f>IF(O13=0,0,Q22/(O13+O15))</f>
        <v>0</v>
      </c>
      <c r="Q22" s="255">
        <f>-SUMIFS(BV_Data_An_Prec!$AM:$AM,BV_Data_An_Prec!$AP:$AP,$B22,BV_Data_An_Prec!$AQ:$AQ,$C22,BV_Data_An_Prec!$AR:$AR,Q$2)</f>
        <v>0</v>
      </c>
      <c r="R22" s="254">
        <f t="shared" si="11"/>
        <v>-979.21769230769269</v>
      </c>
      <c r="S22" s="255">
        <f t="shared" si="12"/>
        <v>63649.150000000023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65</v>
      </c>
      <c r="K24" s="259">
        <f>IF(J24&lt;=0,0,L24/J24)</f>
        <v>979.21769230769269</v>
      </c>
      <c r="L24" s="260">
        <f>L21+L22+L23</f>
        <v>63649.150000000023</v>
      </c>
      <c r="M24" s="274">
        <f>J24-D24</f>
        <v>65</v>
      </c>
      <c r="N24" s="260">
        <f>L24-F24</f>
        <v>63649.150000000023</v>
      </c>
      <c r="O24" s="261">
        <f>+O15+O13</f>
        <v>0</v>
      </c>
      <c r="P24" s="259">
        <f>IF(O24&lt;=0,0,Q24/O24)</f>
        <v>0</v>
      </c>
      <c r="Q24" s="260">
        <f>Q21+Q22+Q23</f>
        <v>0</v>
      </c>
      <c r="R24" s="272"/>
      <c r="S24" s="260">
        <f t="shared" si="12"/>
        <v>63649.150000000023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65</v>
      </c>
      <c r="K27" s="279">
        <f>IF(J27&lt;=0,0,L27/J27)</f>
        <v>2890.8523076922884</v>
      </c>
      <c r="L27" s="280">
        <f>L13+L17+L24+L19+L15</f>
        <v>187905.39999999874</v>
      </c>
      <c r="M27" s="281">
        <f>J27-D27</f>
        <v>65</v>
      </c>
      <c r="N27" s="280">
        <f>L27-F27</f>
        <v>187905.39999999874</v>
      </c>
      <c r="O27" s="281">
        <f>+O13+O15+O17</f>
        <v>0</v>
      </c>
      <c r="P27" s="279">
        <f>IF(O27&lt;=0,0,Q27/O27)</f>
        <v>0</v>
      </c>
      <c r="Q27" s="280">
        <f>Q13+Q17+Q24+Q19+Q15</f>
        <v>0</v>
      </c>
      <c r="R27" s="281">
        <f>J27-O27</f>
        <v>65</v>
      </c>
      <c r="S27" s="280">
        <f>L27-Q27</f>
        <v>187905.39999999874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0.38645565112419311</v>
      </c>
      <c r="K31" s="290">
        <f t="shared" ref="K31:K40" si="14">IF(L31=0,0,L31/J$24)</f>
        <v>738.7620000000004</v>
      </c>
      <c r="L31" s="253">
        <f>SUMIFS(BV_Data_An_Cour!$AM:$AM,BV_Data_An_Cour!$AP:$AP,$B31,BV_Data_An_Cour!$AQ:$AQ,$C31,BV_Data_An_Cour!$AR:$AR,L$2)</f>
        <v>48019.530000000028</v>
      </c>
      <c r="M31" s="252"/>
      <c r="N31" s="275">
        <f t="shared" ref="N31:N53" si="15">L31-F31</f>
        <v>48019.530000000028</v>
      </c>
      <c r="O31" s="291" t="e">
        <f>Q31/(Q15+Q13+Q17)</f>
        <v>#DIV/0!</v>
      </c>
      <c r="P31" s="290">
        <f t="shared" ref="P31:P40" si="16">IF(Q31=0,0,Q31/O$24)</f>
        <v>0</v>
      </c>
      <c r="Q31" s="253">
        <f>SUMIFS(BV_Data_An_Prec!$AM:$AM,BV_Data_An_Prec!$AP:$AP,$B31,BV_Data_An_Prec!$AQ:$AQ,$C31,BV_Data_An_Prec!$AR:$AR,Q$2)</f>
        <v>0</v>
      </c>
      <c r="R31" s="252"/>
      <c r="S31" s="275">
        <f t="shared" ref="S31:S53" si="17">L31-Q31</f>
        <v>48019.530000000028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0.42182087270607649</v>
      </c>
      <c r="K32" s="293">
        <f t="shared" si="14"/>
        <v>413.05446153846123</v>
      </c>
      <c r="L32" s="247">
        <f>SUMIFS(BV_Data_An_Cour!$AM:$AM,BV_Data_An_Cour!$AP:$AP,$B32,BV_Data_An_Cour!$AQ:$AQ,$C32,BV_Data_An_Cour!$AR:$AR,L$2)</f>
        <v>26848.539999999979</v>
      </c>
      <c r="M32" s="245"/>
      <c r="N32" s="295">
        <f t="shared" si="15"/>
        <v>26848.539999999979</v>
      </c>
      <c r="O32" s="294" t="e">
        <f>Q32/Q24</f>
        <v>#DIV/0!</v>
      </c>
      <c r="P32" s="293">
        <f t="shared" si="16"/>
        <v>0</v>
      </c>
      <c r="Q32" s="247">
        <f>SUMIFS(BV_Data_An_Prec!$AM:$AM,BV_Data_An_Prec!$AP:$AP,$B32,BV_Data_An_Prec!$AQ:$AQ,$C32,BV_Data_An_Prec!$AR:$AR,Q$2)</f>
        <v>0</v>
      </c>
      <c r="R32" s="245"/>
      <c r="S32" s="295">
        <f t="shared" si="17"/>
        <v>26848.539999999979</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-20.246615384615367</v>
      </c>
      <c r="L33" s="253">
        <f>SUMIFS(BV_Data_An_Cour!$AM:$AM,BV_Data_An_Cour!$AP:$AP,$B33,BV_Data_An_Cour!$AQ:$AQ,$C33,BV_Data_An_Cour!$AR:$AR,L$2)</f>
        <v>-1316.0299999999988</v>
      </c>
      <c r="M33" s="252"/>
      <c r="N33" s="275">
        <f t="shared" si="15"/>
        <v>-1316.0299999999988</v>
      </c>
      <c r="O33" s="252"/>
      <c r="P33" s="290">
        <f t="shared" si="16"/>
        <v>0</v>
      </c>
      <c r="Q33" s="253">
        <f>SUMIFS(BV_Data_An_Prec!$AM:$AM,BV_Data_An_Prec!$AP:$AP,$B33,BV_Data_An_Prec!$AQ:$AQ,$C33,BV_Data_An_Prec!$AR:$AR,Q$2)</f>
        <v>0</v>
      </c>
      <c r="R33" s="252"/>
      <c r="S33" s="275">
        <f t="shared" si="17"/>
        <v>-1316.0299999999988</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2.9481538461538479</v>
      </c>
      <c r="L35" s="247">
        <f>SUMIFS(BV_Data_An_Cour!$AM:$AM,BV_Data_An_Cour!$AP:$AP,$B35,BV_Data_An_Cour!$AQ:$AQ,$C35,BV_Data_An_Cour!$AR:$AR,L$2)</f>
        <v>191.63000000000011</v>
      </c>
      <c r="M35" s="245"/>
      <c r="N35" s="295">
        <f t="shared" si="15"/>
        <v>191.63000000000011</v>
      </c>
      <c r="O35" s="245"/>
      <c r="P35" s="293">
        <f t="shared" si="16"/>
        <v>0</v>
      </c>
      <c r="Q35" s="247">
        <f>SUMIFS(BV_Data_An_Prec!$AM:$AM,BV_Data_An_Prec!$AP:$AP,$B35,BV_Data_An_Prec!$AQ:$AQ,$C35,BV_Data_An_Prec!$AR:$AR,Q$2)</f>
        <v>0</v>
      </c>
      <c r="R35" s="245"/>
      <c r="S35" s="295">
        <f t="shared" si="17"/>
        <v>191.63000000000011</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369.8456923076921</v>
      </c>
      <c r="L36" s="271">
        <f>SUMIFS(BV_Data_An_Cour!$AM:$AM,BV_Data_An_Cour!$AP:$AP,$B36,BV_Data_An_Cour!$AQ:$AQ,$C36,BV_Data_An_Cour!$AR:$AR,L$2)</f>
        <v>24039.969999999987</v>
      </c>
      <c r="M36" s="252"/>
      <c r="N36" s="275">
        <f t="shared" si="15"/>
        <v>24039.969999999987</v>
      </c>
      <c r="O36" s="252"/>
      <c r="P36" s="290">
        <f t="shared" si="16"/>
        <v>0</v>
      </c>
      <c r="Q36" s="271">
        <f>SUMIFS(BV_Data_An_Prec!$AM:$AM,BV_Data_An_Prec!$AP:$AP,$B36,BV_Data_An_Prec!$AQ:$AQ,$C36,BV_Data_An_Prec!$AR:$AR,Q$2)</f>
        <v>0</v>
      </c>
      <c r="R36" s="252"/>
      <c r="S36" s="275">
        <f t="shared" si="17"/>
        <v>24039.969999999987</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483.923846153846</v>
      </c>
      <c r="L37" s="255">
        <f>SUMIFS(BV_Data_An_Cour!$AM:$AM,BV_Data_An_Cour!$AP:$AP,$B37,BV_Data_An_Cour!$AQ:$AQ,$C37,BV_Data_An_Cour!$AR:$AR,L$2)</f>
        <v>31455.049999999988</v>
      </c>
      <c r="M37" s="252"/>
      <c r="N37" s="777">
        <f t="shared" si="15"/>
        <v>31455.049999999988</v>
      </c>
      <c r="O37" s="252"/>
      <c r="P37" s="290">
        <f t="shared" si="16"/>
        <v>0</v>
      </c>
      <c r="Q37" s="255">
        <f>SUMIFS(BV_Data_An_Prec!$AM:$AM,BV_Data_An_Prec!$AP:$AP,$B37,BV_Data_An_Prec!$AQ:$AQ,$C37,BV_Data_An_Prec!$AR:$AR,Q$2)</f>
        <v>0</v>
      </c>
      <c r="R37" s="252"/>
      <c r="S37" s="275">
        <f t="shared" si="17"/>
        <v>31455.049999999988</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0.68778592845123587</v>
      </c>
      <c r="L41" s="306">
        <f>SUM(L31:L40)</f>
        <v>129238.68999999999</v>
      </c>
      <c r="M41" s="308"/>
      <c r="N41" s="306">
        <f t="shared" si="15"/>
        <v>129238.68999999999</v>
      </c>
      <c r="O41" s="307" t="s">
        <v>115</v>
      </c>
      <c r="P41" s="305" t="e">
        <f>Q41/Q$27</f>
        <v>#DIV/0!</v>
      </c>
      <c r="Q41" s="306">
        <f>SUM(Q31:Q40)</f>
        <v>0</v>
      </c>
      <c r="R41" s="309"/>
      <c r="S41" s="306">
        <f t="shared" si="17"/>
        <v>129238.68999999999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19966.109999999986</v>
      </c>
      <c r="M42" s="252"/>
      <c r="N42" s="275">
        <f t="shared" si="15"/>
        <v>19966.109999999986</v>
      </c>
      <c r="O42" s="252"/>
      <c r="P42" s="41"/>
      <c r="Q42" s="253">
        <f>SUMIFS(BV_Data_An_Prec!$AM:$AM,BV_Data_An_Prec!$AP:$AP,$B42,BV_Data_An_Prec!$AQ:$AQ,$C42,BV_Data_An_Prec!$AR:$AR,Q$2)</f>
        <v>0</v>
      </c>
      <c r="R42" s="252"/>
      <c r="S42" s="275">
        <f t="shared" si="17"/>
        <v>19966.109999999986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2698</v>
      </c>
      <c r="M44" s="240"/>
      <c r="N44" s="315">
        <f t="shared" si="15"/>
        <v>2698</v>
      </c>
      <c r="O44" s="240"/>
      <c r="P44" s="313"/>
      <c r="Q44" s="253">
        <f>SUMIFS(BV_Data_An_Prec!$AM:$AM,BV_Data_An_Prec!$AP:$AP,$B44,BV_Data_An_Prec!$AQ:$AQ,$C44,BV_Data_An_Prec!$AR:$AR,Q$2)</f>
        <v>0</v>
      </c>
      <c r="R44" s="240"/>
      <c r="S44" s="315">
        <f t="shared" si="17"/>
        <v>2698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3832.5899999999965</v>
      </c>
      <c r="M49" s="252"/>
      <c r="N49" s="275">
        <f t="shared" si="15"/>
        <v>3832.5899999999965</v>
      </c>
      <c r="O49" s="252"/>
      <c r="P49" s="41"/>
      <c r="Q49" s="247">
        <f>SUMIFS(BV_Data_An_Prec!$AM:$AM,BV_Data_An_Prec!$AP:$AP,$B49,BV_Data_An_Prec!$AQ:$AQ,$C49,BV_Data_An_Prec!$AR:$AR,Q$2)</f>
        <v>0</v>
      </c>
      <c r="R49" s="252"/>
      <c r="S49" s="275">
        <f t="shared" si="17"/>
        <v>3832.5899999999965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6413.7400000000198</v>
      </c>
      <c r="M50" s="240"/>
      <c r="N50" s="315">
        <f t="shared" si="15"/>
        <v>6413.7400000000198</v>
      </c>
      <c r="O50" s="240"/>
      <c r="P50" s="313"/>
      <c r="Q50" s="253">
        <f>SUMIFS(BV_Data_An_Prec!$AM:$AM,BV_Data_An_Prec!$AP:$AP,$B50,BV_Data_An_Prec!$AQ:$AQ,$C50,BV_Data_An_Prec!$AR:$AR,Q$2)</f>
        <v>0</v>
      </c>
      <c r="R50" s="240"/>
      <c r="S50" s="315">
        <f t="shared" si="17"/>
        <v>6413.7400000000198</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1537.1599999999999</v>
      </c>
      <c r="M51" s="252"/>
      <c r="N51" s="275">
        <f t="shared" si="15"/>
        <v>1537.1599999999999</v>
      </c>
      <c r="O51" s="252"/>
      <c r="P51" s="41"/>
      <c r="Q51" s="253">
        <f>SUMIFS(BV_Data_An_Prec!$AM:$AM,BV_Data_An_Prec!$AP:$AP,$B51,BV_Data_An_Prec!$AQ:$AQ,$C51,BV_Data_An_Prec!$AR:$AR,Q$2)</f>
        <v>0</v>
      </c>
      <c r="R51" s="252"/>
      <c r="S51" s="275">
        <f t="shared" si="17"/>
        <v>1537.1599999999999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0.18332416205175708</v>
      </c>
      <c r="L54" s="306">
        <f>+SUM(L42:L53)</f>
        <v>34447.600000000006</v>
      </c>
      <c r="M54" s="309"/>
      <c r="N54" s="306">
        <f>+SUM(N42:N53)</f>
        <v>34447.600000000006</v>
      </c>
      <c r="O54" s="307" t="s">
        <v>115</v>
      </c>
      <c r="P54" s="305" t="e">
        <f>Q54/Q$27</f>
        <v>#DIV/0!</v>
      </c>
      <c r="Q54" s="306">
        <f>+SUM(Q42:Q53)</f>
        <v>0</v>
      </c>
      <c r="R54" s="309"/>
      <c r="S54" s="306">
        <f>+SUM(S42:S53)</f>
        <v>34447.600000000006</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1286.1399999999994</v>
      </c>
      <c r="M58" s="252"/>
      <c r="N58" s="275">
        <f t="shared" si="18"/>
        <v>1286.1399999999994</v>
      </c>
      <c r="O58" s="252"/>
      <c r="P58" s="41"/>
      <c r="Q58" s="255">
        <f>SUMIFS(BV_Data_An_Prec!$AM:$AM,BV_Data_An_Prec!$AP:$AP,$B58,BV_Data_An_Prec!$AQ:$AQ,$C58,BV_Data_An_Prec!$AR:$AR,Q$2)</f>
        <v>0</v>
      </c>
      <c r="R58" s="252"/>
      <c r="S58" s="275">
        <f t="shared" si="19"/>
        <v>1286.1399999999994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432.67000000000007</v>
      </c>
      <c r="M59" s="252"/>
      <c r="N59" s="275">
        <f t="shared" si="18"/>
        <v>432.67000000000007</v>
      </c>
      <c r="O59" s="252"/>
      <c r="P59" s="41"/>
      <c r="Q59" s="255">
        <f>SUMIFS(BV_Data_An_Prec!$AM:$AM,BV_Data_An_Prec!$AP:$AP,$B59,BV_Data_An_Prec!$AQ:$AQ,$C59,BV_Data_An_Prec!$AR:$AR,Q$2)</f>
        <v>0</v>
      </c>
      <c r="R59" s="252"/>
      <c r="S59" s="275">
        <f t="shared" si="19"/>
        <v>432.67000000000007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2102.06</v>
      </c>
      <c r="M60" s="245"/>
      <c r="N60" s="295">
        <f t="shared" si="18"/>
        <v>2102.06</v>
      </c>
      <c r="O60" s="245"/>
      <c r="P60" s="316"/>
      <c r="Q60" s="247">
        <f>SUMIFS(BV_Data_An_Prec!$AM:$AM,BV_Data_An_Prec!$AP:$AP,$B60,BV_Data_An_Prec!$AQ:$AQ,$C60,BV_Data_An_Prec!$AR:$AR,Q$2)</f>
        <v>0</v>
      </c>
      <c r="R60" s="245"/>
      <c r="S60" s="295">
        <f t="shared" si="19"/>
        <v>2102.06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169.4399999999996</v>
      </c>
      <c r="M63" s="252"/>
      <c r="N63" s="275">
        <f t="shared" si="18"/>
        <v>169.4399999999996</v>
      </c>
      <c r="O63" s="252"/>
      <c r="P63" s="41"/>
      <c r="Q63" s="255">
        <f>SUMIFS(BV_Data_An_Prec!$AM:$AM,BV_Data_An_Prec!$AP:$AP,$B63,BV_Data_An_Prec!$AQ:$AQ,$C63,BV_Data_An_Prec!$AR:$AR,Q$2)</f>
        <v>0</v>
      </c>
      <c r="R63" s="252"/>
      <c r="S63" s="275">
        <f t="shared" si="19"/>
        <v>169.4399999999996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100.10000000000002</v>
      </c>
      <c r="M64" s="252"/>
      <c r="N64" s="275">
        <f t="shared" si="18"/>
        <v>100.10000000000002</v>
      </c>
      <c r="O64" s="252"/>
      <c r="P64" s="41"/>
      <c r="Q64" s="255">
        <f>SUMIFS(BV_Data_An_Prec!$AM:$AM,BV_Data_An_Prec!$AP:$AP,$B64,BV_Data_An_Prec!$AQ:$AQ,$C64,BV_Data_An_Prec!$AR:$AR,Q$2)</f>
        <v>0</v>
      </c>
      <c r="R64" s="252"/>
      <c r="S64" s="275">
        <f t="shared" si="19"/>
        <v>100.10000000000002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152.68000000000006</v>
      </c>
      <c r="M65" s="252"/>
      <c r="N65" s="275">
        <f t="shared" si="18"/>
        <v>152.68000000000006</v>
      </c>
      <c r="O65" s="252"/>
      <c r="P65" s="41"/>
      <c r="Q65" s="255">
        <f>SUMIFS(BV_Data_An_Prec!$AM:$AM,BV_Data_An_Prec!$AP:$AP,$B65,BV_Data_An_Prec!$AQ:$AQ,$C65,BV_Data_An_Prec!$AR:$AR,Q$2)</f>
        <v>0</v>
      </c>
      <c r="R65" s="252"/>
      <c r="S65" s="275">
        <f t="shared" si="19"/>
        <v>152.68000000000006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0</v>
      </c>
      <c r="R67" s="252"/>
      <c r="S67" s="275">
        <f t="shared" si="19"/>
        <v>0</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2.258099022167552E-2</v>
      </c>
      <c r="L72" s="306">
        <f>+SUM(L55:L71)</f>
        <v>4243.0899999999992</v>
      </c>
      <c r="M72" s="309"/>
      <c r="N72" s="306">
        <f>+SUM(N55:N71)</f>
        <v>4243.0899999999992</v>
      </c>
      <c r="O72" s="307" t="s">
        <v>115</v>
      </c>
      <c r="P72" s="305" t="e">
        <f>Q72/Q$27</f>
        <v>#DIV/0!</v>
      </c>
      <c r="Q72" s="306">
        <f>+SUM(Q55:Q71)</f>
        <v>0</v>
      </c>
      <c r="R72" s="309"/>
      <c r="S72" s="306">
        <f>+SUM(S55:S71)</f>
        <v>4243.0899999999992</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0.89369108072466841</v>
      </c>
      <c r="L74" s="306">
        <f>L41+L54+L72</f>
        <v>167929.37999999998</v>
      </c>
      <c r="M74" s="309"/>
      <c r="N74" s="318">
        <f t="shared" ref="N74:N82" si="20">L74-F74</f>
        <v>167929.37999999998</v>
      </c>
      <c r="O74" s="307" t="s">
        <v>115</v>
      </c>
      <c r="P74" s="305" t="e">
        <f>Q74/Q$27</f>
        <v>#DIV/0!</v>
      </c>
      <c r="Q74" s="306">
        <f>Q41+Q54+Q72</f>
        <v>0</v>
      </c>
      <c r="R74" s="309"/>
      <c r="S74" s="318">
        <f>L74-Q74</f>
        <v>167929.37999999998</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1199.9692307692308</v>
      </c>
      <c r="L78" s="255">
        <f>-SUMIFS(BV_Data_An_Cour!$AM:$AM,BV_Data_An_Cour!$AP:$AP,$B78,BV_Data_An_Cour!$AQ:$AQ,$C78,BV_Data_An_Cour!$AR:$AR,L$2)</f>
        <v>77998</v>
      </c>
      <c r="M78" s="252"/>
      <c r="N78" s="275">
        <f t="shared" si="20"/>
        <v>77998</v>
      </c>
      <c r="O78" s="860"/>
      <c r="P78" s="831" t="e">
        <f>+Q78/O27</f>
        <v>#DIV/0!</v>
      </c>
      <c r="Q78" s="255">
        <f>-SUMIFS(BV_Data_An_Prec!$AM:$AM,BV_Data_An_Prec!$AP:$AP,$B78,BV_Data_An_Prec!$AQ:$AQ,$C78,BV_Data_An_Prec!$AR:$AR,Q$2)</f>
        <v>0</v>
      </c>
      <c r="R78" s="252"/>
      <c r="S78" s="275">
        <f t="shared" si="21"/>
        <v>77998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77998</v>
      </c>
      <c r="M83" s="309"/>
      <c r="N83" s="306">
        <f>+SUM(N75:N82)</f>
        <v>77998</v>
      </c>
      <c r="O83" s="307"/>
      <c r="P83" s="305"/>
      <c r="Q83" s="306">
        <f>+SUM(Q75:Q82)</f>
        <v>0</v>
      </c>
      <c r="R83" s="309"/>
      <c r="S83" s="306">
        <f>+SUM(S75:S82)</f>
        <v>77998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97974.019999998767</v>
      </c>
      <c r="M85" s="334"/>
      <c r="N85" s="333">
        <f>N27-N41-N54-N72+N83</f>
        <v>97974.019999998753</v>
      </c>
      <c r="O85" s="334"/>
      <c r="P85" s="331"/>
      <c r="Q85" s="333">
        <f>Q27-Q74+Q83</f>
        <v>0</v>
      </c>
      <c r="R85" s="334"/>
      <c r="S85" s="333">
        <f>S27-S41-S54-S72+S83</f>
        <v>97974.019999998753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708191.39</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8</v>
      </c>
      <c r="K94" s="253">
        <f t="shared" ref="K94:K95" si="22">IF(J94=0,0,L94/J94)</f>
        <v>790.73375000000669</v>
      </c>
      <c r="L94" s="255">
        <f>-SUMIFS(BV_Data_An_Cour!$AM:$AM,BV_Data_An_Cour!$AP:$AP,$B94,BV_Data_An_Cour!$AQ:$AQ,$C94,BV_Data_An_Cour!$AR:$AR,$L2)</f>
        <v>6325.8700000000536</v>
      </c>
      <c r="M94" s="254">
        <f>J94-D94</f>
        <v>8</v>
      </c>
      <c r="N94" s="255">
        <f>L94-F94</f>
        <v>6325.8700000000536</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8</v>
      </c>
      <c r="S94" s="255">
        <f t="shared" ref="S94:S95" si="25">L94-Q94</f>
        <v>6325.8700000000536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3</v>
      </c>
      <c r="K95" s="253">
        <f t="shared" si="22"/>
        <v>1546.3833333333216</v>
      </c>
      <c r="L95" s="255">
        <f>-SUMIFS(BV_Data_An_Cour!$AM:$AM,BV_Data_An_Cour!$AP:$AP,$B95,BV_Data_An_Cour!$AQ:$AQ,$C95,BV_Data_An_Cour!$AR:$AR,$L2)</f>
        <v>4639.1499999999651</v>
      </c>
      <c r="M95" s="254">
        <f>J95-D95</f>
        <v>3</v>
      </c>
      <c r="N95" s="255">
        <f>L95-F95</f>
        <v>4639.1499999999651</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3</v>
      </c>
      <c r="S95" s="255">
        <f t="shared" si="25"/>
        <v>4639.1499999999651</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11</v>
      </c>
      <c r="K97" s="253">
        <f>IF(J97&lt;=0,0,L97/J97)</f>
        <v>996.72909090909263</v>
      </c>
      <c r="L97" s="260">
        <f>+L94+L95+L96</f>
        <v>10964.020000000019</v>
      </c>
      <c r="M97" s="261">
        <f>J97-D97</f>
        <v>11</v>
      </c>
      <c r="N97" s="260">
        <f>L97-F97</f>
        <v>10964.020000000019</v>
      </c>
      <c r="O97" s="259">
        <f>+O94+O95+O96</f>
        <v>0</v>
      </c>
      <c r="P97" s="253">
        <f>IF(O97&lt;=0,0,Q97/O97)</f>
        <v>0</v>
      </c>
      <c r="Q97" s="260">
        <f>+Q94+Q95+Q96</f>
        <v>0</v>
      </c>
      <c r="R97" s="261">
        <f>R94+R95</f>
        <v>11</v>
      </c>
      <c r="S97" s="260">
        <f>S94+S95</f>
        <v>10965.020000000019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1</v>
      </c>
      <c r="K99" s="253">
        <f>IF(J99=0,0,L99/J99)</f>
        <v>20.800000000046566</v>
      </c>
      <c r="L99" s="255">
        <f>-SUMIFS(BV_Data_An_Cour!$AM:$AM,BV_Data_An_Cour!$AP:$AP,$B99,BV_Data_An_Cour!$AQ:$AQ,$C99,BV_Data_An_Cour!$AR:$AR,L$2)</f>
        <v>20.800000000046566</v>
      </c>
      <c r="M99" s="254">
        <f>J99-D99</f>
        <v>1</v>
      </c>
      <c r="N99" s="255">
        <f>L99-F99</f>
        <v>20.800000000046566</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1</v>
      </c>
      <c r="S99" s="255">
        <f>L99-Q99</f>
        <v>20.800000000046566</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28</v>
      </c>
      <c r="K101" s="253">
        <f>IF(J101=0,0,L101/J101)</f>
        <v>3315.9410714285914</v>
      </c>
      <c r="L101" s="255">
        <f>-SUMIFS(BV_Data_An_Cour!$AM:$AM,BV_Data_An_Cour!$AP:$AP,$B101,BV_Data_An_Cour!$AQ:$AQ,$C101,BV_Data_An_Cour!$AR:$AR,L$2)</f>
        <v>92846.350000000559</v>
      </c>
      <c r="M101" s="254">
        <f>J101-D101</f>
        <v>28</v>
      </c>
      <c r="N101" s="255">
        <f>L101-F101</f>
        <v>92846.350000000559</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28</v>
      </c>
      <c r="S101" s="255">
        <f>L101-Q101</f>
        <v>92846.350000000559</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778.15181818181838</v>
      </c>
      <c r="L103" s="255">
        <f>-SUMIFS(BV_Data_An_Cour!$AM:$AM,BV_Data_An_Cour!$AP:$AP,$B103,BV_Data_An_Cour!$AQ:$AQ,$C103,BV_Data_An_Cour!$AR:$AR,$L2)</f>
        <v>8559.6700000000019</v>
      </c>
      <c r="M103" s="254"/>
      <c r="N103" s="255">
        <f>L103-F103</f>
        <v>8559.6700000000019</v>
      </c>
      <c r="O103" s="254"/>
      <c r="P103" s="253">
        <f>IF(O97=0,0,Q103/O97)</f>
        <v>0</v>
      </c>
      <c r="Q103" s="255">
        <f>-SUMIFS(BV_Data_An_Prec!$AM:$AM,BV_Data_An_Prec!$AP:$AP,$B103,BV_Data_An_Prec!$AQ:$AQ,$C103,BV_Data_An_Prec!$AR:$AR,$L2)</f>
        <v>0</v>
      </c>
      <c r="R103" s="254">
        <f t="shared" ref="R103:R105" si="30">O103-K103</f>
        <v>-778.15181818181838</v>
      </c>
      <c r="S103" s="255">
        <f t="shared" ref="S103:S106" si="31">L103-Q103</f>
        <v>8559.6700000000019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2737</v>
      </c>
      <c r="L104" s="255">
        <f>-SUMIFS(BV_Data_An_Cour!$AM:$AM,BV_Data_An_Cour!$AP:$AP,$B104,BV_Data_An_Cour!$AQ:$AQ,$C104,BV_Data_An_Cour!$AR:$AR,$L2)</f>
        <v>30107</v>
      </c>
      <c r="M104" s="254"/>
      <c r="N104" s="255">
        <f>L104-F104</f>
        <v>30107</v>
      </c>
      <c r="O104" s="254"/>
      <c r="P104" s="253">
        <f>IF(O97=0,0,Q104/O97)</f>
        <v>0</v>
      </c>
      <c r="Q104" s="255">
        <f>-SUMIFS(BV_Data_An_Prec!$AM:$AM,BV_Data_An_Prec!$AP:$AP,$B104,BV_Data_An_Prec!$AQ:$AQ,$C104,BV_Data_An_Prec!$AR:$AR,$L2)</f>
        <v>0</v>
      </c>
      <c r="R104" s="254">
        <f t="shared" si="30"/>
        <v>-2737</v>
      </c>
      <c r="S104" s="255">
        <f t="shared" si="31"/>
        <v>30107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11</v>
      </c>
      <c r="K106" s="259">
        <f>IF(J106&lt;=0,0,L106/J106)</f>
        <v>3515.1518181818178</v>
      </c>
      <c r="L106" s="260">
        <f>L103+L104+L105</f>
        <v>38666.67</v>
      </c>
      <c r="M106" s="254">
        <f>J106-D106</f>
        <v>11</v>
      </c>
      <c r="N106" s="260">
        <f>L106-F106</f>
        <v>38666.67</v>
      </c>
      <c r="O106" s="261">
        <f>O97</f>
        <v>0</v>
      </c>
      <c r="P106" s="259">
        <f>IF(O106&lt;=0,0,Q106/O106)</f>
        <v>0</v>
      </c>
      <c r="Q106" s="260">
        <f>Q103+Q104+Q105</f>
        <v>0</v>
      </c>
      <c r="R106" s="272"/>
      <c r="S106" s="260">
        <f t="shared" si="31"/>
        <v>38666.67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39</v>
      </c>
      <c r="K109" s="279">
        <f>IF(J109&lt;=0,0,L109/J109)</f>
        <v>3653.7907692307849</v>
      </c>
      <c r="L109" s="280">
        <f>L97+L106+L101+L99</f>
        <v>142497.84000000061</v>
      </c>
      <c r="M109" s="281">
        <f>J109-D109</f>
        <v>39</v>
      </c>
      <c r="N109" s="280">
        <f>L109-F109</f>
        <v>142497.84000000061</v>
      </c>
      <c r="O109" s="281">
        <f>O97+O101</f>
        <v>0</v>
      </c>
      <c r="P109" s="279">
        <f>IF(O109&lt;=0,0,Q109/O109)</f>
        <v>0</v>
      </c>
      <c r="Q109" s="280">
        <f>Q97+Q106+Q101+Q99</f>
        <v>0</v>
      </c>
      <c r="R109" s="281">
        <f>J109-O109</f>
        <v>39</v>
      </c>
      <c r="S109" s="280">
        <f>L109-Q109</f>
        <v>142497.84000000061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1.5047254565387485</v>
      </c>
      <c r="K113" s="290">
        <f>IF($J$97=0,0,L113/(J$94+J$95+J96))</f>
        <v>1499.8036363636361</v>
      </c>
      <c r="L113" s="255">
        <f>SUMIFS(BV_Data_An_Cour!$AM:$AM,BV_Data_An_Cour!$AP:$AP,$B113,BV_Data_An_Cour!$AQ:$AQ,$C113,BV_Data_An_Cour!$AR:$AR,$L$2)</f>
        <v>16497.839999999997</v>
      </c>
      <c r="M113" s="252"/>
      <c r="N113" s="275">
        <f t="shared" ref="N113:N154" si="33">L113-F113</f>
        <v>16497.839999999997</v>
      </c>
      <c r="O113" s="291" t="e">
        <f>Q113/Q97</f>
        <v>#DIV/0!</v>
      </c>
      <c r="P113" s="290" t="e">
        <f>IF($J$97=0,0,Q113/(O$94+O$95+O96))</f>
        <v>#DIV/0!</v>
      </c>
      <c r="Q113" s="255">
        <f>SUMIFS(BV_Data_An_Prec!$AM:$AM,BV_Data_An_Prec!$AP:$AP,$B113,BV_Data_An_Prec!$AQ:$AQ,$C113,BV_Data_An_Prec!$AR:$AR,$L$2)</f>
        <v>0</v>
      </c>
      <c r="R113" s="252"/>
      <c r="S113" s="275">
        <f t="shared" ref="S113:S154" si="34">L113-Q113</f>
        <v>16497.839999999997</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0.20192791362690404</v>
      </c>
      <c r="K114" s="293">
        <f>IF($J$97=0,0,L114/(J$94+J$95+J96))</f>
        <v>709.80727272727279</v>
      </c>
      <c r="L114" s="255">
        <f>SUMIFS(BV_Data_An_Cour!$AM:$AM,BV_Data_An_Cour!$AP:$AP,$B114,BV_Data_An_Cour!$AQ:$AQ,$C114,BV_Data_An_Cour!$AR:$AR,$L$2)</f>
        <v>7807.880000000001</v>
      </c>
      <c r="M114" s="245"/>
      <c r="N114" s="295">
        <f t="shared" si="33"/>
        <v>7807.880000000001</v>
      </c>
      <c r="O114" s="294" t="e">
        <f>Q114/(Q106)</f>
        <v>#DIV/0!</v>
      </c>
      <c r="P114" s="293" t="e">
        <f>IF($J$97=0,0,Q114/(O$94+O$95+O96))</f>
        <v>#DIV/0!</v>
      </c>
      <c r="Q114" s="255">
        <f>SUMIFS(BV_Data_An_Prec!$AM:$AM,BV_Data_An_Prec!$AP:$AP,$B114,BV_Data_An_Prec!$AQ:$AQ,$C114,BV_Data_An_Prec!$AR:$AR,$L$2)</f>
        <v>0</v>
      </c>
      <c r="R114" s="245"/>
      <c r="S114" s="295">
        <f t="shared" si="34"/>
        <v>7807.880000000001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24</v>
      </c>
      <c r="L115" s="271">
        <f>SUMIFS(BV_Data_An_Cour!$AM:$AM,BV_Data_An_Cour!$AP:$AP,$B115,BV_Data_An_Cour!$AQ:$AQ,$C115,BV_Data_An_Cour!$AR:$AR,$L$2)</f>
        <v>264</v>
      </c>
      <c r="M115" s="252"/>
      <c r="N115" s="275">
        <f t="shared" si="33"/>
        <v>264</v>
      </c>
      <c r="O115" s="252"/>
      <c r="P115" s="290" t="e">
        <f>IF($J$97=0,0,Q115/(O$94+O$95+O96))</f>
        <v>#DIV/0!</v>
      </c>
      <c r="Q115" s="271">
        <f>SUMIFS(BV_Data_An_Prec!$AM:$AM,BV_Data_An_Prec!$AP:$AP,$B115,BV_Data_An_Prec!$AQ:$AQ,$C115,BV_Data_An_Prec!$AR:$AR,$L$2)</f>
        <v>0</v>
      </c>
      <c r="R115" s="252"/>
      <c r="S115" s="275">
        <f t="shared" si="34"/>
        <v>264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26.906363636363661</v>
      </c>
      <c r="L118" s="255">
        <f>SUMIFS(BV_Data_An_Cour!$AM:$AM,BV_Data_An_Cour!$AP:$AP,$B118,BV_Data_An_Cour!$AQ:$AQ,$C118,BV_Data_An_Cour!$AR:$AR,$L$2)</f>
        <v>295.97000000000025</v>
      </c>
      <c r="M118" s="252"/>
      <c r="N118" s="275">
        <f t="shared" si="33"/>
        <v>295.97000000000025</v>
      </c>
      <c r="O118" s="252"/>
      <c r="P118" s="290" t="e">
        <f>IF($J$97=0,0,Q118/(O$94+O$95+O96))</f>
        <v>#DIV/0!</v>
      </c>
      <c r="Q118" s="255">
        <f>SUMIFS(BV_Data_An_Prec!$AM:$AM,BV_Data_An_Prec!$AP:$AP,$B118,BV_Data_An_Prec!$AQ:$AQ,$C118,BV_Data_An_Prec!$AR:$AR,$L$2)</f>
        <v>0</v>
      </c>
      <c r="R118" s="252"/>
      <c r="S118" s="275">
        <f t="shared" si="34"/>
        <v>295.97000000000025</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95.520000000000024</v>
      </c>
      <c r="L119" s="769">
        <f>SUMIFS(BV_Data_An_Cour!$AM:$AM,BV_Data_An_Cour!$AP:$AP,$B119,BV_Data_An_Cour!$AQ:$AQ,$C119,BV_Data_An_Cour!$AR:$AR,$L$2)</f>
        <v>1050.7200000000003</v>
      </c>
      <c r="M119" s="252"/>
      <c r="N119" s="777">
        <f t="shared" si="33"/>
        <v>1050.7200000000003</v>
      </c>
      <c r="O119" s="252"/>
      <c r="P119" s="290" t="e">
        <f>IF($J$97=0,0,Q119/(O$94+O$95+O96))</f>
        <v>#DIV/0!</v>
      </c>
      <c r="Q119" s="769">
        <f>SUMIFS(BV_Data_An_Prec!$AM:$AM,BV_Data_An_Prec!$AP:$AP,$B119,BV_Data_An_Prec!$AQ:$AQ,$C119,BV_Data_An_Prec!$AR:$AR,$L$2)</f>
        <v>0</v>
      </c>
      <c r="R119" s="252"/>
      <c r="S119" s="275">
        <f t="shared" si="34"/>
        <v>1050.7200000000003</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0.18187230066083732</v>
      </c>
      <c r="L123" s="306">
        <f>SUM(L113:L122)</f>
        <v>25916.41</v>
      </c>
      <c r="M123" s="309"/>
      <c r="N123" s="306">
        <f t="shared" si="33"/>
        <v>25916.41</v>
      </c>
      <c r="O123" s="307" t="s">
        <v>115</v>
      </c>
      <c r="P123" s="305" t="e">
        <f>Q123/Q$109</f>
        <v>#DIV/0!</v>
      </c>
      <c r="Q123" s="306">
        <f>SUM(Q113:Q122)</f>
        <v>0</v>
      </c>
      <c r="R123" s="309"/>
      <c r="S123" s="306">
        <f t="shared" si="34"/>
        <v>25916.41</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14654.919999999984</v>
      </c>
      <c r="M124" s="252"/>
      <c r="N124" s="275">
        <f t="shared" si="33"/>
        <v>14654.919999999984</v>
      </c>
      <c r="O124" s="252"/>
      <c r="P124" s="41"/>
      <c r="Q124" s="275">
        <f>SUMIFS(BV_Data_An_Prec!$AM:$AM,BV_Data_An_Prec!$AP:$AP,$B124,BV_Data_An_Prec!$AQ:$AQ,$C124,BV_Data_An_Prec!$AR:$AR,$L$2)</f>
        <v>0</v>
      </c>
      <c r="R124" s="252"/>
      <c r="S124" s="275">
        <f t="shared" si="34"/>
        <v>14654.919999999984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12083.399999999994</v>
      </c>
      <c r="M126" s="240"/>
      <c r="N126" s="315">
        <f t="shared" si="33"/>
        <v>12083.399999999994</v>
      </c>
      <c r="O126" s="240"/>
      <c r="P126" s="313"/>
      <c r="Q126" s="315">
        <f>SUMIFS(BV_Data_An_Prec!$AM:$AM,BV_Data_An_Prec!$AP:$AP,$B126,BV_Data_An_Prec!$AQ:$AQ,$C126,BV_Data_An_Prec!$AR:$AR,$L$2)</f>
        <v>0</v>
      </c>
      <c r="R126" s="240"/>
      <c r="S126" s="315">
        <f t="shared" si="34"/>
        <v>12083.399999999994</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1834.9099999999999</v>
      </c>
      <c r="M131" s="252"/>
      <c r="N131" s="275">
        <f t="shared" si="33"/>
        <v>1834.9099999999999</v>
      </c>
      <c r="O131" s="252"/>
      <c r="P131" s="41"/>
      <c r="Q131" s="275">
        <f>SUMIFS(BV_Data_An_Prec!$AM:$AM,BV_Data_An_Prec!$AP:$AP,$B131,BV_Data_An_Prec!$AQ:$AQ,$C131,BV_Data_An_Prec!$AR:$AR,$L$2)</f>
        <v>0</v>
      </c>
      <c r="R131" s="252"/>
      <c r="S131" s="275">
        <f t="shared" si="34"/>
        <v>1834.9099999999999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2690.1699999999983</v>
      </c>
      <c r="M132" s="240"/>
      <c r="N132" s="315">
        <f t="shared" si="33"/>
        <v>2690.1699999999983</v>
      </c>
      <c r="O132" s="240"/>
      <c r="P132" s="313"/>
      <c r="Q132" s="315">
        <f>SUMIFS(BV_Data_An_Prec!$AM:$AM,BV_Data_An_Prec!$AP:$AP,$B132,BV_Data_An_Prec!$AQ:$AQ,$C132,BV_Data_An_Prec!$AR:$AR,$L$2)</f>
        <v>0</v>
      </c>
      <c r="R132" s="240"/>
      <c r="S132" s="315">
        <f t="shared" si="34"/>
        <v>2690.1699999999983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319.12000000000035</v>
      </c>
      <c r="M133" s="252"/>
      <c r="N133" s="275">
        <f t="shared" si="33"/>
        <v>319.12000000000035</v>
      </c>
      <c r="O133" s="252"/>
      <c r="P133" s="41"/>
      <c r="Q133" s="275">
        <f>SUMIFS(BV_Data_An_Prec!$AM:$AM,BV_Data_An_Prec!$AP:$AP,$B133,BV_Data_An_Prec!$AQ:$AQ,$C133,BV_Data_An_Prec!$AR:$AR,$L$2)</f>
        <v>0</v>
      </c>
      <c r="R133" s="252"/>
      <c r="S133" s="275">
        <f t="shared" si="34"/>
        <v>319.12000000000035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0.22163507881943922</v>
      </c>
      <c r="L136" s="306">
        <f>SUM(L124:L135)</f>
        <v>31582.519999999975</v>
      </c>
      <c r="M136" s="353"/>
      <c r="N136" s="318">
        <f t="shared" si="33"/>
        <v>31582.519999999975</v>
      </c>
      <c r="O136" s="307" t="s">
        <v>115</v>
      </c>
      <c r="P136" s="305" t="e">
        <f>Q136/Q$109</f>
        <v>#DIV/0!</v>
      </c>
      <c r="Q136" s="306">
        <f>SUM(Q124:Q135)</f>
        <v>0</v>
      </c>
      <c r="R136" s="353"/>
      <c r="S136" s="318">
        <f t="shared" si="34"/>
        <v>31582.519999999975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1386.1400000000012</v>
      </c>
      <c r="M140" s="252"/>
      <c r="N140" s="275">
        <f t="shared" si="33"/>
        <v>1386.1400000000012</v>
      </c>
      <c r="O140" s="252"/>
      <c r="P140" s="41"/>
      <c r="Q140" s="255">
        <f>SUMIFS(BV_Data_An_Prec!$AM:$AM,BV_Data_An_Prec!$AP:$AP,$B140,BV_Data_An_Prec!$AQ:$AQ,$C140,BV_Data_An_Prec!$AR:$AR,$L$2)</f>
        <v>0</v>
      </c>
      <c r="R140" s="252"/>
      <c r="S140" s="275">
        <f t="shared" si="34"/>
        <v>1386.1400000000012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432.67000000000007</v>
      </c>
      <c r="M141" s="252"/>
      <c r="N141" s="275">
        <f t="shared" si="33"/>
        <v>432.67000000000007</v>
      </c>
      <c r="O141" s="252"/>
      <c r="P141" s="41"/>
      <c r="Q141" s="255">
        <f>SUMIFS(BV_Data_An_Prec!$AM:$AM,BV_Data_An_Prec!$AP:$AP,$B141,BV_Data_An_Prec!$AQ:$AQ,$C141,BV_Data_An_Prec!$AR:$AR,$L$2)</f>
        <v>0</v>
      </c>
      <c r="R141" s="252"/>
      <c r="S141" s="275">
        <f t="shared" si="34"/>
        <v>432.67000000000007</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2102.06</v>
      </c>
      <c r="M142" s="245"/>
      <c r="N142" s="295">
        <f t="shared" si="33"/>
        <v>2102.06</v>
      </c>
      <c r="O142" s="245"/>
      <c r="P142" s="316"/>
      <c r="Q142" s="247">
        <f>SUMIFS(BV_Data_An_Prec!$AM:$AM,BV_Data_An_Prec!$AP:$AP,$B142,BV_Data_An_Prec!$AQ:$AQ,$C142,BV_Data_An_Prec!$AR:$AR,$L$2)</f>
        <v>0</v>
      </c>
      <c r="R142" s="245"/>
      <c r="S142" s="295">
        <f t="shared" si="34"/>
        <v>2102.06</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169.44000000000051</v>
      </c>
      <c r="M145" s="252"/>
      <c r="N145" s="275">
        <f t="shared" si="33"/>
        <v>169.44000000000051</v>
      </c>
      <c r="O145" s="252"/>
      <c r="P145" s="41"/>
      <c r="Q145" s="255">
        <f>SUMIFS(BV_Data_An_Prec!$AM:$AM,BV_Data_An_Prec!$AP:$AP,$B145,BV_Data_An_Prec!$AQ:$AQ,$C145,BV_Data_An_Prec!$AR:$AR,$L$2)</f>
        <v>0</v>
      </c>
      <c r="R145" s="252"/>
      <c r="S145" s="275">
        <f t="shared" si="34"/>
        <v>169.44000000000051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100.10000000000002</v>
      </c>
      <c r="M146" s="252"/>
      <c r="N146" s="275">
        <f t="shared" si="33"/>
        <v>100.10000000000002</v>
      </c>
      <c r="O146" s="252"/>
      <c r="P146" s="41"/>
      <c r="Q146" s="255">
        <f>SUMIFS(BV_Data_An_Prec!$AM:$AM,BV_Data_An_Prec!$AP:$AP,$B146,BV_Data_An_Prec!$AQ:$AQ,$C146,BV_Data_An_Prec!$AR:$AR,$L$2)</f>
        <v>0</v>
      </c>
      <c r="R146" s="252"/>
      <c r="S146" s="275">
        <f t="shared" si="34"/>
        <v>100.10000000000002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2.940683171057178E-2</v>
      </c>
      <c r="L154" s="306">
        <f>+SUM(L137:L153)</f>
        <v>4190.4100000000017</v>
      </c>
      <c r="M154" s="309"/>
      <c r="N154" s="306">
        <f t="shared" si="33"/>
        <v>4190.4100000000017</v>
      </c>
      <c r="O154" s="307" t="s">
        <v>115</v>
      </c>
      <c r="P154" s="305" t="e">
        <f>Q154/Q$109</f>
        <v>#DIV/0!</v>
      </c>
      <c r="Q154" s="306">
        <f>+SUM(Q137:Q153)</f>
        <v>0</v>
      </c>
      <c r="R154" s="309"/>
      <c r="S154" s="306">
        <f t="shared" si="34"/>
        <v>4190.4100000000017</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0.43291421119084839</v>
      </c>
      <c r="L156" s="306">
        <f>L123+L136+L154</f>
        <v>61689.339999999982</v>
      </c>
      <c r="M156" s="309"/>
      <c r="N156" s="318">
        <f t="shared" ref="N156:N163" si="35">L156-F156</f>
        <v>61689.339999999982</v>
      </c>
      <c r="O156" s="307" t="s">
        <v>115</v>
      </c>
      <c r="P156" s="305" t="e">
        <f>Q156/Q$109</f>
        <v>#DIV/0!</v>
      </c>
      <c r="Q156" s="306">
        <f>Q123+Q136+Q154</f>
        <v>0</v>
      </c>
      <c r="R156" s="309"/>
      <c r="S156" s="318">
        <f t="shared" ref="S156:S163" si="36">L156-Q156</f>
        <v>61689.339999999982</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80808.500000000626</v>
      </c>
      <c r="M166" s="330"/>
      <c r="N166" s="333">
        <f>L166-F166</f>
        <v>80808.500000000626</v>
      </c>
      <c r="O166" s="330"/>
      <c r="P166" s="332"/>
      <c r="Q166" s="333">
        <f>Q109-Q156+Q164</f>
        <v>0</v>
      </c>
      <c r="R166" s="330"/>
      <c r="S166" s="333">
        <f>L166-Q166</f>
        <v>80808.500000000626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Novembre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1076</v>
      </c>
      <c r="K173" s="253">
        <f>-SUMIFS(BV_Data_An_Cour!$AM:$AM,BV_Data_An_Cour!$AS:$AS,"Oui",BV_Data_An_Cour!$AP:$AP,$B173,BV_Data_An_Cour!$AQ:$AQ,$C173)</f>
        <v>149731.66999999993</v>
      </c>
      <c r="L173" s="255">
        <f>-SUMIFS(BV_Data_An_Cour!$AM:$AM,BV_Data_An_Cour!$AP:$AP,$B173,BV_Data_An_Cour!$AQ:$AQ,$C173,BV_Data_An_Cour!$AR:$AR,$L$2)</f>
        <v>124610.69999999992</v>
      </c>
      <c r="M173" s="291" t="e">
        <f>(K173-E173)/E173</f>
        <v>#DIV/0!</v>
      </c>
      <c r="N173" s="275">
        <f>L173-F173</f>
        <v>124610.69999999992</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124610.69999999992</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0.83222674267908714</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139.1558271375464</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92</v>
      </c>
      <c r="K176" s="270">
        <f>-SUMIFS(BV_Data_An_Cour!$AM:$AM,BV_Data_An_Cour!$AS:$AS,"Oui",BV_Data_An_Cour!$AP:$AP,$B176,BV_Data_An_Cour!$AQ:$AQ,$C176)</f>
        <v>11250.669999999984</v>
      </c>
      <c r="L176" s="255">
        <f>-SUMIFS(BV_Data_An_Cour!$AM:$AM,BV_Data_An_Cour!$AP:$AP,$B176,BV_Data_An_Cour!$AQ:$AQ,$C176,BV_Data_An_Cour!$AR:$AR,$L$2)</f>
        <v>8432.3500000000058</v>
      </c>
      <c r="M176" s="291" t="e">
        <f>(K176-E176)/E176</f>
        <v>#DIV/0!</v>
      </c>
      <c r="N176" s="315">
        <f>L176-F176</f>
        <v>8432.3500000000058</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8432.3500000000058</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0.74949758547713319</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122.28989130434765</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137</v>
      </c>
      <c r="K179" s="270">
        <f>-SUMIFS(BV_Data_An_Cour!$AM:$AM,BV_Data_An_Cour!$AS:$AS,"Oui",BV_Data_An_Cour!$AP:$AP,$B179,BV_Data_An_Cour!$AQ:$AQ,$C179)</f>
        <v>27772.900000000023</v>
      </c>
      <c r="L179" s="255">
        <f>-SUMIFS(BV_Data_An_Cour!$AM:$AM,BV_Data_An_Cour!$AP:$AP,$B179,BV_Data_An_Cour!$AQ:$AQ,$C179,BV_Data_An_Cour!$AR:$AR,$L$2)</f>
        <v>23376.950000000026</v>
      </c>
      <c r="M179" s="291" t="e">
        <f>(K179-E179)/E179</f>
        <v>#DIV/0!</v>
      </c>
      <c r="N179" s="275">
        <f>L179-F179</f>
        <v>23376.950000000026</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23376.950000000026</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0.841718005681798</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202.72189781021916</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-5098.5799999999981</v>
      </c>
      <c r="M185" s="371"/>
      <c r="N185" s="275">
        <f>L185-F185</f>
        <v>-5098.5799999999981</v>
      </c>
      <c r="O185" s="276"/>
      <c r="P185" s="290"/>
      <c r="Q185" s="290">
        <f>-SUMIFS(BV_Data_An_Prec!$AM:$AM,BV_Data_An_Prec!$AP:$AP,$B185,BV_Data_An_Prec!$AQ:$AQ,$C185,BV_Data_An_Prec!$AR:$AR,$L$2)</f>
        <v>0</v>
      </c>
      <c r="R185" s="377"/>
      <c r="S185" s="275">
        <f t="shared" ref="S185:S186" si="37">L185-Q185</f>
        <v>-5098.5799999999981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1305</v>
      </c>
      <c r="K186" s="379">
        <f t="shared" si="38"/>
        <v>188755.23999999993</v>
      </c>
      <c r="L186" s="380">
        <f t="shared" si="38"/>
        <v>151321.41999999995</v>
      </c>
      <c r="M186" s="382" t="e">
        <f>(K186-E186)/E186</f>
        <v>#DIV/0!</v>
      </c>
      <c r="N186" s="380">
        <f>L186-F186</f>
        <v>151321.41999999995</v>
      </c>
      <c r="O186" s="381">
        <f t="shared" ref="O186:Q186" si="39">O173+O176+O179+O182+O185</f>
        <v>0</v>
      </c>
      <c r="P186" s="379">
        <f t="shared" si="39"/>
        <v>0</v>
      </c>
      <c r="Q186" s="380">
        <f t="shared" si="39"/>
        <v>0</v>
      </c>
      <c r="R186" s="263">
        <f>IF(O186=0,0,J186/O186)</f>
        <v>0</v>
      </c>
      <c r="S186" s="380">
        <f t="shared" si="37"/>
        <v>151321.41999999995</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144.64003065134094</v>
      </c>
      <c r="L187" s="264">
        <f>IF(L186=0,0,L186/K186)</f>
        <v>0.80168063148869406</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521</v>
      </c>
      <c r="K189" s="253">
        <f>-SUMIFS(BV_Data_An_Cour!$AM:$AM,BV_Data_An_Cour!$AS:$AS,"Oui",BV_Data_An_Cour!$AP:$AP,$B189,BV_Data_An_Cour!$AQ:$AQ,$C189)</f>
        <v>57017.129999999946</v>
      </c>
      <c r="L189" s="255">
        <f>-SUMIFS(BV_Data_An_Cour!$AM:$AM,BV_Data_An_Cour!$AP:$AP,$B189,BV_Data_An_Cour!$AQ:$AQ,$C189,BV_Data_An_Cour!$AR:$AR,$L$2)</f>
        <v>4002.5599999999395</v>
      </c>
      <c r="M189" s="291">
        <f>IF(E189=0,0,(K189-E189)/E189)</f>
        <v>0</v>
      </c>
      <c r="N189" s="275">
        <f>L189-F189</f>
        <v>4002.5599999999395</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4002.5599999999395</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7.0199254153969923E-2</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245772.36999999988</v>
      </c>
      <c r="L195" s="280">
        <f t="shared" si="40"/>
        <v>155323.97999999989</v>
      </c>
      <c r="M195" s="397" t="e">
        <f>L196-F196</f>
        <v>#DIV/0!</v>
      </c>
      <c r="N195" s="280">
        <f>L195-F195</f>
        <v>155323.97999999989</v>
      </c>
      <c r="O195" s="281"/>
      <c r="P195" s="278">
        <f t="shared" ref="P195:Q195" si="41">P186+P189+P192</f>
        <v>0</v>
      </c>
      <c r="Q195" s="280">
        <f t="shared" si="41"/>
        <v>0</v>
      </c>
      <c r="R195" s="397"/>
      <c r="S195" s="280">
        <f>L195-Q195</f>
        <v>155323.97999999989</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0.63198308255724589</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7478.6299999999901</v>
      </c>
      <c r="M199" s="252"/>
      <c r="N199" s="275">
        <f t="shared" ref="N199:N230" si="42">L199-F199</f>
        <v>7478.6299999999901</v>
      </c>
      <c r="O199" s="252"/>
      <c r="P199" s="41"/>
      <c r="Q199" s="255">
        <f>SUMIFS(BV_Data_An_Prec!$AM:$AM,BV_Data_An_Prec!$AP:$AP,$B199,BV_Data_An_Prec!$AQ:$AQ,$C199,BV_Data_An_Prec!$AR:$AR,$L$2)</f>
        <v>0</v>
      </c>
      <c r="R199" s="252"/>
      <c r="S199" s="255">
        <f t="shared" ref="S199:S230" si="43">L199-Q199</f>
        <v>7478.6299999999901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44880.709999999963</v>
      </c>
      <c r="M201" s="240"/>
      <c r="N201" s="315">
        <f t="shared" si="42"/>
        <v>44880.709999999963</v>
      </c>
      <c r="O201" s="240"/>
      <c r="P201" s="313"/>
      <c r="Q201" s="271">
        <f>SUMIFS(BV_Data_An_Prec!$AM:$AM,BV_Data_An_Prec!$AP:$AP,$B201,BV_Data_An_Prec!$AQ:$AQ,$C201,BV_Data_An_Prec!$AR:$AR,$L$2)</f>
        <v>0</v>
      </c>
      <c r="R201" s="240"/>
      <c r="S201" s="315">
        <f t="shared" si="43"/>
        <v>44880.709999999963</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9271.4700000000012</v>
      </c>
      <c r="M206" s="252"/>
      <c r="N206" s="275">
        <f t="shared" si="42"/>
        <v>9271.4700000000012</v>
      </c>
      <c r="O206" s="252"/>
      <c r="P206" s="41"/>
      <c r="Q206" s="255">
        <f>SUMIFS(BV_Data_An_Prec!$AM:$AM,BV_Data_An_Prec!$AP:$AP,$B206,BV_Data_An_Prec!$AQ:$AQ,$C206,BV_Data_An_Prec!$AR:$AR,$L$2)</f>
        <v>0</v>
      </c>
      <c r="R206" s="252"/>
      <c r="S206" s="275">
        <f t="shared" si="43"/>
        <v>9271.4700000000012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9382.0299999999988</v>
      </c>
      <c r="M207" s="240"/>
      <c r="N207" s="315">
        <f t="shared" si="42"/>
        <v>9382.0299999999988</v>
      </c>
      <c r="O207" s="240"/>
      <c r="P207" s="313"/>
      <c r="Q207" s="271">
        <f>SUMIFS(BV_Data_An_Prec!$AM:$AM,BV_Data_An_Prec!$AP:$AP,$B207,BV_Data_An_Prec!$AQ:$AQ,$C207,BV_Data_An_Prec!$AR:$AR,$L$2)</f>
        <v>0</v>
      </c>
      <c r="R207" s="240"/>
      <c r="S207" s="315">
        <f t="shared" si="43"/>
        <v>9382.0299999999988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1127.42</v>
      </c>
      <c r="M208" s="252"/>
      <c r="N208" s="275">
        <f t="shared" si="42"/>
        <v>1127.42</v>
      </c>
      <c r="O208" s="252"/>
      <c r="P208" s="41"/>
      <c r="Q208" s="255">
        <f>SUMIFS(BV_Data_An_Prec!$AM:$AM,BV_Data_An_Prec!$AP:$AP,$B208,BV_Data_An_Prec!$AQ:$AQ,$C208,BV_Data_An_Prec!$AR:$AR,$L$2)</f>
        <v>0</v>
      </c>
      <c r="R208" s="252"/>
      <c r="S208" s="275">
        <f t="shared" si="43"/>
        <v>1127.42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0.46445024136002694</v>
      </c>
      <c r="L211" s="306">
        <f>+SUM(L199:L210)</f>
        <v>72140.259999999951</v>
      </c>
      <c r="M211" s="353"/>
      <c r="N211" s="306">
        <f t="shared" si="42"/>
        <v>72140.259999999951</v>
      </c>
      <c r="O211" s="307" t="s">
        <v>171</v>
      </c>
      <c r="P211" s="305" t="e">
        <f>Q211/Q$195</f>
        <v>#DIV/0!</v>
      </c>
      <c r="Q211" s="306">
        <f>+SUM(Q199:Q210)</f>
        <v>0</v>
      </c>
      <c r="R211" s="353"/>
      <c r="S211" s="318">
        <f t="shared" si="43"/>
        <v>72140.259999999951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7237.3300000000017</v>
      </c>
      <c r="M214" s="245"/>
      <c r="N214" s="295">
        <f t="shared" si="42"/>
        <v>7237.3300000000017</v>
      </c>
      <c r="O214" s="245"/>
      <c r="P214" s="316"/>
      <c r="Q214" s="255">
        <f>SUMIFS(BV_Data_An_Prec!$AM:$AM,BV_Data_An_Prec!$AP:$AP,$B214,BV_Data_An_Prec!$AQ:$AQ,$C214,BV_Data_An_Prec!$AR:$AR,$L$2)</f>
        <v>0</v>
      </c>
      <c r="R214" s="245"/>
      <c r="S214" s="295">
        <f t="shared" si="43"/>
        <v>7237.3300000000017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1286.0799999999981</v>
      </c>
      <c r="M215" s="252"/>
      <c r="N215" s="275">
        <f t="shared" si="42"/>
        <v>1286.0799999999981</v>
      </c>
      <c r="O215" s="252"/>
      <c r="P215" s="41"/>
      <c r="Q215" s="271">
        <f>SUMIFS(BV_Data_An_Prec!$AM:$AM,BV_Data_An_Prec!$AP:$AP,$B215,BV_Data_An_Prec!$AQ:$AQ,$C215,BV_Data_An_Prec!$AR:$AR,$L$2)</f>
        <v>0</v>
      </c>
      <c r="R215" s="252"/>
      <c r="S215" s="275">
        <f t="shared" si="43"/>
        <v>1286.0799999999981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1074.8500000000004</v>
      </c>
      <c r="M216" s="252"/>
      <c r="N216" s="275">
        <f t="shared" si="42"/>
        <v>1074.8500000000004</v>
      </c>
      <c r="O216" s="252"/>
      <c r="P216" s="41"/>
      <c r="Q216" s="255">
        <f>SUMIFS(BV_Data_An_Prec!$AM:$AM,BV_Data_An_Prec!$AP:$AP,$B216,BV_Data_An_Prec!$AQ:$AQ,$C216,BV_Data_An_Prec!$AR:$AR,$L$2)</f>
        <v>0</v>
      </c>
      <c r="R216" s="252"/>
      <c r="S216" s="275">
        <f t="shared" si="43"/>
        <v>1074.8500000000004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-1439.33</v>
      </c>
      <c r="M217" s="245"/>
      <c r="N217" s="295">
        <f t="shared" si="42"/>
        <v>-1439.33</v>
      </c>
      <c r="O217" s="245"/>
      <c r="P217" s="316"/>
      <c r="Q217" s="255">
        <f>SUMIFS(BV_Data_An_Prec!$AM:$AM,BV_Data_An_Prec!$AP:$AP,$B217,BV_Data_An_Prec!$AQ:$AQ,$C217,BV_Data_An_Prec!$AR:$AR,$L$2)</f>
        <v>0</v>
      </c>
      <c r="R217" s="245"/>
      <c r="S217" s="295">
        <f t="shared" si="43"/>
        <v>-1439.33</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7657.0500000000029</v>
      </c>
      <c r="M218" s="252"/>
      <c r="N218" s="275">
        <f t="shared" si="42"/>
        <v>7657.0500000000029</v>
      </c>
      <c r="O218" s="252"/>
      <c r="P218" s="41"/>
      <c r="Q218" s="271">
        <f>SUMIFS(BV_Data_An_Prec!$AM:$AM,BV_Data_An_Prec!$AP:$AP,$B218,BV_Data_An_Prec!$AQ:$AQ,$C218,BV_Data_An_Prec!$AR:$AR,$L$2)</f>
        <v>0</v>
      </c>
      <c r="R218" s="252"/>
      <c r="S218" s="275">
        <f t="shared" si="43"/>
        <v>7657.0500000000029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620.97999999999956</v>
      </c>
      <c r="M220" s="252"/>
      <c r="N220" s="275">
        <f t="shared" si="42"/>
        <v>620.97999999999956</v>
      </c>
      <c r="O220" s="252"/>
      <c r="P220" s="41"/>
      <c r="Q220" s="255">
        <f>SUMIFS(BV_Data_An_Prec!$AM:$AM,BV_Data_An_Prec!$AP:$AP,$B220,BV_Data_An_Prec!$AQ:$AQ,$C220,BV_Data_An_Prec!$AR:$AR,$L$2)</f>
        <v>0</v>
      </c>
      <c r="R220" s="252"/>
      <c r="S220" s="275">
        <f t="shared" si="43"/>
        <v>620.97999999999956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871.0699999999988</v>
      </c>
      <c r="M221" s="252"/>
      <c r="N221" s="275">
        <f t="shared" si="42"/>
        <v>871.0699999999988</v>
      </c>
      <c r="O221" s="252"/>
      <c r="P221" s="41"/>
      <c r="Q221" s="255">
        <f>SUMIFS(BV_Data_An_Prec!$AM:$AM,BV_Data_An_Prec!$AP:$AP,$B221,BV_Data_An_Prec!$AQ:$AQ,$C221,BV_Data_An_Prec!$AR:$AR,$L$2)</f>
        <v>0</v>
      </c>
      <c r="R221" s="252"/>
      <c r="S221" s="275">
        <f t="shared" si="43"/>
        <v>871.0699999999988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100.09000000000015</v>
      </c>
      <c r="M222" s="252"/>
      <c r="N222" s="275">
        <f t="shared" si="42"/>
        <v>100.09000000000015</v>
      </c>
      <c r="O222" s="252"/>
      <c r="P222" s="41"/>
      <c r="Q222" s="255">
        <f>SUMIFS(BV_Data_An_Prec!$AM:$AM,BV_Data_An_Prec!$AP:$AP,$B222,BV_Data_An_Prec!$AQ:$AQ,$C222,BV_Data_An_Prec!$AR:$AR,$L$2)</f>
        <v>0</v>
      </c>
      <c r="R222" s="252"/>
      <c r="S222" s="275">
        <f t="shared" si="43"/>
        <v>100.09000000000015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67.659999999999968</v>
      </c>
      <c r="M223" s="252"/>
      <c r="N223" s="275">
        <f t="shared" si="42"/>
        <v>67.659999999999968</v>
      </c>
      <c r="O223" s="252"/>
      <c r="P223" s="41"/>
      <c r="Q223" s="255">
        <f>SUMIFS(BV_Data_An_Prec!$AM:$AM,BV_Data_An_Prec!$AP:$AP,$B223,BV_Data_An_Prec!$AQ:$AQ,$C223,BV_Data_An_Prec!$AR:$AR,$L$2)</f>
        <v>0</v>
      </c>
      <c r="R223" s="252"/>
      <c r="S223" s="275">
        <f t="shared" si="43"/>
        <v>67.659999999999968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0</v>
      </c>
      <c r="M225" s="252"/>
      <c r="N225" s="275">
        <f t="shared" si="42"/>
        <v>0</v>
      </c>
      <c r="O225" s="252"/>
      <c r="P225" s="41"/>
      <c r="Q225" s="255">
        <f>SUMIFS(BV_Data_An_Prec!$AM:$AM,BV_Data_An_Prec!$AP:$AP,$B225,BV_Data_An_Prec!$AQ:$AQ,$C225,BV_Data_An_Prec!$AR:$AR,$L$2)</f>
        <v>0</v>
      </c>
      <c r="R225" s="252"/>
      <c r="S225" s="275">
        <f t="shared" si="43"/>
        <v>0</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0.11573087426680681</v>
      </c>
      <c r="L230" s="306">
        <f>+SUM(L212:L229)</f>
        <v>17975.780000000002</v>
      </c>
      <c r="M230" s="309"/>
      <c r="N230" s="306">
        <f t="shared" si="42"/>
        <v>17975.780000000002</v>
      </c>
      <c r="O230" s="307" t="s">
        <v>171</v>
      </c>
      <c r="P230" s="305" t="e">
        <f>Q230/Q$195</f>
        <v>#DIV/0!</v>
      </c>
      <c r="Q230" s="306">
        <f>+SUM(Q212:Q229)</f>
        <v>0</v>
      </c>
      <c r="R230" s="309"/>
      <c r="S230" s="306">
        <f t="shared" si="43"/>
        <v>17975.780000000002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0.58018111562683372</v>
      </c>
      <c r="L232" s="306">
        <f>L211+L230</f>
        <v>90116.03999999995</v>
      </c>
      <c r="M232" s="309"/>
      <c r="N232" s="318">
        <f>L232-F232</f>
        <v>90116.03999999995</v>
      </c>
      <c r="O232" s="307" t="s">
        <v>115</v>
      </c>
      <c r="P232" s="305" t="e">
        <f>Q232/Q$195</f>
        <v>#DIV/0!</v>
      </c>
      <c r="Q232" s="306">
        <f>Q211+Q230</f>
        <v>0</v>
      </c>
      <c r="R232" s="309"/>
      <c r="S232" s="318">
        <f>L232-Q232</f>
        <v>90116.03999999995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65207.939999999944</v>
      </c>
      <c r="M234" s="330"/>
      <c r="N234" s="333">
        <f>L234-F234</f>
        <v>65207.939999999944</v>
      </c>
      <c r="O234" s="330"/>
      <c r="P234" s="332"/>
      <c r="Q234" s="333">
        <f>Q195-Q232</f>
        <v>0</v>
      </c>
      <c r="R234" s="330"/>
      <c r="S234" s="333">
        <f>L234-Q234</f>
        <v>65207.939999999944</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Novembre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Novembre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75593.449999999953</v>
      </c>
      <c r="K296" s="351">
        <f t="shared" ref="K296:K305" si="48">IF(J296&lt;=0,0,L296/J296)</f>
        <v>0.34342750595455046</v>
      </c>
      <c r="L296" s="275">
        <f>-SUMIFS(BV_Data_An_Cour!$AM:$AM,BV_Data_An_Cour!$AP:$AP,$B296,BV_Data_An_Cour!$AQ:$AQ,$C296,BV_Data_An_Cour!$AR:$AR,$L$2)</f>
        <v>25960.869999999995</v>
      </c>
      <c r="M296" s="291" t="e">
        <f t="shared" ref="M296:M302" si="49">(+J296-D296)/D296</f>
        <v>#DIV/0!</v>
      </c>
      <c r="N296" s="275">
        <f t="shared" ref="N296:N305" si="50">L296-F296</f>
        <v>25960.869999999995</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25960.869999999995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18809.080000000075</v>
      </c>
      <c r="K298" s="351">
        <f t="shared" si="48"/>
        <v>0.25367482088438731</v>
      </c>
      <c r="L298" s="275">
        <f>-SUMIFS(BV_Data_An_Cour!$AM:$AM,BV_Data_An_Cour!$AP:$AP,$B298,BV_Data_An_Cour!$AQ:$AQ,$C298,BV_Data_An_Cour!$AR:$AR,$L$2)</f>
        <v>4771.3900000001304</v>
      </c>
      <c r="M298" s="291" t="e">
        <f t="shared" si="49"/>
        <v>#DIV/0!</v>
      </c>
      <c r="N298" s="275">
        <f t="shared" si="50"/>
        <v>4771.3900000001304</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4771.3900000001304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14915.470000000001</v>
      </c>
      <c r="K299" s="351">
        <f t="shared" si="48"/>
        <v>0.31665579428606722</v>
      </c>
      <c r="L299" s="275">
        <f>-SUMIFS(BV_Data_An_Cour!$AM:$AM,BV_Data_An_Cour!$AP:$AP,$B299,BV_Data_An_Cour!$AQ:$AQ,$C299,BV_Data_An_Cour!$AR:$AR,$L$2)</f>
        <v>4723.070000000007</v>
      </c>
      <c r="M299" s="291" t="e">
        <f t="shared" si="49"/>
        <v>#DIV/0!</v>
      </c>
      <c r="N299" s="275">
        <f t="shared" si="50"/>
        <v>4723.070000000007</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4723.070000000007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39903.89</v>
      </c>
      <c r="K300" s="351">
        <f t="shared" si="48"/>
        <v>0.28204718888308883</v>
      </c>
      <c r="L300" s="275">
        <f>-SUMIFS(BV_Data_An_Cour!$AM:$AM,BV_Data_An_Cour!$AP:$AP,$B300,BV_Data_An_Cour!$AQ:$AQ,$C300,BV_Data_An_Cour!$AR:$AR,$L$2)</f>
        <v>11254.779999999999</v>
      </c>
      <c r="M300" s="291" t="e">
        <f t="shared" si="49"/>
        <v>#DIV/0!</v>
      </c>
      <c r="N300" s="275">
        <f t="shared" si="50"/>
        <v>11254.779999999999</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11254.779999999999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289807.91000000015</v>
      </c>
      <c r="K301" s="351">
        <f t="shared" si="48"/>
        <v>0.20309783815079549</v>
      </c>
      <c r="L301" s="275">
        <f>-SUMIFS(BV_Data_An_Cour!$AM:$AM,BV_Data_An_Cour!$AP:$AP,$B301,BV_Data_An_Cour!$AQ:$AQ,$C301,BV_Data_An_Cour!$AR:$AR,$L$2)</f>
        <v>58859.360000000335</v>
      </c>
      <c r="M301" s="291" t="e">
        <f t="shared" si="49"/>
        <v>#DIV/0!</v>
      </c>
      <c r="N301" s="275">
        <f t="shared" si="50"/>
        <v>58859.360000000335</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58859.360000000335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2137.0900000000111</v>
      </c>
      <c r="M303" s="291"/>
      <c r="N303" s="275">
        <f t="shared" si="50"/>
        <v>2137.0900000000111</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2137.0900000000111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-1048.6499999999996</v>
      </c>
      <c r="M304" s="291"/>
      <c r="N304" s="275">
        <f t="shared" si="50"/>
        <v>-1048.6499999999996</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-1048.6499999999996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439029.80000000016</v>
      </c>
      <c r="K305" s="405">
        <f t="shared" si="48"/>
        <v>0.24294002366126502</v>
      </c>
      <c r="L305" s="390">
        <f>SUM(L296:L304)</f>
        <v>106657.91000000048</v>
      </c>
      <c r="M305" s="406" t="e">
        <f>(+J305-D305)/D305</f>
        <v>#DIV/0!</v>
      </c>
      <c r="N305" s="390">
        <f t="shared" si="50"/>
        <v>106657.91000000048</v>
      </c>
      <c r="O305" s="388">
        <f t="shared" ref="O305" si="56">SUM(O296:O304)</f>
        <v>0</v>
      </c>
      <c r="P305" s="405">
        <f t="shared" si="51"/>
        <v>0</v>
      </c>
      <c r="Q305" s="390">
        <f>SUM(Q296:Q304)</f>
        <v>0</v>
      </c>
      <c r="R305" s="406">
        <f t="shared" si="52"/>
        <v>0</v>
      </c>
      <c r="S305" s="390">
        <f t="shared" si="53"/>
        <v>106657.91000000048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117957.26000000001</v>
      </c>
      <c r="K308" s="351">
        <f t="shared" ref="K308:K310" si="57">IF(J308&lt;=0,0,L308/J308)</f>
        <v>0.20580810371485397</v>
      </c>
      <c r="L308" s="315">
        <f>-SUMIFS(BV_Data_An_Cour!$AM:$AM,BV_Data_An_Cour!$AP:$AP,$B308,BV_Data_An_Cour!$AQ:$AQ,$C308,BV_Data_An_Cour!$AR:$AR,$L$2)</f>
        <v>24276.559999999998</v>
      </c>
      <c r="M308" s="291" t="e">
        <f>(+J308-D308)/D308</f>
        <v>#DIV/0!</v>
      </c>
      <c r="N308" s="275">
        <f>L308-F308</f>
        <v>24276.559999999998</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24276.559999999998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24425.87999999999</v>
      </c>
      <c r="K309" s="351">
        <f t="shared" si="57"/>
        <v>0.26797970021960266</v>
      </c>
      <c r="L309" s="295">
        <f>-SUMIFS(BV_Data_An_Cour!$AM:$AM,BV_Data_An_Cour!$AP:$AP,$B309,BV_Data_An_Cour!$AQ:$AQ,$C309,BV_Data_An_Cour!$AR:$AR,$L$2)</f>
        <v>6545.6399999999849</v>
      </c>
      <c r="M309" s="291" t="e">
        <f>(+J309-D309)/D309</f>
        <v>#DIV/0!</v>
      </c>
      <c r="N309" s="275">
        <f>L309-F309</f>
        <v>6545.6399999999849</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6545.6399999999849</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581412.94000000018</v>
      </c>
      <c r="K310" s="405">
        <f t="shared" si="57"/>
        <v>0.23645863471838177</v>
      </c>
      <c r="L310" s="390">
        <f>L305+L308+L309</f>
        <v>137480.11000000045</v>
      </c>
      <c r="M310" s="406" t="e">
        <f>(+J310-D310)/D310</f>
        <v>#DIV/0!</v>
      </c>
      <c r="N310" s="390">
        <f>L310-F310</f>
        <v>137480.11000000045</v>
      </c>
      <c r="O310" s="391">
        <f t="shared" ref="O310" si="62">O305+O308+O309</f>
        <v>0</v>
      </c>
      <c r="P310" s="405">
        <f t="shared" si="58"/>
        <v>0</v>
      </c>
      <c r="Q310" s="390">
        <f>Q305+Q308+Q309</f>
        <v>0</v>
      </c>
      <c r="R310" s="406">
        <f t="shared" si="59"/>
        <v>0</v>
      </c>
      <c r="S310" s="390">
        <f t="shared" si="60"/>
        <v>137480.11000000045</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581412.94000000018</v>
      </c>
      <c r="K315" s="408">
        <f>IF(J315&lt;=0,0,L315/J315)</f>
        <v>0.23645863471838177</v>
      </c>
      <c r="L315" s="280">
        <f>L310+L313</f>
        <v>137480.11000000045</v>
      </c>
      <c r="M315" s="409" t="e">
        <f>(+J315-D315)/D315</f>
        <v>#DIV/0!</v>
      </c>
      <c r="N315" s="410">
        <f>L315-F315</f>
        <v>137480.11000000045</v>
      </c>
      <c r="O315" s="281">
        <f t="shared" ref="O315" si="64">O310+O313</f>
        <v>0</v>
      </c>
      <c r="P315" s="408">
        <f>IF(O315&lt;=0,0,Q315/O315)</f>
        <v>0</v>
      </c>
      <c r="Q315" s="280">
        <f>Q310+Q313</f>
        <v>0</v>
      </c>
      <c r="R315" s="409">
        <f>IF(O315=0,0,(J315-O315)/O315)</f>
        <v>0</v>
      </c>
      <c r="S315" s="410">
        <f>L315-Q315</f>
        <v>137480.11000000045</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3974.0800000000017</v>
      </c>
      <c r="M319" s="252"/>
      <c r="N319" s="255">
        <f t="shared" ref="N319:N349" si="65">L319-F319</f>
        <v>3974.0800000000017</v>
      </c>
      <c r="O319" s="252"/>
      <c r="P319" s="41"/>
      <c r="Q319" s="255">
        <f>SUMIFS(BV_Data_An_Prec!$AM:$AM,BV_Data_An_Prec!$AP:$AP,$B319,BV_Data_An_Prec!$AQ:$AQ,$C319,BV_Data_An_Prec!$AR:$AR,$L$2)</f>
        <v>0</v>
      </c>
      <c r="R319" s="252"/>
      <c r="S319" s="255">
        <f t="shared" ref="S319:S349" si="66">L319-Q319</f>
        <v>3974.0800000000017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21165.119999999995</v>
      </c>
      <c r="M321" s="240"/>
      <c r="N321" s="271">
        <f t="shared" si="65"/>
        <v>21165.119999999995</v>
      </c>
      <c r="O321" s="240"/>
      <c r="P321" s="313"/>
      <c r="Q321" s="271">
        <f>SUMIFS(BV_Data_An_Prec!$AM:$AM,BV_Data_An_Prec!$AP:$AP,$B321,BV_Data_An_Prec!$AQ:$AQ,$C321,BV_Data_An_Prec!$AR:$AR,$L$2)</f>
        <v>0</v>
      </c>
      <c r="R321" s="240"/>
      <c r="S321" s="315">
        <f t="shared" si="66"/>
        <v>21165.119999999995</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1164.0400000000009</v>
      </c>
      <c r="M326" s="252"/>
      <c r="N326" s="255">
        <f t="shared" si="65"/>
        <v>1164.0400000000009</v>
      </c>
      <c r="O326" s="252"/>
      <c r="P326" s="41"/>
      <c r="Q326" s="255">
        <f>SUMIFS(BV_Data_An_Prec!$AM:$AM,BV_Data_An_Prec!$AP:$AP,$B326,BV_Data_An_Prec!$AQ:$AQ,$C326,BV_Data_An_Prec!$AR:$AR,$L$2)</f>
        <v>0</v>
      </c>
      <c r="R326" s="252"/>
      <c r="S326" s="275">
        <f t="shared" si="66"/>
        <v>1164.0400000000009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2251.5400000000009</v>
      </c>
      <c r="M327" s="240"/>
      <c r="N327" s="271">
        <f t="shared" si="65"/>
        <v>2251.5400000000009</v>
      </c>
      <c r="O327" s="240"/>
      <c r="P327" s="313"/>
      <c r="Q327" s="271">
        <f>SUMIFS(BV_Data_An_Prec!$AM:$AM,BV_Data_An_Prec!$AP:$AP,$B327,BV_Data_An_Prec!$AQ:$AQ,$C327,BV_Data_An_Prec!$AR:$AR,$L$2)</f>
        <v>0</v>
      </c>
      <c r="R327" s="240"/>
      <c r="S327" s="315">
        <f t="shared" si="66"/>
        <v>2251.5400000000009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345.67999999999984</v>
      </c>
      <c r="M328" s="252"/>
      <c r="N328" s="255">
        <f t="shared" si="65"/>
        <v>345.67999999999984</v>
      </c>
      <c r="O328" s="252"/>
      <c r="P328" s="41"/>
      <c r="Q328" s="255">
        <f>SUMIFS(BV_Data_An_Prec!$AM:$AM,BV_Data_An_Prec!$AP:$AP,$B328,BV_Data_An_Prec!$AQ:$AQ,$C328,BV_Data_An_Prec!$AR:$AR,$L$2)</f>
        <v>0</v>
      </c>
      <c r="R328" s="252"/>
      <c r="S328" s="275">
        <f t="shared" si="66"/>
        <v>345.67999999999984</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0.21021557227441776</v>
      </c>
      <c r="L331" s="306">
        <f>+SUM(L319:L330)</f>
        <v>28900.46</v>
      </c>
      <c r="M331" s="353"/>
      <c r="N331" s="318">
        <f t="shared" si="65"/>
        <v>28900.46</v>
      </c>
      <c r="O331" s="307" t="s">
        <v>115</v>
      </c>
      <c r="P331" s="305" t="e">
        <f>Q331/Q$315</f>
        <v>#DIV/0!</v>
      </c>
      <c r="Q331" s="306">
        <f>+SUM(Q319:Q330)</f>
        <v>0</v>
      </c>
      <c r="R331" s="353"/>
      <c r="S331" s="318">
        <f t="shared" si="66"/>
        <v>28900.46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20192.890000000014</v>
      </c>
      <c r="M332" s="252"/>
      <c r="N332" s="275">
        <f t="shared" si="65"/>
        <v>20192.890000000014</v>
      </c>
      <c r="O332" s="252"/>
      <c r="P332" s="41"/>
      <c r="Q332" s="275">
        <f>SUMIFS(BV_Data_An_Prec!$AM:$AM,BV_Data_An_Prec!$AP:$AP,$B332,BV_Data_An_Prec!$AQ:$AQ,$C332,BV_Data_An_Prec!$AR:$AR,$L$2)</f>
        <v>0</v>
      </c>
      <c r="R332" s="252"/>
      <c r="S332" s="275">
        <f t="shared" si="66"/>
        <v>20192.890000000014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31.600000000000136</v>
      </c>
      <c r="M334" s="245"/>
      <c r="N334" s="295">
        <f t="shared" si="65"/>
        <v>31.600000000000136</v>
      </c>
      <c r="O334" s="245"/>
      <c r="P334" s="316"/>
      <c r="Q334" s="295">
        <f>SUMIFS(BV_Data_An_Prec!$AM:$AM,BV_Data_An_Prec!$AP:$AP,$B334,BV_Data_An_Prec!$AQ:$AQ,$C334,BV_Data_An_Prec!$AR:$AR,$L$2)</f>
        <v>0</v>
      </c>
      <c r="R334" s="245"/>
      <c r="S334" s="295">
        <f t="shared" si="66"/>
        <v>31.600000000000136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1781.4099999999999</v>
      </c>
      <c r="M335" s="252"/>
      <c r="N335" s="275">
        <f t="shared" si="65"/>
        <v>1781.4099999999999</v>
      </c>
      <c r="O335" s="252"/>
      <c r="P335" s="41"/>
      <c r="Q335" s="275">
        <f>SUMIFS(BV_Data_An_Prec!$AM:$AM,BV_Data_An_Prec!$AP:$AP,$B335,BV_Data_An_Prec!$AQ:$AQ,$C335,BV_Data_An_Prec!$AR:$AR,$L$2)</f>
        <v>0</v>
      </c>
      <c r="R335" s="252"/>
      <c r="S335" s="275">
        <f t="shared" si="66"/>
        <v>1781.4099999999999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562.67000000000007</v>
      </c>
      <c r="M336" s="252"/>
      <c r="N336" s="275">
        <f t="shared" si="65"/>
        <v>562.67000000000007</v>
      </c>
      <c r="O336" s="252"/>
      <c r="P336" s="41"/>
      <c r="Q336" s="275">
        <f>SUMIFS(BV_Data_An_Prec!$AM:$AM,BV_Data_An_Prec!$AP:$AP,$B336,BV_Data_An_Prec!$AQ:$AQ,$C336,BV_Data_An_Prec!$AR:$AR,$L$2)</f>
        <v>0</v>
      </c>
      <c r="R336" s="252"/>
      <c r="S336" s="275">
        <f t="shared" si="66"/>
        <v>562.67000000000007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17736.34</v>
      </c>
      <c r="M337" s="245"/>
      <c r="N337" s="295">
        <f t="shared" si="65"/>
        <v>17736.34</v>
      </c>
      <c r="O337" s="245"/>
      <c r="P337" s="316"/>
      <c r="Q337" s="295">
        <f>SUMIFS(BV_Data_An_Prec!$AM:$AM,BV_Data_An_Prec!$AP:$AP,$B337,BV_Data_An_Prec!$AQ:$AQ,$C337,BV_Data_An_Prec!$AR:$AR,$L$2)</f>
        <v>0</v>
      </c>
      <c r="R337" s="245"/>
      <c r="S337" s="295">
        <f t="shared" si="66"/>
        <v>17736.34</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169.44000000000051</v>
      </c>
      <c r="M341" s="252"/>
      <c r="N341" s="275">
        <f t="shared" si="65"/>
        <v>169.44000000000051</v>
      </c>
      <c r="O341" s="252"/>
      <c r="P341" s="41"/>
      <c r="Q341" s="275">
        <f>SUMIFS(BV_Data_An_Prec!$AM:$AM,BV_Data_An_Prec!$AP:$AP,$B341,BV_Data_An_Prec!$AQ:$AQ,$C341,BV_Data_An_Prec!$AR:$AR,$L$2)</f>
        <v>0</v>
      </c>
      <c r="R341" s="252"/>
      <c r="S341" s="275">
        <f t="shared" si="66"/>
        <v>169.44000000000051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100.10000000000002</v>
      </c>
      <c r="M342" s="252"/>
      <c r="N342" s="275">
        <f t="shared" si="65"/>
        <v>100.10000000000002</v>
      </c>
      <c r="O342" s="252"/>
      <c r="P342" s="41"/>
      <c r="Q342" s="275">
        <f>SUMIFS(BV_Data_An_Prec!$AM:$AM,BV_Data_An_Prec!$AP:$AP,$B342,BV_Data_An_Prec!$AQ:$AQ,$C342,BV_Data_An_Prec!$AR:$AR,$L$2)</f>
        <v>0</v>
      </c>
      <c r="R342" s="252"/>
      <c r="S342" s="275">
        <f t="shared" si="66"/>
        <v>100.10000000000002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40</v>
      </c>
      <c r="M344" s="252"/>
      <c r="N344" s="275">
        <f t="shared" si="65"/>
        <v>40</v>
      </c>
      <c r="O344" s="252"/>
      <c r="P344" s="41"/>
      <c r="Q344" s="275">
        <f>SUMIFS(BV_Data_An_Prec!$AM:$AM,BV_Data_An_Prec!$AP:$AP,$B344,BV_Data_An_Prec!$AQ:$AQ,$C344,BV_Data_An_Prec!$AR:$AR,$L$2)</f>
        <v>0</v>
      </c>
      <c r="R344" s="252"/>
      <c r="S344" s="275">
        <f t="shared" si="66"/>
        <v>40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0.2954205521075004</v>
      </c>
      <c r="L350" s="306">
        <f>+SUM(L332:L349)</f>
        <v>40614.450000000019</v>
      </c>
      <c r="M350" s="309"/>
      <c r="N350" s="306">
        <f>+SUM(N332:N349)</f>
        <v>40614.450000000019</v>
      </c>
      <c r="O350" s="307" t="s">
        <v>115</v>
      </c>
      <c r="P350" s="305" t="e">
        <f>Q350/Q$315</f>
        <v>#DIV/0!</v>
      </c>
      <c r="Q350" s="306">
        <f>+SUM(Q332:Q349)</f>
        <v>0</v>
      </c>
      <c r="R350" s="309"/>
      <c r="S350" s="306">
        <f>+SUM(S332:S349)</f>
        <v>40614.450000000019</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0.50563612438191818</v>
      </c>
      <c r="L352" s="306">
        <f>L331+L350</f>
        <v>69514.910000000018</v>
      </c>
      <c r="M352" s="309"/>
      <c r="N352" s="318">
        <f>L352-F352</f>
        <v>69514.910000000018</v>
      </c>
      <c r="O352" s="307" t="s">
        <v>115</v>
      </c>
      <c r="P352" s="305" t="e">
        <f>Q352/Q$315</f>
        <v>#DIV/0!</v>
      </c>
      <c r="Q352" s="306">
        <f>Q331+Q350</f>
        <v>0</v>
      </c>
      <c r="R352" s="309"/>
      <c r="S352" s="318">
        <f>L352-Q352</f>
        <v>69514.910000000018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67965.200000000434</v>
      </c>
      <c r="M354" s="330"/>
      <c r="N354" s="333">
        <f>L354-F354</f>
        <v>67965.200000000434</v>
      </c>
      <c r="O354" s="330"/>
      <c r="P354" s="332"/>
      <c r="Q354" s="333">
        <f>Q315-Q352</f>
        <v>0</v>
      </c>
      <c r="R354" s="330"/>
      <c r="S354" s="333">
        <f>L354-Q354</f>
        <v>67965.200000000434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Novembre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292804.09000000032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133173.14000000036</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Novembre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4366212.6000000006</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0.14273407804283275</v>
      </c>
      <c r="AE408" s="449"/>
      <c r="AF408" s="447">
        <f>L27+L109+L195+L251+L315+L363</f>
        <v>623207.32999999973</v>
      </c>
      <c r="AG408" s="448"/>
      <c r="AH408" s="449">
        <f>AF408-Z408</f>
        <v>623207.32999999973</v>
      </c>
      <c r="AI408" s="450" t="e">
        <f>AH408/Z408</f>
        <v>#DIV/0!</v>
      </c>
      <c r="AJ408" s="884" t="e">
        <f>AL408/AL407</f>
        <v>#DIV/0!</v>
      </c>
      <c r="AK408" s="449"/>
      <c r="AL408" s="447">
        <f>Q27+Q109+Q195+Q251+Q315+Q363</f>
        <v>0</v>
      </c>
      <c r="AM408" s="451"/>
      <c r="AN408" s="449">
        <f>AF408-AL408</f>
        <v>623207.32999999973</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848.91276315789503</v>
      </c>
      <c r="AF410" s="455">
        <f t="shared" ref="AF410:AF416" si="73">+SUMIF($C:$C,$V410,L:L)</f>
        <v>64517.370000000024</v>
      </c>
      <c r="AG410" s="456" t="e">
        <f t="shared" ref="AG410:AG419" si="74">AE410-Y410</f>
        <v>#DIV/0!</v>
      </c>
      <c r="AH410" s="457">
        <f t="shared" ref="AH410:AH419" si="75">AF410-Z410</f>
        <v>64517.370000000024</v>
      </c>
      <c r="AI410" s="458">
        <f t="shared" ref="AI410:AI419" si="76">IF(Z410=0,0,AH410/Z410)</f>
        <v>0</v>
      </c>
      <c r="AJ410" s="463"/>
      <c r="AK410" s="462">
        <f t="shared" ref="AK410:AK415" si="77">IF(AL410=0,0,AL410/(P$13+P$97))</f>
        <v>0</v>
      </c>
      <c r="AL410" s="455">
        <f>SUMIFS(BV_Data_An_Prec!$AM:$AM,BV_Data_An_Prec!$AQ:$AQ,$V410)</f>
        <v>0</v>
      </c>
      <c r="AM410" s="459">
        <f>AE410-AK410</f>
        <v>848.91276315789503</v>
      </c>
      <c r="AN410" s="457">
        <f t="shared" ref="AN410:AN432" si="78">AF410-AL410</f>
        <v>64517.370000000024</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456.00552631578927</v>
      </c>
      <c r="AF411" s="439">
        <f t="shared" si="73"/>
        <v>34656.419999999984</v>
      </c>
      <c r="AG411" s="440" t="e">
        <f t="shared" si="74"/>
        <v>#DIV/0!</v>
      </c>
      <c r="AH411" s="441">
        <f t="shared" si="75"/>
        <v>34656.419999999984</v>
      </c>
      <c r="AI411" s="468">
        <f t="shared" si="76"/>
        <v>0</v>
      </c>
      <c r="AJ411" s="467"/>
      <c r="AK411" s="466">
        <f t="shared" si="77"/>
        <v>0</v>
      </c>
      <c r="AL411" s="439">
        <f>SUMIFS(BV_Data_An_Prec!$AM:$AM,BV_Data_An_Prec!$AQ:$AQ,$V411)</f>
        <v>0</v>
      </c>
      <c r="AM411" s="459">
        <f t="shared" ref="AM411:AM416" si="80">AE411-AK411</f>
        <v>456.00552631578927</v>
      </c>
      <c r="AN411" s="441">
        <f t="shared" si="78"/>
        <v>34656.419999999984</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-13.842499999999985</v>
      </c>
      <c r="AF412" s="455">
        <f t="shared" si="73"/>
        <v>-1052.0299999999988</v>
      </c>
      <c r="AG412" s="456" t="e">
        <f t="shared" si="74"/>
        <v>#DIV/0!</v>
      </c>
      <c r="AH412" s="457">
        <f t="shared" si="75"/>
        <v>-1052.0299999999988</v>
      </c>
      <c r="AI412" s="458">
        <f t="shared" si="76"/>
        <v>0</v>
      </c>
      <c r="AJ412" s="463"/>
      <c r="AK412" s="462">
        <f t="shared" si="77"/>
        <v>0</v>
      </c>
      <c r="AL412" s="455">
        <f>SUMIFS(BV_Data_An_Prec!$AM:$AM,BV_Data_An_Prec!$AQ:$AQ,$V412)</f>
        <v>0</v>
      </c>
      <c r="AM412" s="459">
        <f t="shared" si="80"/>
        <v>-13.842499999999985</v>
      </c>
      <c r="AN412" s="457">
        <f t="shared" si="78"/>
        <v>-1052.0299999999988</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2.5214473684210539</v>
      </c>
      <c r="AF414" s="439">
        <f t="shared" si="73"/>
        <v>191.63000000000011</v>
      </c>
      <c r="AG414" s="440" t="e">
        <f t="shared" si="74"/>
        <v>#DIV/0!</v>
      </c>
      <c r="AH414" s="441">
        <f t="shared" si="75"/>
        <v>191.63000000000011</v>
      </c>
      <c r="AI414" s="468">
        <f t="shared" si="76"/>
        <v>0</v>
      </c>
      <c r="AJ414" s="467"/>
      <c r="AK414" s="466">
        <f t="shared" si="77"/>
        <v>0</v>
      </c>
      <c r="AL414" s="439">
        <f>SUMIFS(BV_Data_An_Prec!$AM:$AM,BV_Data_An_Prec!$AQ:$AQ,$V414)</f>
        <v>0</v>
      </c>
      <c r="AM414" s="459">
        <f t="shared" si="80"/>
        <v>2.5214473684210539</v>
      </c>
      <c r="AN414" s="441">
        <f t="shared" si="78"/>
        <v>191.63000000000011</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320.20973684210509</v>
      </c>
      <c r="AF415" s="455">
        <f t="shared" si="73"/>
        <v>24335.939999999988</v>
      </c>
      <c r="AG415" s="456" t="e">
        <f t="shared" si="74"/>
        <v>#DIV/0!</v>
      </c>
      <c r="AH415" s="457">
        <f t="shared" si="75"/>
        <v>24335.939999999988</v>
      </c>
      <c r="AI415" s="458">
        <f t="shared" si="76"/>
        <v>0</v>
      </c>
      <c r="AJ415" s="463"/>
      <c r="AK415" s="462">
        <f t="shared" si="77"/>
        <v>0</v>
      </c>
      <c r="AL415" s="455">
        <f>SUMIFS(BV_Data_An_Prec!$AM:$AM,BV_Data_An_Prec!$AQ:$AQ,$V415)</f>
        <v>0</v>
      </c>
      <c r="AM415" s="459">
        <f t="shared" si="80"/>
        <v>320.20973684210509</v>
      </c>
      <c r="AN415" s="457">
        <f t="shared" si="78"/>
        <v>24335.939999999988</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250.04438461538453</v>
      </c>
      <c r="AF416" s="455">
        <f t="shared" si="73"/>
        <v>32505.76999999999</v>
      </c>
      <c r="AG416" s="830" t="e">
        <f t="shared" si="74"/>
        <v>#DIV/0!</v>
      </c>
      <c r="AH416" s="778">
        <f t="shared" si="75"/>
        <v>32505.76999999999</v>
      </c>
      <c r="AI416" s="458">
        <f t="shared" si="76"/>
        <v>0</v>
      </c>
      <c r="AJ416" s="463"/>
      <c r="AK416" s="462">
        <f t="shared" ref="AK416:AK419" si="82">IF(AL416=0,0,AL416/(P$13+P$13))</f>
        <v>0</v>
      </c>
      <c r="AL416" s="455">
        <f>SUMIFS(BV_Data_An_Prec!$AM:$AM,BV_Data_An_Prec!$AQ:$AQ,$V416)</f>
        <v>0</v>
      </c>
      <c r="AM416" s="459">
        <f t="shared" si="80"/>
        <v>250.04438461538453</v>
      </c>
      <c r="AN416" s="457">
        <f t="shared" si="78"/>
        <v>32505.76999999999</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0.24896225145490514</v>
      </c>
      <c r="AE420" s="470"/>
      <c r="AF420" s="472">
        <f>SUM(AF410:AF419)</f>
        <v>155155.09999999998</v>
      </c>
      <c r="AG420" s="474"/>
      <c r="AH420" s="475">
        <f t="shared" ref="AH420:AH452" si="84">AF420-Z420</f>
        <v>155155.09999999998</v>
      </c>
      <c r="AI420" s="471" t="e">
        <f>AH420/Z420</f>
        <v>#DIV/0!</v>
      </c>
      <c r="AJ420" s="473" t="e">
        <f>AL420/AL408</f>
        <v>#DIV/0!</v>
      </c>
      <c r="AK420" s="470"/>
      <c r="AL420" s="1038">
        <f>SUM(AL410:AL419)</f>
        <v>0</v>
      </c>
      <c r="AM420" s="476"/>
      <c r="AN420" s="475">
        <f t="shared" si="78"/>
        <v>155155.09999999998</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46073.739999999962</v>
      </c>
      <c r="AG422" s="456"/>
      <c r="AH422" s="457">
        <f t="shared" si="84"/>
        <v>46073.739999999962</v>
      </c>
      <c r="AI422" s="458">
        <f t="shared" si="85"/>
        <v>0</v>
      </c>
      <c r="AJ422" s="463"/>
      <c r="AK422" s="462"/>
      <c r="AL422" s="455">
        <f>SUMIFS(BV_Data_An_Prec!$AM:$AM,BV_Data_An_Prec!$AQ:$AQ,$V422)</f>
        <v>0</v>
      </c>
      <c r="AM422" s="459"/>
      <c r="AN422" s="457">
        <f t="shared" si="78"/>
        <v>46073.739999999962</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80827.229999999952</v>
      </c>
      <c r="AG424" s="456"/>
      <c r="AH424" s="457">
        <f t="shared" si="84"/>
        <v>80827.229999999952</v>
      </c>
      <c r="AI424" s="458">
        <f t="shared" si="85"/>
        <v>0</v>
      </c>
      <c r="AJ424" s="463"/>
      <c r="AK424" s="462"/>
      <c r="AL424" s="455">
        <f>SUMIFS(BV_Data_An_Prec!$AM:$AM,BV_Data_An_Prec!$AQ:$AQ,$V424)</f>
        <v>0</v>
      </c>
      <c r="AM424" s="459"/>
      <c r="AN424" s="457">
        <f t="shared" si="78"/>
        <v>80827.229999999952</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16103.009999999998</v>
      </c>
      <c r="AG429" s="440"/>
      <c r="AH429" s="441">
        <f t="shared" si="84"/>
        <v>16103.009999999998</v>
      </c>
      <c r="AI429" s="468">
        <f t="shared" si="85"/>
        <v>0</v>
      </c>
      <c r="AJ429" s="467"/>
      <c r="AK429" s="466"/>
      <c r="AL429" s="439">
        <f>SUMIFS(BV_Data_An_Prec!$AM:$AM,BV_Data_An_Prec!$AQ:$AQ,$V429)</f>
        <v>0</v>
      </c>
      <c r="AM429" s="443"/>
      <c r="AN429" s="441">
        <f t="shared" si="78"/>
        <v>16103.009999999998</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20737.480000000018</v>
      </c>
      <c r="AG430" s="456"/>
      <c r="AH430" s="457">
        <f t="shared" si="84"/>
        <v>20737.480000000018</v>
      </c>
      <c r="AI430" s="458">
        <f t="shared" si="85"/>
        <v>0</v>
      </c>
      <c r="AJ430" s="463"/>
      <c r="AK430" s="462"/>
      <c r="AL430" s="455">
        <f>SUMIFS(BV_Data_An_Prec!$AM:$AM,BV_Data_An_Prec!$AQ:$AQ,$V430)</f>
        <v>0</v>
      </c>
      <c r="AM430" s="459"/>
      <c r="AN430" s="457">
        <f t="shared" si="78"/>
        <v>20737.480000000018</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3329.38</v>
      </c>
      <c r="AG431" s="456"/>
      <c r="AH431" s="457">
        <f t="shared" si="84"/>
        <v>3329.38</v>
      </c>
      <c r="AI431" s="458">
        <f t="shared" si="85"/>
        <v>0</v>
      </c>
      <c r="AJ431" s="463"/>
      <c r="AK431" s="462"/>
      <c r="AL431" s="455">
        <f>SUMIFS(BV_Data_An_Prec!$AM:$AM,BV_Data_An_Prec!$AQ:$AQ,$V431)</f>
        <v>0</v>
      </c>
      <c r="AM431" s="459"/>
      <c r="AN431" s="457">
        <f t="shared" si="78"/>
        <v>3329.38</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0.26808227688849556</v>
      </c>
      <c r="AE434" s="478"/>
      <c r="AF434" s="472">
        <f>SUM(AF421:AF433)</f>
        <v>167070.83999999994</v>
      </c>
      <c r="AG434" s="474"/>
      <c r="AH434" s="475">
        <f t="shared" si="84"/>
        <v>167070.83999999994</v>
      </c>
      <c r="AI434" s="471" t="e">
        <f>AH434/Z434</f>
        <v>#DIV/0!</v>
      </c>
      <c r="AJ434" s="473" t="e">
        <f>AL434/AL408</f>
        <v>#DIV/0!</v>
      </c>
      <c r="AK434" s="478"/>
      <c r="AL434" s="1038">
        <f>SUM(AL421:AL433)</f>
        <v>0</v>
      </c>
      <c r="AM434" s="480"/>
      <c r="AN434" s="475">
        <f t="shared" ref="AN434:AN452" si="87">AF434-AL434</f>
        <v>167070.83999999994</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20192.890000000014</v>
      </c>
      <c r="AG435" s="484"/>
      <c r="AH435" s="486">
        <f t="shared" si="84"/>
        <v>20192.890000000014</v>
      </c>
      <c r="AI435" s="487">
        <f t="shared" ref="AI435:AI452" si="91">IF(Z435=0,0,AH435/Z435)</f>
        <v>0</v>
      </c>
      <c r="AJ435" s="484"/>
      <c r="AK435" s="485"/>
      <c r="AL435" s="483">
        <f>SUMIFS(BV_Data_An_Prec!$AM:$AM,BV_Data_An_Prec!$AQ:$AQ,$V435)</f>
        <v>0</v>
      </c>
      <c r="AM435" s="488"/>
      <c r="AN435" s="486">
        <f t="shared" si="87"/>
        <v>20192.890000000014</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7268.9300000000021</v>
      </c>
      <c r="AG437" s="440"/>
      <c r="AH437" s="441">
        <f t="shared" si="84"/>
        <v>7268.9300000000021</v>
      </c>
      <c r="AI437" s="468">
        <f t="shared" si="91"/>
        <v>0</v>
      </c>
      <c r="AJ437" s="467"/>
      <c r="AK437" s="466"/>
      <c r="AL437" s="439">
        <f>SUMIFS(BV_Data_An_Prec!$AM:$AM,BV_Data_An_Prec!$AQ:$AQ,$V437)</f>
        <v>0</v>
      </c>
      <c r="AM437" s="443"/>
      <c r="AN437" s="441">
        <f t="shared" si="87"/>
        <v>7268.9300000000021</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5739.7699999999986</v>
      </c>
      <c r="AG438" s="456"/>
      <c r="AH438" s="457">
        <f t="shared" si="84"/>
        <v>5739.7699999999986</v>
      </c>
      <c r="AI438" s="458">
        <f t="shared" si="91"/>
        <v>0</v>
      </c>
      <c r="AJ438" s="463"/>
      <c r="AK438" s="462"/>
      <c r="AL438" s="455">
        <f>SUMIFS(BV_Data_An_Prec!$AM:$AM,BV_Data_An_Prec!$AQ:$AQ,$V438)</f>
        <v>0</v>
      </c>
      <c r="AM438" s="459"/>
      <c r="AN438" s="457">
        <f t="shared" si="87"/>
        <v>5739.7699999999986</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2502.8600000000006</v>
      </c>
      <c r="AG439" s="456"/>
      <c r="AH439" s="457">
        <f t="shared" si="84"/>
        <v>2502.8600000000006</v>
      </c>
      <c r="AI439" s="458">
        <f t="shared" si="91"/>
        <v>0</v>
      </c>
      <c r="AJ439" s="463"/>
      <c r="AK439" s="462"/>
      <c r="AL439" s="455">
        <f>SUMIFS(BV_Data_An_Prec!$AM:$AM,BV_Data_An_Prec!$AQ:$AQ,$V439)</f>
        <v>0</v>
      </c>
      <c r="AM439" s="459"/>
      <c r="AN439" s="457">
        <f t="shared" si="87"/>
        <v>2502.8600000000006</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23128.800000000003</v>
      </c>
      <c r="AG440" s="456"/>
      <c r="AH440" s="457">
        <f t="shared" si="84"/>
        <v>23128.800000000003</v>
      </c>
      <c r="AI440" s="458">
        <f t="shared" si="91"/>
        <v>0</v>
      </c>
      <c r="AJ440" s="463"/>
      <c r="AK440" s="462"/>
      <c r="AL440" s="455">
        <f>SUMIFS(BV_Data_An_Prec!$AM:$AM,BV_Data_An_Prec!$AQ:$AQ,$V440)</f>
        <v>0</v>
      </c>
      <c r="AM440" s="459"/>
      <c r="AN440" s="457">
        <f t="shared" si="87"/>
        <v>23128.800000000003</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7657.0500000000029</v>
      </c>
      <c r="AG441" s="490"/>
      <c r="AH441" s="486">
        <f t="shared" si="84"/>
        <v>7657.0500000000029</v>
      </c>
      <c r="AI441" s="487">
        <f t="shared" si="91"/>
        <v>0</v>
      </c>
      <c r="AJ441" s="484"/>
      <c r="AK441" s="485"/>
      <c r="AL441" s="483">
        <f>SUMIFS(BV_Data_An_Prec!$AM:$AM,BV_Data_An_Prec!$AQ:$AQ,$V441)</f>
        <v>0</v>
      </c>
      <c r="AM441" s="488"/>
      <c r="AN441" s="486">
        <f t="shared" si="87"/>
        <v>7657.0500000000029</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620.97999999999956</v>
      </c>
      <c r="AG443" s="456"/>
      <c r="AH443" s="457">
        <f t="shared" si="84"/>
        <v>620.97999999999956</v>
      </c>
      <c r="AI443" s="477">
        <f t="shared" si="91"/>
        <v>0</v>
      </c>
      <c r="AJ443" s="463"/>
      <c r="AK443" s="462"/>
      <c r="AL443" s="455">
        <f>SUMIFS(BV_Data_An_Prec!$AM:$AM,BV_Data_An_Prec!$AQ:$AQ,$V443)</f>
        <v>0</v>
      </c>
      <c r="AM443" s="459"/>
      <c r="AN443" s="457">
        <f t="shared" si="87"/>
        <v>620.97999999999956</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1379.3899999999994</v>
      </c>
      <c r="AG444" s="456"/>
      <c r="AH444" s="457">
        <f t="shared" si="84"/>
        <v>1379.3899999999994</v>
      </c>
      <c r="AI444" s="458">
        <f t="shared" si="91"/>
        <v>0</v>
      </c>
      <c r="AJ444" s="463"/>
      <c r="AK444" s="462"/>
      <c r="AL444" s="455">
        <f>SUMIFS(BV_Data_An_Prec!$AM:$AM,BV_Data_An_Prec!$AQ:$AQ,$V444)</f>
        <v>0</v>
      </c>
      <c r="AM444" s="459"/>
      <c r="AN444" s="457">
        <f t="shared" si="87"/>
        <v>1379.3899999999994</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400.39000000000021</v>
      </c>
      <c r="AG445" s="456"/>
      <c r="AH445" s="457">
        <f t="shared" si="84"/>
        <v>400.39000000000021</v>
      </c>
      <c r="AI445" s="477">
        <f t="shared" si="91"/>
        <v>0</v>
      </c>
      <c r="AJ445" s="463"/>
      <c r="AK445" s="462"/>
      <c r="AL445" s="455">
        <f>SUMIFS(BV_Data_An_Prec!$AM:$AM,BV_Data_An_Prec!$AQ:$AQ,$V445)</f>
        <v>0</v>
      </c>
      <c r="AM445" s="459"/>
      <c r="AN445" s="457">
        <f t="shared" si="87"/>
        <v>400.39000000000021</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220.34000000000003</v>
      </c>
      <c r="AG446" s="456"/>
      <c r="AH446" s="457">
        <f t="shared" si="84"/>
        <v>220.34000000000003</v>
      </c>
      <c r="AI446" s="458">
        <f t="shared" si="91"/>
        <v>0</v>
      </c>
      <c r="AJ446" s="463"/>
      <c r="AK446" s="462"/>
      <c r="AL446" s="455">
        <f>SUMIFS(BV_Data_An_Prec!$AM:$AM,BV_Data_An_Prec!$AQ:$AQ,$V446)</f>
        <v>0</v>
      </c>
      <c r="AM446" s="459"/>
      <c r="AN446" s="457">
        <f t="shared" si="87"/>
        <v>220.34000000000003</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913</v>
      </c>
      <c r="AG447" s="456"/>
      <c r="AH447" s="457">
        <f t="shared" si="84"/>
        <v>913</v>
      </c>
      <c r="AI447" s="477">
        <f t="shared" si="91"/>
        <v>0</v>
      </c>
      <c r="AJ447" s="463"/>
      <c r="AK447" s="462"/>
      <c r="AL447" s="455">
        <f>SUMIFS(BV_Data_An_Prec!$AM:$AM,BV_Data_An_Prec!$AQ:$AQ,$V447)</f>
        <v>0</v>
      </c>
      <c r="AM447" s="459"/>
      <c r="AN447" s="457">
        <f t="shared" si="87"/>
        <v>913</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0</v>
      </c>
      <c r="AG448" s="456"/>
      <c r="AH448" s="457">
        <f t="shared" si="84"/>
        <v>0</v>
      </c>
      <c r="AI448" s="458">
        <f t="shared" si="91"/>
        <v>0</v>
      </c>
      <c r="AJ448" s="463"/>
      <c r="AK448" s="462"/>
      <c r="AL448" s="455">
        <f>SUMIFS(BV_Data_An_Prec!$AM:$AM,BV_Data_An_Prec!$AQ:$AQ,$V448)</f>
        <v>0</v>
      </c>
      <c r="AM448" s="459"/>
      <c r="AN448" s="457">
        <f t="shared" si="87"/>
        <v>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8042.7599999999948</v>
      </c>
      <c r="AG449" s="456"/>
      <c r="AH449" s="778">
        <f t="shared" si="84"/>
        <v>8042.7599999999948</v>
      </c>
      <c r="AI449" s="458">
        <f t="shared" si="91"/>
        <v>0</v>
      </c>
      <c r="AJ449" s="463"/>
      <c r="AK449" s="462"/>
      <c r="AL449" s="455">
        <f>SUMIFS(BV_Data_An_Prec!$AM:$AM,BV_Data_An_Prec!$AQ:$AQ,$V449)</f>
        <v>0</v>
      </c>
      <c r="AM449" s="459"/>
      <c r="AN449" s="457">
        <f t="shared" si="87"/>
        <v>8042.7599999999948</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0.12526675512625957</v>
      </c>
      <c r="AE453" s="470"/>
      <c r="AF453" s="472">
        <f>+SUM(AF435:AF452)</f>
        <v>78067.16</v>
      </c>
      <c r="AG453" s="479"/>
      <c r="AH453" s="492">
        <f>+SUM(AH435:AH452)</f>
        <v>78067.16</v>
      </c>
      <c r="AI453" s="471" t="e">
        <f>AH453/Z453</f>
        <v>#DIV/0!</v>
      </c>
      <c r="AJ453" s="473" t="e">
        <f>AL453/AL408</f>
        <v>#DIV/0!</v>
      </c>
      <c r="AK453" s="470"/>
      <c r="AL453" s="472">
        <f>+SUM(AL435:AL452)</f>
        <v>0</v>
      </c>
      <c r="AM453" s="480"/>
      <c r="AN453" s="475">
        <f>+SUM(AN435:AN452)</f>
        <v>78067.16</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44314.719999999958</v>
      </c>
      <c r="AG455" s="456"/>
      <c r="AH455" s="457">
        <f t="shared" si="92"/>
        <v>44314.719999999958</v>
      </c>
      <c r="AI455" s="458">
        <f t="shared" si="93"/>
        <v>0</v>
      </c>
      <c r="AJ455" s="463"/>
      <c r="AK455" s="462"/>
      <c r="AL455" s="455">
        <f>SUMIFS(BV_Data_An_Prec!$AM:$AM,BV_Data_An_Prec!$AQ:$AQ,$V455)</f>
        <v>0</v>
      </c>
      <c r="AM455" s="459"/>
      <c r="AN455" s="457">
        <f t="shared" si="94"/>
        <v>44314.719999999958</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2921.600000000004</v>
      </c>
      <c r="AG458" s="440"/>
      <c r="AH458" s="441">
        <f t="shared" si="92"/>
        <v>2921.600000000004</v>
      </c>
      <c r="AI458" s="468">
        <f t="shared" si="93"/>
        <v>0</v>
      </c>
      <c r="AJ458" s="467"/>
      <c r="AK458" s="466"/>
      <c r="AL458" s="439">
        <f>SUMIFS(BV_Data_An_Prec!$AM:$AM,BV_Data_An_Prec!$AQ:$AQ,$V458)</f>
        <v>0</v>
      </c>
      <c r="AM458" s="443"/>
      <c r="AN458" s="441">
        <f t="shared" si="94"/>
        <v>2921.600000000004</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8188.91</v>
      </c>
      <c r="AG459" s="456"/>
      <c r="AH459" s="457">
        <f t="shared" si="92"/>
        <v>8188.91</v>
      </c>
      <c r="AI459" s="458">
        <f t="shared" si="93"/>
        <v>0</v>
      </c>
      <c r="AJ459" s="463"/>
      <c r="AK459" s="462"/>
      <c r="AL459" s="455">
        <f>SUMIFS(BV_Data_An_Prec!$AM:$AM,BV_Data_An_Prec!$AQ:$AQ,$V459)</f>
        <v>0</v>
      </c>
      <c r="AM459" s="459"/>
      <c r="AN459" s="457">
        <f t="shared" si="94"/>
        <v>8188.91</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2393.7200000000003</v>
      </c>
      <c r="AG460" s="456"/>
      <c r="AH460" s="457">
        <f t="shared" si="92"/>
        <v>2393.7200000000003</v>
      </c>
      <c r="AI460" s="458">
        <f t="shared" si="93"/>
        <v>0</v>
      </c>
      <c r="AJ460" s="463"/>
      <c r="AK460" s="462"/>
      <c r="AL460" s="455">
        <f>SUMIFS(BV_Data_An_Prec!$AM:$AM,BV_Data_An_Prec!$AQ:$AQ,$V460)</f>
        <v>0</v>
      </c>
      <c r="AM460" s="459"/>
      <c r="AN460" s="457">
        <f t="shared" si="94"/>
        <v>2393.7200000000003</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0.30137474474185028</v>
      </c>
      <c r="AE467" s="470"/>
      <c r="AF467" s="472">
        <f>SUM(AF454:AF466)</f>
        <v>187818.94999999998</v>
      </c>
      <c r="AG467" s="479"/>
      <c r="AH467" s="492">
        <f>SUM(AH454:AH466)</f>
        <v>187818.94999999998</v>
      </c>
      <c r="AI467" s="471">
        <f>IF(Z467=0,0,AH467/Z467)</f>
        <v>0</v>
      </c>
      <c r="AJ467" s="473" t="e">
        <f>AL467/AL408</f>
        <v>#DIV/0!</v>
      </c>
      <c r="AK467" s="470"/>
      <c r="AL467" s="472">
        <f>SUM(AL454:AL466)</f>
        <v>0</v>
      </c>
      <c r="AM467" s="480"/>
      <c r="AN467" s="475">
        <f>SUM(AN454:AN466)</f>
        <v>187818.94999999998</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0.9436860282115106</v>
      </c>
      <c r="AE469" s="470"/>
      <c r="AF469" s="472">
        <f>AF420+AF434+AF453+AF467</f>
        <v>588112.04999999993</v>
      </c>
      <c r="AG469" s="479"/>
      <c r="AH469" s="492">
        <f t="shared" si="96"/>
        <v>588112.04999999993</v>
      </c>
      <c r="AI469" s="471" t="e">
        <f>AH469/Z469</f>
        <v>#DIV/0!</v>
      </c>
      <c r="AJ469" s="473" t="e">
        <f>AL469/AL408</f>
        <v>#DIV/0!</v>
      </c>
      <c r="AK469" s="470"/>
      <c r="AL469" s="472">
        <f>AL420+AL434+AL453+AL467</f>
        <v>0</v>
      </c>
      <c r="AM469" s="480"/>
      <c r="AN469" s="475">
        <f t="shared" si="97"/>
        <v>588112.04999999993</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40063.52999999997</v>
      </c>
      <c r="AG470" s="503"/>
      <c r="AH470" s="457">
        <f t="shared" si="96"/>
        <v>40063.52999999997</v>
      </c>
      <c r="AI470" s="496" t="e">
        <f>IF(AH470=0,0,AH470/Z470)</f>
        <v>#DIV/0!</v>
      </c>
      <c r="AJ470" s="502"/>
      <c r="AK470" s="501"/>
      <c r="AL470" s="483">
        <f>-SUMIFS(BV_Data_An_Prec!$AM:$AM,BV_Data_An_Prec!$AQ:$AQ,$V470)</f>
        <v>0</v>
      </c>
      <c r="AM470" s="505"/>
      <c r="AN470" s="457">
        <f t="shared" si="97"/>
        <v>40063.52999999997</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77998</v>
      </c>
      <c r="AG471" s="508"/>
      <c r="AH471" s="457">
        <f t="shared" si="96"/>
        <v>77998</v>
      </c>
      <c r="AI471" s="477">
        <f>IF(Z471=0,0,AH471/Z471)</f>
        <v>0</v>
      </c>
      <c r="AJ471" s="506"/>
      <c r="AK471" s="507"/>
      <c r="AL471" s="455">
        <f>-SUMIFS(BV_Data_An_Prec!$AM:$AM,BV_Data_An_Prec!$AQ:$AQ,$V471)</f>
        <v>0</v>
      </c>
      <c r="AM471" s="506"/>
      <c r="AN471" s="457">
        <f t="shared" si="97"/>
        <v>77998</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0.18944181866410337</v>
      </c>
      <c r="AE482" s="491"/>
      <c r="AF482" s="472">
        <f>SUM(AF470:AF481)</f>
        <v>118061.52999999997</v>
      </c>
      <c r="AG482" s="479"/>
      <c r="AH482" s="475">
        <f t="shared" si="96"/>
        <v>118061.52999999997</v>
      </c>
      <c r="AI482" s="471" t="e">
        <f>AH482/Z482</f>
        <v>#DIV/0!</v>
      </c>
      <c r="AJ482" s="471" t="e">
        <f>AL482/+AL408</f>
        <v>#DIV/0!</v>
      </c>
      <c r="AK482" s="491"/>
      <c r="AL482" s="472">
        <f>SUM(AL470:AL481)</f>
        <v>0</v>
      </c>
      <c r="AM482" s="512"/>
      <c r="AN482" s="475">
        <f t="shared" si="97"/>
        <v>118061.52999999997</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3.5077726173938423E-2</v>
      </c>
      <c r="AF484" s="528">
        <f>AF408-AF469+AF482</f>
        <v>153156.80999999976</v>
      </c>
      <c r="AG484" s="530"/>
      <c r="AH484" s="530">
        <f>AF484-Z484</f>
        <v>153156.80999999976</v>
      </c>
      <c r="AI484" s="531" t="e">
        <f>AH484/Z484</f>
        <v>#DIV/0!</v>
      </c>
      <c r="AJ484" s="526" t="s">
        <v>215</v>
      </c>
      <c r="AK484" s="527" t="e">
        <f>AL484/AL407</f>
        <v>#DIV/0!</v>
      </c>
      <c r="AL484" s="528">
        <f>AL408-AL469+AL482</f>
        <v>0</v>
      </c>
      <c r="AM484" s="533"/>
      <c r="AN484" s="529">
        <f t="shared" si="97"/>
        <v>153156.80999999976</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Novembre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4.2522569789661575E-2</v>
      </c>
      <c r="AF489" s="882">
        <f>AF490+AF416</f>
        <v>185662.57999999975</v>
      </c>
      <c r="AG489" s="530"/>
      <c r="AH489" s="530">
        <f t="shared" ref="AH489" si="101">AF489-Z489</f>
        <v>185662.57999999975</v>
      </c>
      <c r="AI489" s="531" t="e">
        <f>AH489/Z489</f>
        <v>#DIV/0!</v>
      </c>
      <c r="AJ489" s="880" t="s">
        <v>215</v>
      </c>
      <c r="AK489" s="881">
        <f>IF($AL$407=0,0,AL489/$AL$407)</f>
        <v>0</v>
      </c>
      <c r="AL489" s="882">
        <f>AL490+AL416</f>
        <v>0</v>
      </c>
      <c r="AM489" s="533"/>
      <c r="AN489" s="882">
        <f t="shared" ref="AN489" si="102">AF489-AL489</f>
        <v>185662.57999999975</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3.5077726173938423E-2</v>
      </c>
      <c r="AF490" s="528">
        <f>AF484</f>
        <v>153156.80999999976</v>
      </c>
      <c r="AG490" s="529"/>
      <c r="AH490" s="530">
        <f>AF490-Z490</f>
        <v>153156.80999999976</v>
      </c>
      <c r="AI490" s="531" t="e">
        <f>AH490/Z490</f>
        <v>#DIV/0!</v>
      </c>
      <c r="AJ490" s="526" t="s">
        <v>215</v>
      </c>
      <c r="AK490" s="527">
        <f>IF($AL$407=0,0,AL490/$AL$407)</f>
        <v>0</v>
      </c>
      <c r="AL490" s="528">
        <f>AL484</f>
        <v>0</v>
      </c>
      <c r="AM490" s="538"/>
      <c r="AN490" s="539">
        <f>AF490-AL490</f>
        <v>153156.80999999976</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4206.2799999999988</v>
      </c>
      <c r="AG492" s="454"/>
      <c r="AH492" s="457">
        <f t="shared" ref="AH492:AH499" si="104">AF492-Z492</f>
        <v>4206.2799999999988</v>
      </c>
      <c r="AI492" s="477">
        <f t="shared" ref="AI492:AI498" si="105">IF(Z492=0,0,AH492/Z492)</f>
        <v>0</v>
      </c>
      <c r="AJ492" s="454"/>
      <c r="AK492" s="462"/>
      <c r="AL492" s="455">
        <f>SUMIFS(BV_Data_An_Prec!$AM:$AM,BV_Data_An_Prec!$AQ:$AQ,$V492)</f>
        <v>0</v>
      </c>
      <c r="AM492" s="459"/>
      <c r="AN492" s="457">
        <f t="shared" ref="AN492:AN499" si="106">AF492-AL492</f>
        <v>4206.2799999999988</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14167</v>
      </c>
      <c r="AG494" s="38"/>
      <c r="AH494" s="457">
        <f t="shared" si="104"/>
        <v>14167</v>
      </c>
      <c r="AI494" s="477">
        <f t="shared" si="105"/>
        <v>0</v>
      </c>
      <c r="AJ494" s="38"/>
      <c r="AK494" s="41"/>
      <c r="AL494" s="455">
        <f>-SUMIFS(BV_Data_An_Prec!$AM:$AM,BV_Data_An_Prec!$AQ:$AQ,$V494)</f>
        <v>0</v>
      </c>
      <c r="AM494" s="545"/>
      <c r="AN494" s="457">
        <f t="shared" si="106"/>
        <v>14167</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-9630.1299999999974</v>
      </c>
      <c r="AG497" s="456"/>
      <c r="AH497" s="457">
        <f t="shared" si="104"/>
        <v>-9630.1299999999974</v>
      </c>
      <c r="AI497" s="458">
        <f t="shared" si="105"/>
        <v>0</v>
      </c>
      <c r="AJ497" s="463"/>
      <c r="AK497" s="462"/>
      <c r="AL497" s="455">
        <f>SUMIFS(BV_Data_An_Prec!$AM:$AM,BV_Data_An_Prec!$AQ:$AQ,$V497)</f>
        <v>0</v>
      </c>
      <c r="AM497" s="545"/>
      <c r="AN497" s="457">
        <f t="shared" si="106"/>
        <v>-9630.1299999999974</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3.307526985745031E-2</v>
      </c>
      <c r="AF499" s="528">
        <f>AF490-AF492-AF493-AF494-AF498-AF497</f>
        <v>144413.65999999977</v>
      </c>
      <c r="AG499" s="530"/>
      <c r="AH499" s="530">
        <f t="shared" si="104"/>
        <v>144413.65999999977</v>
      </c>
      <c r="AI499" s="531" t="e">
        <f>AH499/Z499</f>
        <v>#DIV/0!</v>
      </c>
      <c r="AJ499" s="526" t="s">
        <v>215</v>
      </c>
      <c r="AK499" s="527">
        <f>IF($AL$407=0,0,AL499/$AL$407)</f>
        <v>0</v>
      </c>
      <c r="AL499" s="528">
        <f>AL490-AL492-AL493-AL494-AL498-AL497</f>
        <v>0</v>
      </c>
      <c r="AM499" s="533"/>
      <c r="AN499" s="529">
        <f t="shared" si="106"/>
        <v>144413.65999999977</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Novembre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39415498.329999998</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110</v>
      </c>
      <c r="K6" s="253">
        <f t="shared" ref="K6:K12" si="3">IF(J6=0,0,L6/J6)</f>
        <v>1747.3844545454533</v>
      </c>
      <c r="L6" s="255">
        <f>-SUMIFS(BV_Data_An_Cour!$AN:$AN,BV_Data_An_Cour!$AP:$AP,$B6,BV_Data_An_Cour!$AQ:$AQ,$C6,BV_Data_An_Cour!$AR:$AR,L$2)</f>
        <v>192212.28999999986</v>
      </c>
      <c r="M6" s="254">
        <f t="shared" ref="M6:M12" si="4">J6-D6</f>
        <v>110</v>
      </c>
      <c r="N6" s="255">
        <f t="shared" ref="N6:N12" si="5">L6-F6</f>
        <v>192212.28999999986</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110</v>
      </c>
      <c r="S6" s="255">
        <f t="shared" ref="S6:S12" si="8">L6-Q6</f>
        <v>192212.28999999986</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528</v>
      </c>
      <c r="K7" s="253">
        <f t="shared" si="3"/>
        <v>2037.8191477272812</v>
      </c>
      <c r="L7" s="255">
        <f>-SUMIFS(BV_Data_An_Cour!$AN:$AN,BV_Data_An_Cour!$AP:$AP,$B7,BV_Data_An_Cour!$AQ:$AQ,$C7,BV_Data_An_Cour!$AR:$AR,L$2)</f>
        <v>1075968.5100000044</v>
      </c>
      <c r="M7" s="254">
        <f t="shared" si="4"/>
        <v>528</v>
      </c>
      <c r="N7" s="255">
        <f t="shared" si="5"/>
        <v>1075968.5100000044</v>
      </c>
      <c r="O7" s="254">
        <f>SUMIFS(BV_Data_An_Prec!$AX:$AX,BV_Data_An_Prec!$AP:$AP,$B7,BV_Data_An_Prec!$AQ:$AQ,$C7,BV_Data_An_Prec!$AY:$AY,O$2)</f>
        <v>0</v>
      </c>
      <c r="P7" s="253">
        <f t="shared" si="6"/>
        <v>0</v>
      </c>
      <c r="Q7" s="255">
        <f>-SUMIFS(BV_Data_An_Prec!$AN:$AN,BV_Data_An_Prec!$AP:$AP,$B7,BV_Data_An_Prec!$AQ:$AQ,$C7,BV_Data_An_Prec!$AR:$AR,Q$2)</f>
        <v>0</v>
      </c>
      <c r="R7" s="254">
        <f t="shared" si="7"/>
        <v>528</v>
      </c>
      <c r="S7" s="255">
        <f t="shared" si="8"/>
        <v>1075968.5100000044</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267</v>
      </c>
      <c r="K8" s="253">
        <f t="shared" si="3"/>
        <v>1840.6335955056156</v>
      </c>
      <c r="L8" s="255">
        <f>-SUMIFS(BV_Data_An_Cour!$AN:$AN,BV_Data_An_Cour!$AP:$AP,$B8,BV_Data_An_Cour!$AQ:$AQ,$C8,BV_Data_An_Cour!$AR:$AR,L$2)</f>
        <v>491449.16999999934</v>
      </c>
      <c r="M8" s="254">
        <f t="shared" si="4"/>
        <v>267</v>
      </c>
      <c r="N8" s="255">
        <f t="shared" si="5"/>
        <v>491449.16999999934</v>
      </c>
      <c r="O8" s="254">
        <f>SUMIFS(BV_Data_An_Prec!$AX:$AX,BV_Data_An_Prec!$AP:$AP,$B8,BV_Data_An_Prec!$AQ:$AQ,$C8,BV_Data_An_Prec!$AY:$AY,O$2)</f>
        <v>0</v>
      </c>
      <c r="P8" s="253">
        <f t="shared" si="6"/>
        <v>0</v>
      </c>
      <c r="Q8" s="255">
        <f>-SUMIFS(BV_Data_An_Prec!$AN:$AN,BV_Data_An_Prec!$AP:$AP,$B8,BV_Data_An_Prec!$AQ:$AQ,$C8,BV_Data_An_Prec!$AR:$AR,Q$2)</f>
        <v>0</v>
      </c>
      <c r="R8" s="254">
        <f t="shared" si="7"/>
        <v>267</v>
      </c>
      <c r="S8" s="255">
        <f t="shared" si="8"/>
        <v>491449.16999999934</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110</v>
      </c>
      <c r="K9" s="253">
        <f t="shared" si="3"/>
        <v>62.043090909092939</v>
      </c>
      <c r="L9" s="255">
        <f>-SUMIFS(BV_Data_An_Cour!$AN:$AN,BV_Data_An_Cour!$AP:$AP,$B9,BV_Data_An_Cour!$AQ:$AQ,$C9,BV_Data_An_Cour!$AR:$AR,L$2)</f>
        <v>6824.7400000002235</v>
      </c>
      <c r="M9" s="254">
        <f t="shared" si="4"/>
        <v>110</v>
      </c>
      <c r="N9" s="255">
        <f t="shared" si="5"/>
        <v>6824.7400000002235</v>
      </c>
      <c r="O9" s="254">
        <f>SUMIFS(BV_Data_An_Prec!$AX:$AX,BV_Data_An_Prec!$AP:$AP,$B9,BV_Data_An_Prec!$AQ:$AQ,$C9,BV_Data_An_Prec!$AY:$AY,O$2)</f>
        <v>0</v>
      </c>
      <c r="P9" s="253">
        <f t="shared" si="6"/>
        <v>0</v>
      </c>
      <c r="Q9" s="255">
        <f>-SUMIFS(BV_Data_An_Prec!$AN:$AN,BV_Data_An_Prec!$AP:$AP,$B9,BV_Data_An_Prec!$AQ:$AQ,$C9,BV_Data_An_Prec!$AR:$AR,Q$2)</f>
        <v>0</v>
      </c>
      <c r="R9" s="254">
        <f t="shared" si="7"/>
        <v>110</v>
      </c>
      <c r="S9" s="255">
        <f t="shared" si="8"/>
        <v>6824.7400000002235</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905</v>
      </c>
      <c r="K13" s="259">
        <f>IF(J13&lt;=0,0,L13/J13)</f>
        <v>1951.8836574585675</v>
      </c>
      <c r="L13" s="260">
        <f t="shared" ref="L13" si="10">+SUM(L6:L12)</f>
        <v>1766454.7100000037</v>
      </c>
      <c r="M13" s="261">
        <f>+SUM(M6:M12)</f>
        <v>1015</v>
      </c>
      <c r="N13" s="260">
        <f t="shared" ref="N13" si="11">+SUM(N6:N12)</f>
        <v>1766454.7100000037</v>
      </c>
      <c r="O13" s="261">
        <f>+SUM(O6:O8)</f>
        <v>0</v>
      </c>
      <c r="P13" s="259">
        <f>IF(O13&lt;=0,0,Q13/O13)</f>
        <v>0</v>
      </c>
      <c r="Q13" s="260">
        <f t="shared" ref="Q13" si="12">+SUM(Q6:Q12)</f>
        <v>0</v>
      </c>
      <c r="R13" s="261">
        <f t="shared" ref="R13:S13" si="13">+SUM(R6:R12)</f>
        <v>1015</v>
      </c>
      <c r="S13" s="260">
        <f t="shared" si="13"/>
        <v>1766454.7100000037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11</v>
      </c>
      <c r="K17" s="253">
        <f>IF(J17=0,0,L17/J17)</f>
        <v>1425.1881818181826</v>
      </c>
      <c r="L17" s="255">
        <f>-SUMIFS(BV_Data_An_Cour!$AN:$AN,BV_Data_An_Cour!$AP:$AP,$B17,BV_Data_An_Cour!$AQ:$AQ,$C17,BV_Data_An_Cour!$AR:$AR,L$2)</f>
        <v>15677.070000000007</v>
      </c>
      <c r="M17" s="266">
        <f>J17-D17</f>
        <v>11</v>
      </c>
      <c r="N17" s="255">
        <f>L17-F17</f>
        <v>15677.070000000007</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11</v>
      </c>
      <c r="S17" s="255">
        <f>L17-Q17</f>
        <v>15677.070000000007</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6.6745745856353587</v>
      </c>
      <c r="L21" s="255">
        <f>-SUMIFS(BV_Data_An_Cour!$AN:$AN,BV_Data_An_Cour!$AP:$AP,$B21,BV_Data_An_Cour!$AQ:$AQ,$C21,BV_Data_An_Cour!$AR:$AR,L$2)</f>
        <v>6040.49</v>
      </c>
      <c r="M21" s="254"/>
      <c r="N21" s="255">
        <f>L21-F21</f>
        <v>6040.49</v>
      </c>
      <c r="O21" s="254"/>
      <c r="P21" s="253">
        <f>IF(O13=0,0,Q21/(O13+O15))</f>
        <v>0</v>
      </c>
      <c r="Q21" s="255">
        <f>-SUMIFS(BV_Data_An_Prec!$AN:$AN,BV_Data_An_Prec!$AP:$AP,$B21,BV_Data_An_Prec!$AQ:$AQ,$C21,BV_Data_An_Prec!$AR:$AR,Q$2)</f>
        <v>0</v>
      </c>
      <c r="R21" s="254">
        <f t="shared" ref="R21:R23" si="14">O21-K21</f>
        <v>-6.6745745856353587</v>
      </c>
      <c r="S21" s="255">
        <f t="shared" ref="S21:S24" si="15">L21-Q21</f>
        <v>6040.49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1115.5997127071826</v>
      </c>
      <c r="L22" s="255">
        <f>-SUMIFS(BV_Data_An_Cour!$AN:$AN,BV_Data_An_Cour!$AP:$AP,$B22,BV_Data_An_Cour!$AQ:$AQ,$C22,BV_Data_An_Cour!$AR:$AR,L$2)</f>
        <v>1009617.7400000002</v>
      </c>
      <c r="M22" s="254"/>
      <c r="N22" s="255">
        <f>L22-F22</f>
        <v>1009617.7400000002</v>
      </c>
      <c r="O22" s="254"/>
      <c r="P22" s="253">
        <f>IF(O13=0,0,Q22/(O13+O15))</f>
        <v>0</v>
      </c>
      <c r="Q22" s="255">
        <f>-SUMIFS(BV_Data_An_Prec!$AN:$AN,BV_Data_An_Prec!$AP:$AP,$B22,BV_Data_An_Prec!$AQ:$AQ,$C22,BV_Data_An_Prec!$AR:$AR,Q$2)</f>
        <v>0</v>
      </c>
      <c r="R22" s="254">
        <f t="shared" si="14"/>
        <v>-1115.5997127071826</v>
      </c>
      <c r="S22" s="255">
        <f t="shared" si="15"/>
        <v>1009617.7400000002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905</v>
      </c>
      <c r="K24" s="259">
        <f>IF(J24&lt;=0,0,L24/J24)</f>
        <v>1122.2742872928179</v>
      </c>
      <c r="L24" s="260">
        <f>L21+L22+L23</f>
        <v>1015658.2300000002</v>
      </c>
      <c r="M24" s="274">
        <f>J24-D24</f>
        <v>905</v>
      </c>
      <c r="N24" s="260">
        <f>L24-F24</f>
        <v>1015658.2300000002</v>
      </c>
      <c r="O24" s="261">
        <f>+O15+O13</f>
        <v>0</v>
      </c>
      <c r="P24" s="259">
        <f>IF(O24&lt;=0,0,Q24/O24)</f>
        <v>0</v>
      </c>
      <c r="Q24" s="260">
        <f>Q21+Q22+Q23</f>
        <v>0</v>
      </c>
      <c r="R24" s="272"/>
      <c r="S24" s="260">
        <f t="shared" si="15"/>
        <v>1015658.2300000002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916</v>
      </c>
      <c r="K27" s="279">
        <f>IF(J27&lt;=0,0,L27/J27)</f>
        <v>3054.3559061135416</v>
      </c>
      <c r="L27" s="280">
        <f>L13+L17+L24+L19+L15</f>
        <v>2797790.010000004</v>
      </c>
      <c r="M27" s="281">
        <f>J27-D27</f>
        <v>916</v>
      </c>
      <c r="N27" s="280">
        <f>L27-F27</f>
        <v>2797790.010000004</v>
      </c>
      <c r="O27" s="281">
        <f>+O13+O15+O17</f>
        <v>0</v>
      </c>
      <c r="P27" s="279">
        <f>IF(O27&lt;=0,0,Q27/O27)</f>
        <v>0</v>
      </c>
      <c r="Q27" s="280">
        <f>Q13+Q17+Q24+Q19+Q15</f>
        <v>0</v>
      </c>
      <c r="R27" s="281">
        <f>J27-O27</f>
        <v>916</v>
      </c>
      <c r="S27" s="280">
        <f>L27-Q27</f>
        <v>2797790.010000004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0.38490924616135769</v>
      </c>
      <c r="K31" s="290">
        <f t="shared" ref="K31:K40" si="17">IF(L31=0,0,L31/J$24)</f>
        <v>757.96574585635358</v>
      </c>
      <c r="L31" s="253">
        <f>SUMIFS(BV_Data_An_Cour!$AN:$AN,BV_Data_An_Cour!$AP:$AP,$B31,BV_Data_An_Cour!$AQ:$AQ,$C31,BV_Data_An_Cour!$AR:$AR,L$2)</f>
        <v>685959</v>
      </c>
      <c r="M31" s="252"/>
      <c r="N31" s="275">
        <f t="shared" ref="N31:N53" si="18">L31-F31</f>
        <v>685959</v>
      </c>
      <c r="O31" s="291" t="e">
        <f>Q31/(Q13+Q15+Q17)</f>
        <v>#DIV/0!</v>
      </c>
      <c r="P31" s="290">
        <f t="shared" ref="P31:P40" si="19">IF(Q31=0,0,Q31/O$24)</f>
        <v>0</v>
      </c>
      <c r="Q31" s="253">
        <f>SUMIFS(BV_Data_An_Prec!$AN:$AN,BV_Data_An_Prec!$AP:$AP,$B31,BV_Data_An_Prec!$AQ:$AQ,$C31,BV_Data_An_Prec!$AR:$AR,Q$2)</f>
        <v>0</v>
      </c>
      <c r="R31" s="252"/>
      <c r="S31" s="275">
        <f t="shared" ref="S31:S41" si="20">L31-Q31</f>
        <v>685959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0.36665096486246157</v>
      </c>
      <c r="K32" s="293">
        <f t="shared" si="17"/>
        <v>411.48295027624312</v>
      </c>
      <c r="L32" s="247">
        <f>SUMIFS(BV_Data_An_Cour!$AN:$AN,BV_Data_An_Cour!$AP:$AP,$B32,BV_Data_An_Cour!$AQ:$AQ,$C32,BV_Data_An_Cour!$AR:$AR,L$2)</f>
        <v>372392.07</v>
      </c>
      <c r="M32" s="245"/>
      <c r="N32" s="295">
        <f t="shared" si="18"/>
        <v>372392.07</v>
      </c>
      <c r="O32" s="294" t="e">
        <f>Q32/Q24</f>
        <v>#DIV/0!</v>
      </c>
      <c r="P32" s="293">
        <f t="shared" si="19"/>
        <v>0</v>
      </c>
      <c r="Q32" s="247">
        <f>SUMIFS(BV_Data_An_Prec!$AN:$AN,BV_Data_An_Prec!$AP:$AP,$B32,BV_Data_An_Prec!$AQ:$AQ,$C32,BV_Data_An_Prec!$AR:$AR,Q$2)</f>
        <v>0</v>
      </c>
      <c r="R32" s="245"/>
      <c r="S32" s="295">
        <f t="shared" si="20"/>
        <v>372392.07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11.092121546961327</v>
      </c>
      <c r="L33" s="253">
        <f>SUMIFS(BV_Data_An_Cour!$AN:$AN,BV_Data_An_Cour!$AP:$AP,$B33,BV_Data_An_Cour!$AQ:$AQ,$C33,BV_Data_An_Cour!$AR:$AR,L$2)</f>
        <v>10038.370000000001</v>
      </c>
      <c r="M33" s="252"/>
      <c r="N33" s="275">
        <f t="shared" si="18"/>
        <v>10038.370000000001</v>
      </c>
      <c r="O33" s="252"/>
      <c r="P33" s="290">
        <f t="shared" si="19"/>
        <v>0</v>
      </c>
      <c r="Q33" s="253">
        <f>SUMIFS(BV_Data_An_Prec!$AN:$AN,BV_Data_An_Prec!$AP:$AP,$B33,BV_Data_An_Prec!$AQ:$AQ,$C33,BV_Data_An_Prec!$AR:$AR,Q$2)</f>
        <v>0</v>
      </c>
      <c r="R33" s="252"/>
      <c r="S33" s="275">
        <f t="shared" si="20"/>
        <v>10038.370000000001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18.879127071823206</v>
      </c>
      <c r="L35" s="247">
        <f>SUMIFS(BV_Data_An_Cour!$AN:$AN,BV_Data_An_Cour!$AP:$AP,$B35,BV_Data_An_Cour!$AQ:$AQ,$C35,BV_Data_An_Cour!$AR:$AR,L$2)</f>
        <v>17085.61</v>
      </c>
      <c r="M35" s="245"/>
      <c r="N35" s="295">
        <f t="shared" si="18"/>
        <v>17085.61</v>
      </c>
      <c r="O35" s="245"/>
      <c r="P35" s="293">
        <f t="shared" si="19"/>
        <v>0</v>
      </c>
      <c r="Q35" s="247">
        <f>SUMIFS(BV_Data_An_Prec!$AN:$AN,BV_Data_An_Prec!$AP:$AP,$B35,BV_Data_An_Prec!$AQ:$AQ,$C35,BV_Data_An_Prec!$AR:$AR,Q$2)</f>
        <v>0</v>
      </c>
      <c r="R35" s="245"/>
      <c r="S35" s="295">
        <f t="shared" si="20"/>
        <v>17085.61</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211.64146961325966</v>
      </c>
      <c r="L36" s="300">
        <f>SUMIFS(BV_Data_An_Cour!$AN:$AN,BV_Data_An_Cour!$AP:$AP,$B36,BV_Data_An_Cour!$AQ:$AQ,$C36,BV_Data_An_Cour!$AR:$AR,L$2)</f>
        <v>191535.53</v>
      </c>
      <c r="M36" s="41"/>
      <c r="N36" s="275">
        <f t="shared" si="18"/>
        <v>191535.53</v>
      </c>
      <c r="O36" s="252"/>
      <c r="P36" s="290">
        <f t="shared" si="19"/>
        <v>0</v>
      </c>
      <c r="Q36" s="300">
        <f>SUMIFS(BV_Data_An_Prec!$AN:$AN,BV_Data_An_Prec!$AP:$AP,$B36,BV_Data_An_Prec!$AQ:$AQ,$C36,BV_Data_An_Prec!$AR:$AR,Q$2)</f>
        <v>0</v>
      </c>
      <c r="R36" s="252"/>
      <c r="S36" s="275">
        <f t="shared" si="20"/>
        <v>191535.53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399.38141436464088</v>
      </c>
      <c r="L37" s="768">
        <f>SUMIFS(BV_Data_An_Cour!$AN:$AN,BV_Data_An_Cour!$AP:$AP,$B37,BV_Data_An_Cour!$AQ:$AQ,$C37,BV_Data_An_Cour!$AR:$AR,L$2)</f>
        <v>361440.18</v>
      </c>
      <c r="M37" s="800"/>
      <c r="N37" s="777">
        <f t="shared" si="18"/>
        <v>361440.18</v>
      </c>
      <c r="O37" s="252"/>
      <c r="P37" s="290">
        <f t="shared" si="19"/>
        <v>0</v>
      </c>
      <c r="Q37" s="768">
        <f>SUMIFS(BV_Data_An_Prec!$AN:$AN,BV_Data_An_Prec!$AP:$AP,$B37,BV_Data_An_Prec!$AQ:$AQ,$C37,BV_Data_An_Prec!$AR:$AR,Q$2)</f>
        <v>0</v>
      </c>
      <c r="R37" s="252"/>
      <c r="S37" s="275">
        <f t="shared" si="20"/>
        <v>361440.18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0.58562320765452947</v>
      </c>
      <c r="L41" s="306">
        <f>SUM(L31:L40)</f>
        <v>1638450.7600000002</v>
      </c>
      <c r="M41" s="308"/>
      <c r="N41" s="306">
        <f t="shared" si="18"/>
        <v>1638450.7600000002</v>
      </c>
      <c r="O41" s="307" t="s">
        <v>115</v>
      </c>
      <c r="P41" s="305" t="e">
        <f>Q41/Q$27</f>
        <v>#DIV/0!</v>
      </c>
      <c r="Q41" s="306">
        <f>SUM(Q31:Q40)</f>
        <v>0</v>
      </c>
      <c r="R41" s="309"/>
      <c r="S41" s="306">
        <f t="shared" si="20"/>
        <v>1638450.7600000002</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272797.73</v>
      </c>
      <c r="M42" s="252"/>
      <c r="N42" s="275">
        <f t="shared" si="18"/>
        <v>272797.73</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35791.01</v>
      </c>
      <c r="M44" s="240"/>
      <c r="N44" s="315">
        <f t="shared" si="18"/>
        <v>35791.01</v>
      </c>
      <c r="O44" s="240"/>
      <c r="P44" s="313"/>
      <c r="Q44" s="271">
        <f>SUMIFS(BV_Data_An_Prec!$AN:$AN,BV_Data_An_Prec!$AP:$AP,$B44,BV_Data_An_Prec!$AQ:$AQ,$C44,BV_Data_An_Prec!$AR:$AR,Q$2)</f>
        <v>0</v>
      </c>
      <c r="R44" s="240"/>
      <c r="S44" s="315">
        <f t="shared" si="21"/>
        <v>35791.01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78785.16</v>
      </c>
      <c r="M49" s="252"/>
      <c r="N49" s="275">
        <f t="shared" si="18"/>
        <v>78785.16</v>
      </c>
      <c r="O49" s="252"/>
      <c r="P49" s="41"/>
      <c r="Q49" s="247">
        <f>SUMIFS(BV_Data_An_Prec!$AN:$AN,BV_Data_An_Prec!$AP:$AP,$B49,BV_Data_An_Prec!$AQ:$AQ,$C49,BV_Data_An_Prec!$AR:$AR,Q$2)</f>
        <v>0</v>
      </c>
      <c r="R49" s="252"/>
      <c r="S49" s="275">
        <f t="shared" si="21"/>
        <v>78785.16</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165362.04</v>
      </c>
      <c r="M50" s="240"/>
      <c r="N50" s="315">
        <f t="shared" si="18"/>
        <v>165362.04</v>
      </c>
      <c r="O50" s="240"/>
      <c r="P50" s="313"/>
      <c r="Q50" s="255">
        <f>SUMIFS(BV_Data_An_Prec!$AN:$AN,BV_Data_An_Prec!$AP:$AP,$B50,BV_Data_An_Prec!$AQ:$AQ,$C50,BV_Data_An_Prec!$AR:$AR,Q$2)</f>
        <v>0</v>
      </c>
      <c r="R50" s="240"/>
      <c r="S50" s="315">
        <f t="shared" si="21"/>
        <v>165362.04</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15948.96</v>
      </c>
      <c r="M51" s="252"/>
      <c r="N51" s="275">
        <f t="shared" si="18"/>
        <v>15948.96</v>
      </c>
      <c r="O51" s="252"/>
      <c r="P51" s="41"/>
      <c r="Q51" s="255">
        <f>SUMIFS(BV_Data_An_Prec!$AN:$AN,BV_Data_An_Prec!$AP:$AP,$B51,BV_Data_An_Prec!$AQ:$AQ,$C51,BV_Data_An_Prec!$AR:$AR,Q$2)</f>
        <v>0</v>
      </c>
      <c r="R51" s="252"/>
      <c r="S51" s="275">
        <f t="shared" si="21"/>
        <v>15948.96</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0.20326218120994693</v>
      </c>
      <c r="L54" s="306">
        <f>+SUM(L42:L53)</f>
        <v>568684.9</v>
      </c>
      <c r="M54" s="309"/>
      <c r="N54" s="306">
        <f>+SUM(N42:N53)</f>
        <v>568684.9</v>
      </c>
      <c r="O54" s="307" t="s">
        <v>115</v>
      </c>
      <c r="P54" s="305" t="e">
        <f>Q54/Q$27</f>
        <v>#DIV/0!</v>
      </c>
      <c r="Q54" s="306">
        <f>+SUM(Q42:Q53)</f>
        <v>0</v>
      </c>
      <c r="R54" s="309"/>
      <c r="S54" s="306">
        <f>+SUM(S42:S53)</f>
        <v>295887.17000000004</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17854.939999999999</v>
      </c>
      <c r="M58" s="252"/>
      <c r="N58" s="275">
        <f t="shared" si="22"/>
        <v>17854.939999999999</v>
      </c>
      <c r="O58" s="252"/>
      <c r="P58" s="41"/>
      <c r="Q58" s="255">
        <f>SUMIFS(BV_Data_An_Prec!$AN:$AN,BV_Data_An_Prec!$AP:$AP,$B58,BV_Data_An_Prec!$AQ:$AQ,$C58,BV_Data_An_Prec!$AR:$AR,Q$2)</f>
        <v>0</v>
      </c>
      <c r="R58" s="252"/>
      <c r="S58" s="275">
        <f t="shared" si="23"/>
        <v>17854.939999999999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13767.7</v>
      </c>
      <c r="M59" s="252"/>
      <c r="N59" s="275">
        <f t="shared" si="22"/>
        <v>13767.7</v>
      </c>
      <c r="O59" s="252"/>
      <c r="P59" s="41"/>
      <c r="Q59" s="255">
        <f>SUMIFS(BV_Data_An_Prec!$AN:$AN,BV_Data_An_Prec!$AP:$AP,$B59,BV_Data_An_Prec!$AQ:$AQ,$C59,BV_Data_An_Prec!$AR:$AR,Q$2)</f>
        <v>0</v>
      </c>
      <c r="R59" s="252"/>
      <c r="S59" s="275">
        <f t="shared" si="23"/>
        <v>13767.7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8745.48</v>
      </c>
      <c r="M60" s="245"/>
      <c r="N60" s="295">
        <f t="shared" si="22"/>
        <v>8745.48</v>
      </c>
      <c r="O60" s="245"/>
      <c r="P60" s="316"/>
      <c r="Q60" s="247">
        <f>SUMIFS(BV_Data_An_Prec!$AN:$AN,BV_Data_An_Prec!$AP:$AP,$B60,BV_Data_An_Prec!$AQ:$AQ,$C60,BV_Data_An_Prec!$AR:$AR,Q$2)</f>
        <v>0</v>
      </c>
      <c r="R60" s="245"/>
      <c r="S60" s="295">
        <f t="shared" si="23"/>
        <v>8745.48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7761.94</v>
      </c>
      <c r="M63" s="252"/>
      <c r="N63" s="275">
        <f t="shared" si="22"/>
        <v>7761.94</v>
      </c>
      <c r="O63" s="252"/>
      <c r="P63" s="41"/>
      <c r="Q63" s="255">
        <f>SUMIFS(BV_Data_An_Prec!$AN:$AN,BV_Data_An_Prec!$AP:$AP,$B63,BV_Data_An_Prec!$AQ:$AQ,$C63,BV_Data_An_Prec!$AR:$AR,Q$2)</f>
        <v>0</v>
      </c>
      <c r="R63" s="252"/>
      <c r="S63" s="275">
        <f t="shared" si="23"/>
        <v>7761.94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1074.47</v>
      </c>
      <c r="M64" s="252"/>
      <c r="N64" s="275">
        <f t="shared" si="22"/>
        <v>1074.47</v>
      </c>
      <c r="O64" s="252"/>
      <c r="P64" s="41"/>
      <c r="Q64" s="255">
        <f>SUMIFS(BV_Data_An_Prec!$AN:$AN,BV_Data_An_Prec!$AP:$AP,$B64,BV_Data_An_Prec!$AQ:$AQ,$C64,BV_Data_An_Prec!$AR:$AR,Q$2)</f>
        <v>0</v>
      </c>
      <c r="R64" s="252"/>
      <c r="S64" s="275">
        <f t="shared" si="23"/>
        <v>1074.47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711.7</v>
      </c>
      <c r="M65" s="252"/>
      <c r="N65" s="275">
        <f t="shared" si="22"/>
        <v>711.7</v>
      </c>
      <c r="O65" s="252"/>
      <c r="P65" s="41"/>
      <c r="Q65" s="255">
        <f>SUMIFS(BV_Data_An_Prec!$AN:$AN,BV_Data_An_Prec!$AP:$AP,$B65,BV_Data_An_Prec!$AQ:$AQ,$C65,BV_Data_An_Prec!$AR:$AR,Q$2)</f>
        <v>0</v>
      </c>
      <c r="R65" s="252"/>
      <c r="S65" s="275">
        <f t="shared" si="23"/>
        <v>711.7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7750</v>
      </c>
      <c r="M67" s="252"/>
      <c r="N67" s="275">
        <f t="shared" si="22"/>
        <v>7750</v>
      </c>
      <c r="O67" s="252"/>
      <c r="P67" s="41"/>
      <c r="Q67" s="255">
        <f>SUMIFS(BV_Data_An_Prec!$AN:$AN,BV_Data_An_Prec!$AP:$AP,$B67,BV_Data_An_Prec!$AQ:$AQ,$C67,BV_Data_An_Prec!$AR:$AR,Q$2)</f>
        <v>0</v>
      </c>
      <c r="R67" s="252"/>
      <c r="S67" s="275">
        <f t="shared" si="23"/>
        <v>7750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2.0633689373992695E-2</v>
      </c>
      <c r="L72" s="306">
        <f>+SUM(L55:L71)</f>
        <v>57728.729999999996</v>
      </c>
      <c r="M72" s="309"/>
      <c r="N72" s="306">
        <f>+SUM(N55:N71)</f>
        <v>57728.729999999996</v>
      </c>
      <c r="O72" s="307" t="s">
        <v>115</v>
      </c>
      <c r="P72" s="305" t="e">
        <f>Q72/Q$27</f>
        <v>#DIV/0!</v>
      </c>
      <c r="Q72" s="306">
        <f>+SUM(Q55:Q71)</f>
        <v>0</v>
      </c>
      <c r="R72" s="309"/>
      <c r="S72" s="306">
        <f>+SUM(S55:S71)</f>
        <v>57728.729999999996</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0.80951907823846903</v>
      </c>
      <c r="L74" s="306">
        <f>L41+L54+L72</f>
        <v>2264864.39</v>
      </c>
      <c r="M74" s="309"/>
      <c r="N74" s="318">
        <f t="shared" ref="N74:N82" si="24">L74-F74</f>
        <v>2264864.39</v>
      </c>
      <c r="O74" s="307" t="s">
        <v>115</v>
      </c>
      <c r="P74" s="305" t="e">
        <f>Q74/Q$27</f>
        <v>#DIV/0!</v>
      </c>
      <c r="Q74" s="306">
        <f>Q41+Q54+Q72</f>
        <v>0</v>
      </c>
      <c r="R74" s="309"/>
      <c r="S74" s="318">
        <f>L74-Q74</f>
        <v>2264864.39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1085460</v>
      </c>
      <c r="M78" s="252"/>
      <c r="N78" s="275">
        <f t="shared" si="24"/>
        <v>1085460</v>
      </c>
      <c r="O78" s="252"/>
      <c r="P78" s="41"/>
      <c r="Q78" s="255">
        <f>-SUMIFS(BV_Data_An_Prec!$AN:$AN,BV_Data_An_Prec!$AP:$AP,$B78,BV_Data_An_Prec!$AQ:$AQ,$C78,BV_Data_An_Prec!$AR:$AR,Q$2)</f>
        <v>0</v>
      </c>
      <c r="R78" s="252"/>
      <c r="S78" s="275">
        <f t="shared" si="25"/>
        <v>1085460</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1085460</v>
      </c>
      <c r="M83" s="309"/>
      <c r="N83" s="306">
        <f>+SUM(N75:N82)</f>
        <v>1085460</v>
      </c>
      <c r="O83" s="307"/>
      <c r="P83" s="305"/>
      <c r="Q83" s="306">
        <f>+SUM(Q75:Q82)</f>
        <v>0</v>
      </c>
      <c r="R83" s="309"/>
      <c r="S83" s="306">
        <f>+SUM(S75:S82)</f>
        <v>1085460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1618385.6200000038</v>
      </c>
      <c r="M85" s="334"/>
      <c r="N85" s="333">
        <f>N27-N41-N54-N72+N83</f>
        <v>1618385.6200000038</v>
      </c>
      <c r="O85" s="334"/>
      <c r="P85" s="331"/>
      <c r="Q85" s="333">
        <f>Q27-Q74+Q83</f>
        <v>0</v>
      </c>
      <c r="R85" s="334"/>
      <c r="S85" s="333">
        <f>L85-Q85</f>
        <v>1618385.6200000038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Novembre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10770988.379999999</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31</v>
      </c>
      <c r="K94" s="253">
        <f t="shared" ref="K94:K95" si="28">IF(J94=0,0,L94/J94)</f>
        <v>1988.6412903225807</v>
      </c>
      <c r="L94" s="255">
        <f>-SUMIFS(BV_Data_An_Cour!$AN:$AN,BV_Data_An_Cour!$AP:$AP,$B94,BV_Data_An_Cour!$AQ:$AQ,$C94,BV_Data_An_Cour!$AR:$AR,$L2)</f>
        <v>61647.880000000005</v>
      </c>
      <c r="M94" s="254">
        <f>J94-D94</f>
        <v>31</v>
      </c>
      <c r="N94" s="255">
        <f>L94-F94</f>
        <v>61647.880000000005</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31</v>
      </c>
      <c r="S94" s="255">
        <f t="shared" ref="S94:S95" si="31">L94-Q94</f>
        <v>61647.880000000005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36</v>
      </c>
      <c r="K95" s="253">
        <f t="shared" si="28"/>
        <v>1030.287777777779</v>
      </c>
      <c r="L95" s="255">
        <f>-SUMIFS(BV_Data_An_Cour!$AN:$AN,BV_Data_An_Cour!$AP:$AP,$B95,BV_Data_An_Cour!$AQ:$AQ,$C95,BV_Data_An_Cour!$AR:$AR,$L2)</f>
        <v>37090.360000000044</v>
      </c>
      <c r="M95" s="254">
        <f>J95-D95</f>
        <v>36</v>
      </c>
      <c r="N95" s="255">
        <f>L95-F95</f>
        <v>37090.360000000044</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36</v>
      </c>
      <c r="S95" s="255">
        <f t="shared" si="31"/>
        <v>37090.360000000044</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2</v>
      </c>
      <c r="K96" s="253">
        <f t="shared" ref="K96" si="32">IF(J96=0,0,L96/J96)</f>
        <v>4194.739999999998</v>
      </c>
      <c r="L96" s="769">
        <f>-SUMIFS(BV_Data_An_Cour!$AN:$AN,BV_Data_An_Cour!$AP:$AP,$B96,BV_Data_An_Cour!$AQ:$AQ,$C96,BV_Data_An_Cour!$AR:$AR,$L2)</f>
        <v>8389.4799999999959</v>
      </c>
      <c r="M96" s="865">
        <f>J96-D96</f>
        <v>2</v>
      </c>
      <c r="N96" s="769">
        <f>L96-F96</f>
        <v>8389.4799999999959</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2</v>
      </c>
      <c r="S96" s="769">
        <f t="shared" ref="S96" si="33">L96-Q96</f>
        <v>8389.4799999999959</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69</v>
      </c>
      <c r="K97" s="259">
        <f>IF(J97&lt;=0,0,L97/J97)</f>
        <v>1552.5756521739138</v>
      </c>
      <c r="L97" s="260">
        <f>+L94+L95+L96</f>
        <v>107127.72000000004</v>
      </c>
      <c r="M97" s="261">
        <f>J97-D97</f>
        <v>69</v>
      </c>
      <c r="N97" s="260">
        <f>L97-F97</f>
        <v>107127.72000000004</v>
      </c>
      <c r="O97" s="261">
        <f>+O94+O95+O96</f>
        <v>0</v>
      </c>
      <c r="P97" s="259">
        <f>IF(O97&lt;=0,0,Q97/O97)</f>
        <v>0</v>
      </c>
      <c r="Q97" s="260">
        <f>+Q94+Q95+Q96</f>
        <v>0</v>
      </c>
      <c r="R97" s="261">
        <f>R94+R95</f>
        <v>67</v>
      </c>
      <c r="S97" s="260">
        <f>S94+S95</f>
        <v>98738.240000000049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67</v>
      </c>
      <c r="K99" s="253">
        <f t="shared" ref="K99:K101" si="34">IF(J99=0,0,L99/J99)</f>
        <v>189.52985074626866</v>
      </c>
      <c r="L99" s="255">
        <f>-SUMIFS(BV_Data_An_Cour!$AN:$AN,BV_Data_An_Cour!$AP:$AP,$B99,BV_Data_An_Cour!$AQ:$AQ,$C99,BV_Data_An_Cour!$AR:$AR,$L2)</f>
        <v>12698.5</v>
      </c>
      <c r="M99" s="254">
        <f>J99-D99</f>
        <v>67</v>
      </c>
      <c r="N99" s="255">
        <f>L99-F99</f>
        <v>12698.5</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67</v>
      </c>
      <c r="S99" s="255">
        <f t="shared" ref="S99" si="37">L99-Q99</f>
        <v>12698.5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485</v>
      </c>
      <c r="K101" s="253">
        <f t="shared" si="34"/>
        <v>2831.7884948453607</v>
      </c>
      <c r="L101" s="255">
        <f>-SUMIFS(BV_Data_An_Cour!$AN:$AN,BV_Data_An_Cour!$AP:$AP,$B101,BV_Data_An_Cour!$AQ:$AQ,$C101,BV_Data_An_Cour!$AR:$AR,L$2)</f>
        <v>1373417.42</v>
      </c>
      <c r="M101" s="254">
        <f>J101-D101</f>
        <v>485</v>
      </c>
      <c r="N101" s="255">
        <f>L101-F101</f>
        <v>1373417.42</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485</v>
      </c>
      <c r="S101" s="255">
        <f t="shared" ref="S101" si="40">L101-Q101</f>
        <v>1373417.42</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477.52956521739134</v>
      </c>
      <c r="L103" s="255">
        <f>-SUMIFS(BV_Data_An_Cour!$AN:$AN,BV_Data_An_Cour!$AP:$AP,$B103,BV_Data_An_Cour!$AQ:$AQ,$C103,BV_Data_An_Cour!$AR:$AR,$L2)</f>
        <v>32949.54</v>
      </c>
      <c r="M103" s="254"/>
      <c r="N103" s="255">
        <f>L103-F103</f>
        <v>32949.54</v>
      </c>
      <c r="O103" s="254"/>
      <c r="P103" s="253">
        <f>IF(O97=0,0,Q103/O97)</f>
        <v>0</v>
      </c>
      <c r="Q103" s="255">
        <f>-SUMIFS(BV_Data_An_Prec!$AN:$AN,BV_Data_An_Prec!$AP:$AP,$B103,BV_Data_An_Prec!$AQ:$AQ,$C103,BV_Data_An_Prec!$AR:$AR,$L2)</f>
        <v>0</v>
      </c>
      <c r="R103" s="254">
        <f t="shared" ref="R103:R105" si="42">O103-K103</f>
        <v>-477.52956521739134</v>
      </c>
      <c r="S103" s="255">
        <f t="shared" ref="S103:S106" si="43">L103-Q103</f>
        <v>32949.54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2008.0802898550726</v>
      </c>
      <c r="L104" s="255">
        <f>-SUMIFS(BV_Data_An_Cour!$AN:$AN,BV_Data_An_Cour!$AP:$AP,$B104,BV_Data_An_Cour!$AQ:$AQ,$C104,BV_Data_An_Cour!$AR:$AR,$L2)</f>
        <v>138557.54</v>
      </c>
      <c r="M104" s="254"/>
      <c r="N104" s="255">
        <f>L104-F104</f>
        <v>138557.54</v>
      </c>
      <c r="O104" s="254"/>
      <c r="P104" s="253">
        <f>IF(O97=0,0,Q104/O97)</f>
        <v>0</v>
      </c>
      <c r="Q104" s="255">
        <f>-SUMIFS(BV_Data_An_Prec!$AN:$AN,BV_Data_An_Prec!$AP:$AP,$B104,BV_Data_An_Prec!$AQ:$AQ,$C104,BV_Data_An_Prec!$AR:$AR,$L2)</f>
        <v>0</v>
      </c>
      <c r="R104" s="254">
        <f t="shared" si="42"/>
        <v>-2008.0802898550726</v>
      </c>
      <c r="S104" s="255">
        <f t="shared" si="43"/>
        <v>138557.54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69</v>
      </c>
      <c r="K106" s="259">
        <f>IF(J106&lt;=0,0,L106/J106)</f>
        <v>2485.6098550724641</v>
      </c>
      <c r="L106" s="260">
        <f>L103+L104+L105</f>
        <v>171507.08000000002</v>
      </c>
      <c r="M106" s="254">
        <f>J106-D106</f>
        <v>69</v>
      </c>
      <c r="N106" s="260">
        <f>L106-F106</f>
        <v>171507.08000000002</v>
      </c>
      <c r="O106" s="261">
        <f>O97</f>
        <v>0</v>
      </c>
      <c r="P106" s="259">
        <f>IF(O106&lt;=0,0,Q106/O106)</f>
        <v>0</v>
      </c>
      <c r="Q106" s="260">
        <f>Q103+Q104+Q105</f>
        <v>0</v>
      </c>
      <c r="R106" s="272"/>
      <c r="S106" s="260">
        <f t="shared" si="43"/>
        <v>171507.08000000002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554</v>
      </c>
      <c r="K109" s="348">
        <f>IF(J109&lt;=0,0,L109/J109)</f>
        <v>3004.9651985559567</v>
      </c>
      <c r="L109" s="280">
        <f>L97+L106+L101+L99</f>
        <v>1664750.72</v>
      </c>
      <c r="M109" s="281">
        <f>J109-D109</f>
        <v>554</v>
      </c>
      <c r="N109" s="280">
        <f>N97+N106+N101+N99</f>
        <v>1664750.72</v>
      </c>
      <c r="O109" s="281">
        <f>O97+O101</f>
        <v>0</v>
      </c>
      <c r="P109" s="348">
        <f>IF(O109&lt;=0,0,Q109/O109)</f>
        <v>0</v>
      </c>
      <c r="Q109" s="280">
        <f>Q97+Q106+Q101+Q99</f>
        <v>0</v>
      </c>
      <c r="R109" s="281">
        <f>J109-O109</f>
        <v>554</v>
      </c>
      <c r="S109" s="280">
        <f>S97+S106+S101+S99</f>
        <v>1656361.24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0.99171633635066581</v>
      </c>
      <c r="K113" s="290">
        <f>IF($J$97=0,0,L113/(J$94+J$95+J96))</f>
        <v>1539.7146376811593</v>
      </c>
      <c r="L113" s="255">
        <f>SUMIFS(BV_Data_An_Cour!$AN:$AN,BV_Data_An_Cour!$AP:$AP,$B113,BV_Data_An_Cour!$AQ:$AQ,$C113,BV_Data_An_Cour!$AR:$AR,$L$2)</f>
        <v>106240.31</v>
      </c>
      <c r="M113" s="252"/>
      <c r="N113" s="275">
        <f t="shared" ref="N113:N154" si="45">L113-F113</f>
        <v>106240.31</v>
      </c>
      <c r="O113" s="291" t="e">
        <f>+Q113/Q97</f>
        <v>#DIV/0!</v>
      </c>
      <c r="P113" s="290" t="e">
        <f>IF($J$97=0,0,Q113/(O$94+O$95+O96))</f>
        <v>#DIV/0!</v>
      </c>
      <c r="Q113" s="255">
        <f>SUMIFS(BV_Data_An_Prec!$AN:$AN,BV_Data_An_Prec!$AP:$AP,$B113,BV_Data_An_Prec!$AQ:$AQ,$C113,BV_Data_An_Prec!$AR:$AR,$L$2)</f>
        <v>0</v>
      </c>
      <c r="R113" s="252"/>
      <c r="S113" s="275">
        <f t="shared" ref="S113:S123" si="46">L113-Q113</f>
        <v>106240.31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0.22276444797497572</v>
      </c>
      <c r="K114" s="293">
        <f>IF($J$97=0,0,L114/(J$94+J$95+J96))</f>
        <v>553.70550724637678</v>
      </c>
      <c r="L114" s="255">
        <f>SUMIFS(BV_Data_An_Cour!$AN:$AN,BV_Data_An_Cour!$AP:$AP,$B114,BV_Data_An_Cour!$AQ:$AQ,$C114,BV_Data_An_Cour!$AR:$AR,$L$2)</f>
        <v>38205.68</v>
      </c>
      <c r="M114" s="245"/>
      <c r="N114" s="295">
        <f t="shared" si="45"/>
        <v>38205.68</v>
      </c>
      <c r="O114" s="294" t="e">
        <f>Q114/Q106</f>
        <v>#DIV/0!</v>
      </c>
      <c r="P114" s="293" t="e">
        <f>IF($J$97=0,0,Q114/(O$94+O$95+O96))</f>
        <v>#DIV/0!</v>
      </c>
      <c r="Q114" s="255">
        <f>SUMIFS(BV_Data_An_Prec!$AN:$AN,BV_Data_An_Prec!$AP:$AP,$B114,BV_Data_An_Prec!$AQ:$AQ,$C114,BV_Data_An_Prec!$AR:$AR,$L$2)</f>
        <v>0</v>
      </c>
      <c r="R114" s="245"/>
      <c r="S114" s="295">
        <f t="shared" si="46"/>
        <v>38205.68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4.7191304347826089</v>
      </c>
      <c r="L115" s="271">
        <f>SUMIFS(BV_Data_An_Cour!$AN:$AN,BV_Data_An_Cour!$AP:$AP,$B115,BV_Data_An_Cour!$AQ:$AQ,$C115,BV_Data_An_Cour!$AR:$AR,$L$2)</f>
        <v>325.62</v>
      </c>
      <c r="M115" s="252"/>
      <c r="N115" s="275">
        <f t="shared" si="45"/>
        <v>325.62</v>
      </c>
      <c r="O115" s="252"/>
      <c r="P115" s="290" t="e">
        <f>IF($J$97=0,0,Q115/(O$94+O$95+O96))</f>
        <v>#DIV/0!</v>
      </c>
      <c r="Q115" s="271">
        <f>SUMIFS(BV_Data_An_Prec!$AN:$AN,BV_Data_An_Prec!$AP:$AP,$B115,BV_Data_An_Prec!$AQ:$AQ,$C115,BV_Data_An_Prec!$AR:$AR,$L$2)</f>
        <v>0</v>
      </c>
      <c r="R115" s="252"/>
      <c r="S115" s="275">
        <f t="shared" si="46"/>
        <v>325.62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7.9802898550724635</v>
      </c>
      <c r="L117" s="247">
        <f>SUMIFS(BV_Data_An_Cour!$AN:$AN,BV_Data_An_Cour!$AP:$AP,$B117,BV_Data_An_Cour!$AQ:$AQ,$C117,BV_Data_An_Cour!$AR:$AR,$L$2)</f>
        <v>550.64</v>
      </c>
      <c r="M117" s="245"/>
      <c r="N117" s="295">
        <f t="shared" si="45"/>
        <v>550.64</v>
      </c>
      <c r="O117" s="245"/>
      <c r="P117" s="293" t="e">
        <f>IF($J$97=0,0,Q117/(O$94+O$95+O96))</f>
        <v>#DIV/0!</v>
      </c>
      <c r="Q117" s="247">
        <f>SUMIFS(BV_Data_An_Prec!$AN:$AN,BV_Data_An_Prec!$AP:$AP,$B117,BV_Data_An_Prec!$AQ:$AQ,$C117,BV_Data_An_Prec!$AR:$AR,$L$2)</f>
        <v>0</v>
      </c>
      <c r="R117" s="245"/>
      <c r="S117" s="295">
        <f t="shared" si="46"/>
        <v>550.64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115.95768115942029</v>
      </c>
      <c r="L118" s="255">
        <f>SUMIFS(BV_Data_An_Cour!$AN:$AN,BV_Data_An_Cour!$AP:$AP,$B118,BV_Data_An_Cour!$AQ:$AQ,$C118,BV_Data_An_Cour!$AR:$AR,$L$2)</f>
        <v>8001.08</v>
      </c>
      <c r="M118" s="252"/>
      <c r="N118" s="275">
        <f t="shared" si="45"/>
        <v>8001.08</v>
      </c>
      <c r="O118" s="252"/>
      <c r="P118" s="290" t="e">
        <f>IF($J$97=0,0,Q118/(O$94+O$95+O96))</f>
        <v>#DIV/0!</v>
      </c>
      <c r="Q118" s="255">
        <f>SUMIFS(BV_Data_An_Prec!$AN:$AN,BV_Data_An_Prec!$AP:$AP,$B118,BV_Data_An_Prec!$AQ:$AQ,$C118,BV_Data_An_Prec!$AR:$AR,$L$2)</f>
        <v>0</v>
      </c>
      <c r="R118" s="252"/>
      <c r="S118" s="275">
        <f t="shared" si="46"/>
        <v>8001.08</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67.768260869565225</v>
      </c>
      <c r="L119" s="769">
        <f>SUMIFS(BV_Data_An_Cour!$AN:$AN,BV_Data_An_Cour!$AP:$AP,$B119,BV_Data_An_Cour!$AQ:$AQ,$C119,BV_Data_An_Cour!$AR:$AR,$L$2)</f>
        <v>4676.01</v>
      </c>
      <c r="M119" s="801"/>
      <c r="N119" s="777">
        <f t="shared" si="45"/>
        <v>4676.01</v>
      </c>
      <c r="O119" s="252"/>
      <c r="P119" s="290" t="e">
        <f>IF($J$97=0,0,Q119/(O$94+O$95+O96))</f>
        <v>#DIV/0!</v>
      </c>
      <c r="Q119" s="769">
        <f>SUMIFS(BV_Data_An_Prec!$AN:$AN,BV_Data_An_Prec!$AP:$AP,$B119,BV_Data_An_Prec!$AQ:$AQ,$C119,BV_Data_An_Prec!$AR:$AR,$L$2)</f>
        <v>0</v>
      </c>
      <c r="R119" s="252"/>
      <c r="S119" s="275">
        <f t="shared" si="46"/>
        <v>4676.01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9.4908708013653836E-2</v>
      </c>
      <c r="L123" s="306">
        <f>SUM(L113:L122)</f>
        <v>157999.34</v>
      </c>
      <c r="M123" s="309"/>
      <c r="N123" s="306">
        <f t="shared" si="45"/>
        <v>157999.34</v>
      </c>
      <c r="O123" s="307" t="s">
        <v>115</v>
      </c>
      <c r="P123" s="305" t="e">
        <f>Q123/Q$109</f>
        <v>#DIV/0!</v>
      </c>
      <c r="Q123" s="306">
        <f>SUM(Q113:Q122)</f>
        <v>0</v>
      </c>
      <c r="R123" s="309"/>
      <c r="S123" s="306">
        <f t="shared" si="46"/>
        <v>157999.34</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193198.87</v>
      </c>
      <c r="M124" s="252"/>
      <c r="N124" s="275">
        <f t="shared" si="45"/>
        <v>193198.87</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134529.56</v>
      </c>
      <c r="M126" s="240"/>
      <c r="N126" s="315">
        <f t="shared" si="45"/>
        <v>134529.56</v>
      </c>
      <c r="O126" s="240"/>
      <c r="P126" s="313"/>
      <c r="Q126" s="255">
        <f>SUMIFS(BV_Data_An_Prec!$AN:$AN,BV_Data_An_Prec!$AP:$AP,$B126,BV_Data_An_Prec!$AQ:$AQ,$C126,BV_Data_An_Prec!$AR:$AR,$L$2)</f>
        <v>0</v>
      </c>
      <c r="R126" s="240"/>
      <c r="S126" s="315">
        <f t="shared" si="49"/>
        <v>134529.56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31302.36</v>
      </c>
      <c r="M131" s="252"/>
      <c r="N131" s="275">
        <f t="shared" si="45"/>
        <v>31302.36</v>
      </c>
      <c r="O131" s="252"/>
      <c r="P131" s="41"/>
      <c r="Q131" s="255">
        <f>SUMIFS(BV_Data_An_Prec!$AN:$AN,BV_Data_An_Prec!$AP:$AP,$B131,BV_Data_An_Prec!$AQ:$AQ,$C131,BV_Data_An_Prec!$AR:$AR,$L$2)</f>
        <v>0</v>
      </c>
      <c r="R131" s="252"/>
      <c r="S131" s="275">
        <f t="shared" si="49"/>
        <v>31302.36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44440.54</v>
      </c>
      <c r="M132" s="240"/>
      <c r="N132" s="315">
        <f t="shared" si="45"/>
        <v>44440.54</v>
      </c>
      <c r="O132" s="240"/>
      <c r="P132" s="313"/>
      <c r="Q132" s="271">
        <f>SUMIFS(BV_Data_An_Prec!$AN:$AN,BV_Data_An_Prec!$AP:$AP,$B132,BV_Data_An_Prec!$AQ:$AQ,$C132,BV_Data_An_Prec!$AR:$AR,$L$2)</f>
        <v>0</v>
      </c>
      <c r="R132" s="240"/>
      <c r="S132" s="315">
        <f t="shared" si="49"/>
        <v>44440.54</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4191.01</v>
      </c>
      <c r="M133" s="252"/>
      <c r="N133" s="275">
        <f t="shared" si="45"/>
        <v>4191.01</v>
      </c>
      <c r="O133" s="252"/>
      <c r="P133" s="41"/>
      <c r="Q133" s="255">
        <f>SUMIFS(BV_Data_An_Prec!$AN:$AN,BV_Data_An_Prec!$AP:$AP,$B133,BV_Data_An_Prec!$AQ:$AQ,$C133,BV_Data_An_Prec!$AR:$AR,$L$2)</f>
        <v>0</v>
      </c>
      <c r="R133" s="252"/>
      <c r="S133" s="275">
        <f t="shared" si="49"/>
        <v>4191.01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0.24487890895761258</v>
      </c>
      <c r="L136" s="306">
        <f>SUM(L124:L135)</f>
        <v>407662.33999999997</v>
      </c>
      <c r="M136" s="353"/>
      <c r="N136" s="318">
        <f t="shared" si="45"/>
        <v>407662.33999999997</v>
      </c>
      <c r="O136" s="307" t="s">
        <v>115</v>
      </c>
      <c r="P136" s="305" t="e">
        <f>Q136/Q$109</f>
        <v>#DIV/0!</v>
      </c>
      <c r="Q136" s="306">
        <f>SUM(Q124:Q135)</f>
        <v>0</v>
      </c>
      <c r="R136" s="353"/>
      <c r="S136" s="318">
        <f t="shared" si="49"/>
        <v>407662.33999999997</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17766.7</v>
      </c>
      <c r="M140" s="252"/>
      <c r="N140" s="275">
        <f t="shared" si="45"/>
        <v>17766.7</v>
      </c>
      <c r="O140" s="252"/>
      <c r="P140" s="41"/>
      <c r="Q140" s="255">
        <f>SUMIFS(BV_Data_An_Prec!$AN:$AN,BV_Data_An_Prec!$AP:$AP,$B140,BV_Data_An_Prec!$AQ:$AQ,$C140,BV_Data_An_Prec!$AR:$AR,$L$2)</f>
        <v>0</v>
      </c>
      <c r="R140" s="252"/>
      <c r="S140" s="275">
        <f t="shared" si="49"/>
        <v>17766.7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5851.2</v>
      </c>
      <c r="M141" s="252"/>
      <c r="N141" s="275">
        <f t="shared" si="45"/>
        <v>5851.2</v>
      </c>
      <c r="O141" s="252"/>
      <c r="P141" s="41"/>
      <c r="Q141" s="255">
        <f>SUMIFS(BV_Data_An_Prec!$AN:$AN,BV_Data_An_Prec!$AP:$AP,$B141,BV_Data_An_Prec!$AQ:$AQ,$C141,BV_Data_An_Prec!$AR:$AR,$L$2)</f>
        <v>0</v>
      </c>
      <c r="R141" s="252"/>
      <c r="S141" s="275">
        <f t="shared" si="49"/>
        <v>5851.2</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8745.48</v>
      </c>
      <c r="M142" s="245"/>
      <c r="N142" s="295">
        <f t="shared" si="45"/>
        <v>8745.48</v>
      </c>
      <c r="O142" s="245"/>
      <c r="P142" s="316"/>
      <c r="Q142" s="247">
        <f>SUMIFS(BV_Data_An_Prec!$AN:$AN,BV_Data_An_Prec!$AP:$AP,$B142,BV_Data_An_Prec!$AQ:$AQ,$C142,BV_Data_An_Prec!$AR:$AR,$L$2)</f>
        <v>0</v>
      </c>
      <c r="R142" s="245"/>
      <c r="S142" s="295">
        <f t="shared" si="49"/>
        <v>8745.48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6405.81</v>
      </c>
      <c r="M145" s="252"/>
      <c r="N145" s="275">
        <f t="shared" si="45"/>
        <v>6405.81</v>
      </c>
      <c r="O145" s="252"/>
      <c r="P145" s="41"/>
      <c r="Q145" s="255">
        <f>SUMIFS(BV_Data_An_Prec!$AN:$AN,BV_Data_An_Prec!$AP:$AP,$B145,BV_Data_An_Prec!$AQ:$AQ,$C145,BV_Data_An_Prec!$AR:$AR,$L$2)</f>
        <v>0</v>
      </c>
      <c r="R145" s="252"/>
      <c r="S145" s="275">
        <f t="shared" si="49"/>
        <v>6405.81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1074.47</v>
      </c>
      <c r="M146" s="252"/>
      <c r="N146" s="275">
        <f t="shared" si="45"/>
        <v>1074.47</v>
      </c>
      <c r="O146" s="252"/>
      <c r="P146" s="41"/>
      <c r="Q146" s="255">
        <f>SUMIFS(BV_Data_An_Prec!$AN:$AN,BV_Data_An_Prec!$AP:$AP,$B146,BV_Data_An_Prec!$AQ:$AQ,$C146,BV_Data_An_Prec!$AR:$AR,$L$2)</f>
        <v>0</v>
      </c>
      <c r="R146" s="252"/>
      <c r="S146" s="275">
        <f t="shared" si="49"/>
        <v>1074.47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2.3971252584891512E-2</v>
      </c>
      <c r="L154" s="306">
        <f>+SUM(L137:L153)</f>
        <v>39906.160000000003</v>
      </c>
      <c r="M154" s="309"/>
      <c r="N154" s="306">
        <f t="shared" si="45"/>
        <v>39906.160000000003</v>
      </c>
      <c r="O154" s="307" t="s">
        <v>115</v>
      </c>
      <c r="P154" s="305" t="e">
        <f>Q154/Q$109</f>
        <v>#DIV/0!</v>
      </c>
      <c r="Q154" s="306">
        <f>+SUM(Q137:Q153)</f>
        <v>0</v>
      </c>
      <c r="R154" s="309"/>
      <c r="S154" s="306">
        <f t="shared" si="49"/>
        <v>39906.160000000003</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0.36375886955615794</v>
      </c>
      <c r="L156" s="306">
        <f>L123+L136+L154</f>
        <v>605567.84</v>
      </c>
      <c r="M156" s="309"/>
      <c r="N156" s="318">
        <f t="shared" ref="N156:N163" si="50">L156-F156</f>
        <v>605567.84</v>
      </c>
      <c r="O156" s="307" t="s">
        <v>115</v>
      </c>
      <c r="P156" s="305" t="e">
        <f>Q156/Q$109</f>
        <v>#DIV/0!</v>
      </c>
      <c r="Q156" s="306">
        <f>Q123+Q136+Q154</f>
        <v>0</v>
      </c>
      <c r="R156" s="309"/>
      <c r="S156" s="318">
        <f t="shared" ref="S156:S163" si="51">L156-Q156</f>
        <v>605567.84</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1059182.8799999999</v>
      </c>
      <c r="M166" s="330"/>
      <c r="N166" s="333">
        <f>L166-F166</f>
        <v>1059182.8799999999</v>
      </c>
      <c r="O166" s="330"/>
      <c r="P166" s="332"/>
      <c r="Q166" s="333">
        <f>Q109-Q156+Q164</f>
        <v>0</v>
      </c>
      <c r="R166" s="330"/>
      <c r="S166" s="333">
        <f>L166-Q166</f>
        <v>1059182.8799999999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Novembre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8169</v>
      </c>
      <c r="K173" s="253">
        <f>-SUMIFS(BV_Data_An_Cour!$AN:$AN,BV_Data_An_Cour!$AS:$AS,"Oui",BV_Data_An_Cour!$AP:$AP,$B173,BV_Data_An_Cour!$AQ:$AQ,$C173)</f>
        <v>1139959.18</v>
      </c>
      <c r="L173" s="255">
        <f>-SUMIFS(BV_Data_An_Cour!$AN:$AN,BV_Data_An_Cour!$AP:$AP,$B173,BV_Data_An_Cour!$AQ:$AQ,$C173,BV_Data_An_Cour!$AR:$AR,$L$2)</f>
        <v>923714.28999999992</v>
      </c>
      <c r="M173" s="291" t="e">
        <f>(K173-E173)/E173</f>
        <v>#DIV/0!</v>
      </c>
      <c r="N173" s="275">
        <f>L173-F173</f>
        <v>923714.28999999992</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923714.28999999992</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0.81030470757733619</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139.54696780511691</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3008</v>
      </c>
      <c r="K176" s="270">
        <f>-SUMIFS(BV_Data_An_Cour!$AN:$AN,BV_Data_An_Cour!$AS:$AS,"Oui",BV_Data_An_Cour!$AP:$AP,$B176,BV_Data_An_Cour!$AQ:$AQ,$C176)</f>
        <v>522467.98</v>
      </c>
      <c r="L176" s="255">
        <f>-SUMIFS(BV_Data_An_Cour!$AN:$AN,BV_Data_An_Cour!$AP:$AP,$B176,BV_Data_An_Cour!$AQ:$AQ,$C176,BV_Data_An_Cour!$AR:$AR,$L$2)</f>
        <v>375718.02</v>
      </c>
      <c r="M176" s="291" t="e">
        <f>(K176-E176)/E176</f>
        <v>#DIV/0!</v>
      </c>
      <c r="N176" s="315">
        <f>L176-F176</f>
        <v>375718.02</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375718.02</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0.71912161966365873</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173.6928125</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1576</v>
      </c>
      <c r="K179" s="270">
        <f>-SUMIFS(BV_Data_An_Cour!$AN:$AN,BV_Data_An_Cour!$AS:$AS,"Oui",BV_Data_An_Cour!$AP:$AP,$B179,BV_Data_An_Cour!$AQ:$AQ,$C179)</f>
        <v>255036.48</v>
      </c>
      <c r="L179" s="255">
        <f>-SUMIFS(BV_Data_An_Cour!$AN:$AN,BV_Data_An_Cour!$AP:$AP,$B179,BV_Data_An_Cour!$AQ:$AQ,$C179,BV_Data_An_Cour!$AR:$AR,$L$2)</f>
        <v>205477.41</v>
      </c>
      <c r="M179" s="291" t="e">
        <f>(K179-E179)/E179</f>
        <v>#DIV/0!</v>
      </c>
      <c r="N179" s="275">
        <f>L179-F179</f>
        <v>205477.41</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205477.41</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0.80567850528677309</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161.82517766497463</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-30621.21</v>
      </c>
      <c r="M185" s="371"/>
      <c r="N185" s="275">
        <f>L185-F185</f>
        <v>-30621.21</v>
      </c>
      <c r="O185" s="276"/>
      <c r="P185" s="290"/>
      <c r="Q185" s="290">
        <f>-SUMIFS(BV_Data_An_Prec!$AN:$AN,BV_Data_An_Prec!$AP:$AP,$B185,BV_Data_An_Prec!$AQ:$AQ,$C185,BV_Data_An_Prec!$AR:$AR,$L$2)</f>
        <v>0</v>
      </c>
      <c r="R185" s="377"/>
      <c r="S185" s="275">
        <f t="shared" ref="S185:S186" si="53">L185-Q185</f>
        <v>-30621.21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12753</v>
      </c>
      <c r="K186" s="379">
        <f t="shared" si="56"/>
        <v>1917463.64</v>
      </c>
      <c r="L186" s="380">
        <f t="shared" si="56"/>
        <v>1474288.51</v>
      </c>
      <c r="M186" s="382" t="e">
        <f>(K186-E186)/E186</f>
        <v>#DIV/0!</v>
      </c>
      <c r="N186" s="380">
        <f>L186-F186</f>
        <v>1474288.51</v>
      </c>
      <c r="O186" s="381">
        <f t="shared" ref="O186:Q186" si="57">O173+O176+O179+O182+O185</f>
        <v>0</v>
      </c>
      <c r="P186" s="379">
        <f t="shared" si="57"/>
        <v>0</v>
      </c>
      <c r="Q186" s="380">
        <f t="shared" si="57"/>
        <v>0</v>
      </c>
      <c r="R186" s="263">
        <f>IF(O186=0,0,J186/O186)</f>
        <v>0</v>
      </c>
      <c r="S186" s="380">
        <f t="shared" si="53"/>
        <v>1474288.51</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150.35392770328551</v>
      </c>
      <c r="L187" s="264">
        <f>IF(L186=0,0,L186/K186)</f>
        <v>0.76887429792410567</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3099</v>
      </c>
      <c r="K189" s="253">
        <f>-SUMIFS(BV_Data_An_Cour!$AN:$AN,BV_Data_An_Cour!$AS:$AS,"Oui",BV_Data_An_Cour!$AP:$AP,$B189,BV_Data_An_Cour!$AQ:$AQ,$C189)</f>
        <v>516384.66</v>
      </c>
      <c r="L189" s="255">
        <f>-SUMIFS(BV_Data_An_Cour!$AN:$AN,BV_Data_An_Cour!$AP:$AP,$B189,BV_Data_An_Cour!$AQ:$AQ,$C189,BV_Data_An_Cour!$AR:$AR,$L$2)</f>
        <v>66906.139999999956</v>
      </c>
      <c r="M189" s="291">
        <f>IF(E189=0,0,(K189-E189)/E189)</f>
        <v>0</v>
      </c>
      <c r="N189" s="275">
        <f>L189-F189</f>
        <v>66906.139999999956</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66906.139999999956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0.12956647472835456</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2433848.2999999998</v>
      </c>
      <c r="L195" s="280">
        <f t="shared" si="59"/>
        <v>1541194.65</v>
      </c>
      <c r="M195" s="397" t="e">
        <f>L196-F196</f>
        <v>#DIV/0!</v>
      </c>
      <c r="N195" s="280">
        <f>L195-F195</f>
        <v>1541194.65</v>
      </c>
      <c r="O195" s="281"/>
      <c r="P195" s="278">
        <f t="shared" ref="P195:Q195" si="60">P186+P189+P192</f>
        <v>0</v>
      </c>
      <c r="Q195" s="280">
        <f t="shared" si="60"/>
        <v>0</v>
      </c>
      <c r="R195" s="397" t="e">
        <f>L196-Q196</f>
        <v>#DIV/0!</v>
      </c>
      <c r="S195" s="280">
        <f>L195-Q195</f>
        <v>1541194.65</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0.63323365305882051</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81415.37</v>
      </c>
      <c r="M199" s="252"/>
      <c r="N199" s="275">
        <f t="shared" ref="N199:N230" si="61">L199-F199</f>
        <v>81415.37</v>
      </c>
      <c r="O199" s="252"/>
      <c r="P199" s="41"/>
      <c r="Q199" s="255">
        <f>SUMIFS(BV_Data_An_Prec!$AN:$AN,BV_Data_An_Prec!$AP:$AP,$B199,BV_Data_An_Prec!$AQ:$AQ,$C199,BV_Data_An_Prec!$AR:$AR,$L$2)</f>
        <v>0</v>
      </c>
      <c r="R199" s="252"/>
      <c r="S199" s="255">
        <f t="shared" ref="S199:S230" si="62">L199-Q199</f>
        <v>81415.37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414753.66</v>
      </c>
      <c r="M201" s="240"/>
      <c r="N201" s="315">
        <f t="shared" si="61"/>
        <v>414753.66</v>
      </c>
      <c r="O201" s="240"/>
      <c r="P201" s="313"/>
      <c r="Q201" s="271">
        <f>SUMIFS(BV_Data_An_Prec!$AN:$AN,BV_Data_An_Prec!$AP:$AP,$B201,BV_Data_An_Prec!$AQ:$AQ,$C201,BV_Data_An_Prec!$AR:$AR,$L$2)</f>
        <v>0</v>
      </c>
      <c r="R201" s="240"/>
      <c r="S201" s="315">
        <f t="shared" si="62"/>
        <v>414753.66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105715.58</v>
      </c>
      <c r="M206" s="252"/>
      <c r="N206" s="275">
        <f t="shared" si="61"/>
        <v>105715.58</v>
      </c>
      <c r="O206" s="252"/>
      <c r="P206" s="41"/>
      <c r="Q206" s="255">
        <f>SUMIFS(BV_Data_An_Prec!$AN:$AN,BV_Data_An_Prec!$AP:$AP,$B206,BV_Data_An_Prec!$AQ:$AQ,$C206,BV_Data_An_Prec!$AR:$AR,$L$2)</f>
        <v>0</v>
      </c>
      <c r="R206" s="252"/>
      <c r="S206" s="275">
        <f t="shared" si="62"/>
        <v>105715.58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145435.37</v>
      </c>
      <c r="M207" s="240"/>
      <c r="N207" s="315">
        <f t="shared" si="61"/>
        <v>145435.37</v>
      </c>
      <c r="O207" s="240"/>
      <c r="P207" s="313"/>
      <c r="Q207" s="271">
        <f>SUMIFS(BV_Data_An_Prec!$AN:$AN,BV_Data_An_Prec!$AP:$AP,$B207,BV_Data_An_Prec!$AQ:$AQ,$C207,BV_Data_An_Prec!$AR:$AR,$L$2)</f>
        <v>0</v>
      </c>
      <c r="R207" s="240"/>
      <c r="S207" s="315">
        <f t="shared" si="62"/>
        <v>145435.37</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14289.3</v>
      </c>
      <c r="M208" s="252"/>
      <c r="N208" s="275">
        <f t="shared" si="61"/>
        <v>14289.3</v>
      </c>
      <c r="O208" s="252"/>
      <c r="P208" s="41"/>
      <c r="Q208" s="255">
        <f>SUMIFS(BV_Data_An_Prec!$AN:$AN,BV_Data_An_Prec!$AP:$AP,$B208,BV_Data_An_Prec!$AQ:$AQ,$C208,BV_Data_An_Prec!$AR:$AR,$L$2)</f>
        <v>0</v>
      </c>
      <c r="R208" s="252"/>
      <c r="S208" s="275">
        <f t="shared" si="62"/>
        <v>14289.3</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0.49416813119614716</v>
      </c>
      <c r="L211" s="306">
        <f>+SUM(L199:L210)</f>
        <v>761609.28</v>
      </c>
      <c r="M211" s="353"/>
      <c r="N211" s="318">
        <f t="shared" si="61"/>
        <v>761609.28</v>
      </c>
      <c r="O211" s="307" t="s">
        <v>171</v>
      </c>
      <c r="P211" s="305" t="e">
        <f>Q211/Q$195</f>
        <v>#DIV/0!</v>
      </c>
      <c r="Q211" s="306">
        <f>+SUM(Q199:Q210)</f>
        <v>0</v>
      </c>
      <c r="R211" s="353"/>
      <c r="S211" s="318">
        <f t="shared" si="62"/>
        <v>761609.28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-8221.5299999999988</v>
      </c>
      <c r="M214" s="245"/>
      <c r="N214" s="295">
        <f t="shared" si="61"/>
        <v>-8221.5299999999988</v>
      </c>
      <c r="O214" s="245"/>
      <c r="P214" s="316"/>
      <c r="Q214" s="255">
        <f>SUMIFS(BV_Data_An_Prec!$AN:$AN,BV_Data_An_Prec!$AP:$AP,$B214,BV_Data_An_Prec!$AQ:$AQ,$C214,BV_Data_An_Prec!$AR:$AR,$L$2)</f>
        <v>0</v>
      </c>
      <c r="R214" s="245"/>
      <c r="S214" s="295">
        <f t="shared" si="62"/>
        <v>-8221.5299999999988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17153.419999999998</v>
      </c>
      <c r="M215" s="252"/>
      <c r="N215" s="275">
        <f t="shared" si="61"/>
        <v>17153.419999999998</v>
      </c>
      <c r="O215" s="252"/>
      <c r="P215" s="41"/>
      <c r="Q215" s="271">
        <f>SUMIFS(BV_Data_An_Prec!$AN:$AN,BV_Data_An_Prec!$AP:$AP,$B215,BV_Data_An_Prec!$AQ:$AQ,$C215,BV_Data_An_Prec!$AR:$AR,$L$2)</f>
        <v>0</v>
      </c>
      <c r="R215" s="252"/>
      <c r="S215" s="275">
        <f t="shared" si="62"/>
        <v>17153.419999999998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29528.66</v>
      </c>
      <c r="M216" s="252"/>
      <c r="N216" s="275">
        <f t="shared" si="61"/>
        <v>29528.66</v>
      </c>
      <c r="O216" s="252"/>
      <c r="P216" s="41"/>
      <c r="Q216" s="255">
        <f>SUMIFS(BV_Data_An_Prec!$AN:$AN,BV_Data_An_Prec!$AP:$AP,$B216,BV_Data_An_Prec!$AQ:$AQ,$C216,BV_Data_An_Prec!$AR:$AR,$L$2)</f>
        <v>0</v>
      </c>
      <c r="R216" s="252"/>
      <c r="S216" s="275">
        <f t="shared" si="62"/>
        <v>29528.66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10812.810000000001</v>
      </c>
      <c r="M217" s="245"/>
      <c r="N217" s="295">
        <f t="shared" si="61"/>
        <v>10812.810000000001</v>
      </c>
      <c r="O217" s="245"/>
      <c r="P217" s="316"/>
      <c r="Q217" s="255">
        <f>SUMIFS(BV_Data_An_Prec!$AN:$AN,BV_Data_An_Prec!$AP:$AP,$B217,BV_Data_An_Prec!$AQ:$AQ,$C217,BV_Data_An_Prec!$AR:$AR,$L$2)</f>
        <v>0</v>
      </c>
      <c r="R217" s="245"/>
      <c r="S217" s="295">
        <f t="shared" si="62"/>
        <v>10812.810000000001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56085.11</v>
      </c>
      <c r="M218" s="252"/>
      <c r="N218" s="275">
        <f t="shared" si="61"/>
        <v>56085.11</v>
      </c>
      <c r="O218" s="252"/>
      <c r="P218" s="41"/>
      <c r="Q218" s="271">
        <f>SUMIFS(BV_Data_An_Prec!$AN:$AN,BV_Data_An_Prec!$AP:$AP,$B218,BV_Data_An_Prec!$AQ:$AQ,$C218,BV_Data_An_Prec!$AR:$AR,$L$2)</f>
        <v>0</v>
      </c>
      <c r="R218" s="252"/>
      <c r="S218" s="275">
        <f t="shared" si="62"/>
        <v>56085.11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18154.39</v>
      </c>
      <c r="M220" s="252"/>
      <c r="N220" s="275">
        <f t="shared" si="61"/>
        <v>18154.39</v>
      </c>
      <c r="O220" s="252"/>
      <c r="P220" s="41"/>
      <c r="Q220" s="255">
        <f>SUMIFS(BV_Data_An_Prec!$AN:$AN,BV_Data_An_Prec!$AP:$AP,$B220,BV_Data_An_Prec!$AQ:$AQ,$C220,BV_Data_An_Prec!$AR:$AR,$L$2)</f>
        <v>0</v>
      </c>
      <c r="R220" s="252"/>
      <c r="S220" s="275">
        <f t="shared" si="62"/>
        <v>18154.39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8490.2099999999991</v>
      </c>
      <c r="M221" s="252"/>
      <c r="N221" s="275">
        <f t="shared" si="61"/>
        <v>8490.2099999999991</v>
      </c>
      <c r="O221" s="252"/>
      <c r="P221" s="41"/>
      <c r="Q221" s="255">
        <f>SUMIFS(BV_Data_An_Prec!$AN:$AN,BV_Data_An_Prec!$AP:$AP,$B221,BV_Data_An_Prec!$AQ:$AQ,$C221,BV_Data_An_Prec!$AR:$AR,$L$2)</f>
        <v>0</v>
      </c>
      <c r="R221" s="252"/>
      <c r="S221" s="275">
        <f t="shared" si="62"/>
        <v>8490.2099999999991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1269.9000000000001</v>
      </c>
      <c r="M222" s="252"/>
      <c r="N222" s="275">
        <f t="shared" si="61"/>
        <v>1269.9000000000001</v>
      </c>
      <c r="O222" s="252"/>
      <c r="P222" s="41"/>
      <c r="Q222" s="255">
        <f>SUMIFS(BV_Data_An_Prec!$AN:$AN,BV_Data_An_Prec!$AP:$AP,$B222,BV_Data_An_Prec!$AQ:$AQ,$C222,BV_Data_An_Prec!$AR:$AR,$L$2)</f>
        <v>0</v>
      </c>
      <c r="R222" s="252"/>
      <c r="S222" s="275">
        <f t="shared" si="62"/>
        <v>1269.9000000000001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1310.56</v>
      </c>
      <c r="M223" s="252"/>
      <c r="N223" s="275">
        <f t="shared" si="61"/>
        <v>1310.56</v>
      </c>
      <c r="O223" s="252"/>
      <c r="P223" s="41"/>
      <c r="Q223" s="255">
        <f>SUMIFS(BV_Data_An_Prec!$AN:$AN,BV_Data_An_Prec!$AP:$AP,$B223,BV_Data_An_Prec!$AQ:$AQ,$C223,BV_Data_An_Prec!$AR:$AR,$L$2)</f>
        <v>0</v>
      </c>
      <c r="R223" s="252"/>
      <c r="S223" s="275">
        <f t="shared" si="62"/>
        <v>1310.56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4536.5</v>
      </c>
      <c r="M224" s="252"/>
      <c r="N224" s="275">
        <f t="shared" si="61"/>
        <v>4536.5</v>
      </c>
      <c r="O224" s="252"/>
      <c r="P224" s="41"/>
      <c r="Q224" s="255">
        <f>SUMIFS(BV_Data_An_Prec!$AN:$AN,BV_Data_An_Prec!$AP:$AP,$B224,BV_Data_An_Prec!$AQ:$AQ,$C224,BV_Data_An_Prec!$AR:$AR,$L$2)</f>
        <v>0</v>
      </c>
      <c r="R224" s="252"/>
      <c r="S224" s="275">
        <f t="shared" si="62"/>
        <v>4536.5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10251.459999999999</v>
      </c>
      <c r="M225" s="252"/>
      <c r="N225" s="275">
        <f t="shared" si="61"/>
        <v>10251.459999999999</v>
      </c>
      <c r="O225" s="252"/>
      <c r="P225" s="41"/>
      <c r="Q225" s="255">
        <f>SUMIFS(BV_Data_An_Prec!$AN:$AN,BV_Data_An_Prec!$AP:$AP,$B225,BV_Data_An_Prec!$AQ:$AQ,$C225,BV_Data_An_Prec!$AR:$AR,$L$2)</f>
        <v>0</v>
      </c>
      <c r="R225" s="252"/>
      <c r="S225" s="275">
        <f t="shared" si="62"/>
        <v>10251.459999999999</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9.8607525013144834E-2</v>
      </c>
      <c r="L230" s="306">
        <f>+SUM(L212:L229)</f>
        <v>151973.38999999998</v>
      </c>
      <c r="M230" s="309"/>
      <c r="N230" s="306">
        <f t="shared" si="61"/>
        <v>151973.38999999998</v>
      </c>
      <c r="O230" s="307" t="s">
        <v>171</v>
      </c>
      <c r="P230" s="305" t="e">
        <f>Q230/Q$195</f>
        <v>#DIV/0!</v>
      </c>
      <c r="Q230" s="306">
        <f>+SUM(Q212:Q229)</f>
        <v>0</v>
      </c>
      <c r="R230" s="309"/>
      <c r="S230" s="306">
        <f t="shared" si="62"/>
        <v>151973.38999999998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0.59277565620929196</v>
      </c>
      <c r="L232" s="306">
        <f>L211+L230</f>
        <v>913582.67</v>
      </c>
      <c r="M232" s="309"/>
      <c r="N232" s="318">
        <f>L232-F232</f>
        <v>913582.67</v>
      </c>
      <c r="O232" s="307" t="s">
        <v>115</v>
      </c>
      <c r="P232" s="305" t="e">
        <f>Q232/Q$195</f>
        <v>#DIV/0!</v>
      </c>
      <c r="Q232" s="306">
        <f>Q211+Q230</f>
        <v>0</v>
      </c>
      <c r="R232" s="309"/>
      <c r="S232" s="318">
        <f>L232-Q232</f>
        <v>913582.67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627611.97999999986</v>
      </c>
      <c r="M234" s="330"/>
      <c r="N234" s="333">
        <f>L234-F234</f>
        <v>627611.97999999986</v>
      </c>
      <c r="O234" s="330"/>
      <c r="P234" s="332"/>
      <c r="Q234" s="333">
        <f>Q195-Q232</f>
        <v>0</v>
      </c>
      <c r="R234" s="330"/>
      <c r="S234" s="333">
        <f>L234-Q234</f>
        <v>627611.97999999986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Novembre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Novembre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766784.97</v>
      </c>
      <c r="K296" s="351">
        <f t="shared" ref="K296:K305" si="71">IF(J296&lt;=0,0,L296/J296)</f>
        <v>0.35115050572783135</v>
      </c>
      <c r="L296" s="275">
        <f>-SUMIFS(BV_Data_An_Cour!$AN:$AN,BV_Data_An_Cour!$AP:$AP,$B296,BV_Data_An_Cour!$AQ:$AQ,$C296,BV_Data_An_Cour!$AR:$AR,$L$2)</f>
        <v>269256.93</v>
      </c>
      <c r="M296" s="291" t="e">
        <f t="shared" ref="M296:M302" si="72">(+J296-D296)/D296</f>
        <v>#DIV/0!</v>
      </c>
      <c r="N296" s="275">
        <f t="shared" ref="N296:N305" si="73">L296-F296</f>
        <v>269256.93</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269256.93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1148185.53</v>
      </c>
      <c r="K298" s="351">
        <f t="shared" si="71"/>
        <v>0.19786124634404689</v>
      </c>
      <c r="L298" s="275">
        <f>-SUMIFS(BV_Data_An_Cour!$AN:$AN,BV_Data_An_Cour!$AP:$AP,$B298,BV_Data_An_Cour!$AQ:$AQ,$C298,BV_Data_An_Cour!$AR:$AR,$L$2)</f>
        <v>227181.42000000004</v>
      </c>
      <c r="M298" s="291" t="e">
        <f t="shared" si="72"/>
        <v>#DIV/0!</v>
      </c>
      <c r="N298" s="275">
        <f t="shared" si="73"/>
        <v>227181.42000000004</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227181.42000000004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102995.32</v>
      </c>
      <c r="K299" s="351">
        <f t="shared" si="71"/>
        <v>0.30750756442137378</v>
      </c>
      <c r="L299" s="275">
        <f>-SUMIFS(BV_Data_An_Cour!$AN:$AN,BV_Data_An_Cour!$AP:$AP,$B299,BV_Data_An_Cour!$AQ:$AQ,$C299,BV_Data_An_Cour!$AR:$AR,$L$2)</f>
        <v>31671.840000000011</v>
      </c>
      <c r="M299" s="291" t="e">
        <f t="shared" si="72"/>
        <v>#DIV/0!</v>
      </c>
      <c r="N299" s="275">
        <f t="shared" si="73"/>
        <v>31671.840000000011</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31671.840000000011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320796.84999999998</v>
      </c>
      <c r="K300" s="351">
        <f t="shared" si="71"/>
        <v>0.25499467965474099</v>
      </c>
      <c r="L300" s="275">
        <f>-SUMIFS(BV_Data_An_Cour!$AN:$AN,BV_Data_An_Cour!$AP:$AP,$B300,BV_Data_An_Cour!$AQ:$AQ,$C300,BV_Data_An_Cour!$AR:$AR,$L$2)</f>
        <v>81801.489999999991</v>
      </c>
      <c r="M300" s="291" t="e">
        <f t="shared" si="72"/>
        <v>#DIV/0!</v>
      </c>
      <c r="N300" s="275">
        <f t="shared" si="73"/>
        <v>81801.489999999991</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81801.489999999991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3730521.35</v>
      </c>
      <c r="K301" s="351">
        <f t="shared" si="71"/>
        <v>0.17889885819846607</v>
      </c>
      <c r="L301" s="275">
        <f>-SUMIFS(BV_Data_An_Cour!$AN:$AN,BV_Data_An_Cour!$AP:$AP,$B301,BV_Data_An_Cour!$AQ:$AQ,$C301,BV_Data_An_Cour!$AR:$AR,$L$2)</f>
        <v>667386.01000000024</v>
      </c>
      <c r="M301" s="291" t="e">
        <f t="shared" si="72"/>
        <v>#DIV/0!</v>
      </c>
      <c r="N301" s="275">
        <f t="shared" si="73"/>
        <v>667386.01000000024</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667386.01000000024</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121131.88</v>
      </c>
      <c r="M303" s="291"/>
      <c r="N303" s="275">
        <f t="shared" si="73"/>
        <v>121131.88</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121131.88</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5321.88</v>
      </c>
      <c r="M304" s="291"/>
      <c r="N304" s="275">
        <f t="shared" si="73"/>
        <v>5321.88</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5321.88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6069284.0199999996</v>
      </c>
      <c r="K305" s="405">
        <f t="shared" si="71"/>
        <v>0.23128781671351084</v>
      </c>
      <c r="L305" s="390">
        <f>SUM(L296:L304)</f>
        <v>1403751.4500000002</v>
      </c>
      <c r="M305" s="406" t="e">
        <f>(+J305-D305)/D305</f>
        <v>#DIV/0!</v>
      </c>
      <c r="N305" s="390">
        <f t="shared" si="73"/>
        <v>1403751.4500000002</v>
      </c>
      <c r="O305" s="388">
        <f t="shared" ref="O305" si="79">SUM(O296:O304)</f>
        <v>0</v>
      </c>
      <c r="P305" s="405">
        <f t="shared" si="74"/>
        <v>0</v>
      </c>
      <c r="Q305" s="390">
        <f>SUM(Q296:Q304)</f>
        <v>0</v>
      </c>
      <c r="R305" s="406">
        <f t="shared" si="75"/>
        <v>0</v>
      </c>
      <c r="S305" s="390">
        <f t="shared" si="76"/>
        <v>1403751.4500000002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577341</v>
      </c>
      <c r="K308" s="351">
        <f t="shared" ref="K308:K310" si="81">IF(J308&lt;=0,0,L308/J308)</f>
        <v>0.2160821420962655</v>
      </c>
      <c r="L308" s="315">
        <f>-SUMIFS(BV_Data_An_Cour!$AN:$AN,BV_Data_An_Cour!$AP:$AP,$B308,BV_Data_An_Cour!$AQ:$AQ,$C308,BV_Data_An_Cour!$AR:$AR,$L$2)</f>
        <v>124753.08000000002</v>
      </c>
      <c r="M308" s="291" t="e">
        <f>(+J308-D308)/D308</f>
        <v>#DIV/0!</v>
      </c>
      <c r="N308" s="275">
        <f>L308-F308</f>
        <v>124753.08000000002</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124753.08000000002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228836.51</v>
      </c>
      <c r="K309" s="351">
        <f t="shared" si="81"/>
        <v>0.24559791617168084</v>
      </c>
      <c r="L309" s="295">
        <f>-SUMIFS(BV_Data_An_Cour!$AN:$AN,BV_Data_An_Cour!$AP:$AP,$B309,BV_Data_An_Cour!$AQ:$AQ,$C309,BV_Data_An_Cour!$AR:$AR,$L$2)</f>
        <v>56201.770000000004</v>
      </c>
      <c r="M309" s="291" t="e">
        <f>(+J309-D309)/D309</f>
        <v>#DIV/0!</v>
      </c>
      <c r="N309" s="275">
        <f>L309-F309</f>
        <v>56201.770000000004</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56201.770000000004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6875461.5299999993</v>
      </c>
      <c r="K310" s="405">
        <f t="shared" si="81"/>
        <v>0.23048726155842522</v>
      </c>
      <c r="L310" s="390">
        <f>L305+L308+L309</f>
        <v>1584706.3000000003</v>
      </c>
      <c r="M310" s="406" t="e">
        <f>(+J310-D310)/D310</f>
        <v>#DIV/0!</v>
      </c>
      <c r="N310" s="390">
        <f>L310-F310</f>
        <v>1584706.3000000003</v>
      </c>
      <c r="O310" s="391">
        <f t="shared" ref="O310" si="87">O305+O308+O309</f>
        <v>0</v>
      </c>
      <c r="P310" s="405">
        <f t="shared" si="82"/>
        <v>0</v>
      </c>
      <c r="Q310" s="390">
        <f>Q305+Q308+Q309</f>
        <v>0</v>
      </c>
      <c r="R310" s="406">
        <f t="shared" si="83"/>
        <v>0</v>
      </c>
      <c r="S310" s="390">
        <f t="shared" si="84"/>
        <v>1584706.3000000003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6875461.5299999993</v>
      </c>
      <c r="K315" s="408">
        <f>IF(J315&lt;=0,0,L315/J315)</f>
        <v>0.23048726155842522</v>
      </c>
      <c r="L315" s="280">
        <f>L310+L313</f>
        <v>1584706.3000000003</v>
      </c>
      <c r="M315" s="409" t="e">
        <f>(+J315-D315)/D315</f>
        <v>#DIV/0!</v>
      </c>
      <c r="N315" s="410">
        <f>L315-F315</f>
        <v>1584706.3000000003</v>
      </c>
      <c r="O315" s="281">
        <f t="shared" ref="O315" si="90">O310+O313</f>
        <v>0</v>
      </c>
      <c r="P315" s="408">
        <f>IF(O315&lt;=0,0,Q315/O315)</f>
        <v>0</v>
      </c>
      <c r="Q315" s="280">
        <f>Q310+Q313</f>
        <v>0</v>
      </c>
      <c r="R315" s="409">
        <f>IF(O315=0,0,(J315-O315)/O315)</f>
        <v>0</v>
      </c>
      <c r="S315" s="410">
        <f>L315-Q315</f>
        <v>1584706.3000000003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58592.33</v>
      </c>
      <c r="M319" s="252"/>
      <c r="N319" s="275">
        <f t="shared" ref="N319:N349" si="91">L319-F319</f>
        <v>58592.33</v>
      </c>
      <c r="O319" s="252"/>
      <c r="P319" s="41"/>
      <c r="Q319" s="255">
        <f>SUMIFS(BV_Data_An_Prec!$AN:$AN,BV_Data_An_Prec!$AP:$AP,$B319,BV_Data_An_Prec!$AQ:$AQ,$C319,BV_Data_An_Prec!$AR:$AR,$L$2)</f>
        <v>0</v>
      </c>
      <c r="R319" s="252"/>
      <c r="S319" s="255">
        <f t="shared" ref="S319:S349" si="92">L319-Q319</f>
        <v>58592.33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215566.76</v>
      </c>
      <c r="M321" s="240"/>
      <c r="N321" s="315">
        <f t="shared" si="91"/>
        <v>215566.76</v>
      </c>
      <c r="O321" s="240"/>
      <c r="P321" s="313"/>
      <c r="Q321" s="271">
        <f>SUMIFS(BV_Data_An_Prec!$AN:$AN,BV_Data_An_Prec!$AP:$AP,$B321,BV_Data_An_Prec!$AQ:$AQ,$C321,BV_Data_An_Prec!$AR:$AR,$L$2)</f>
        <v>0</v>
      </c>
      <c r="R321" s="240"/>
      <c r="S321" s="315">
        <f t="shared" si="92"/>
        <v>215566.76</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27045.83</v>
      </c>
      <c r="M326" s="252"/>
      <c r="N326" s="275">
        <f t="shared" si="91"/>
        <v>27045.83</v>
      </c>
      <c r="O326" s="252"/>
      <c r="P326" s="41"/>
      <c r="Q326" s="255">
        <f>SUMIFS(BV_Data_An_Prec!$AN:$AN,BV_Data_An_Prec!$AP:$AP,$B326,BV_Data_An_Prec!$AQ:$AQ,$C326,BV_Data_An_Prec!$AR:$AR,$L$2)</f>
        <v>0</v>
      </c>
      <c r="R326" s="252"/>
      <c r="S326" s="275">
        <f t="shared" si="92"/>
        <v>27045.83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37976.01</v>
      </c>
      <c r="M327" s="240"/>
      <c r="N327" s="315">
        <f t="shared" si="91"/>
        <v>37976.01</v>
      </c>
      <c r="O327" s="240"/>
      <c r="P327" s="313"/>
      <c r="Q327" s="271">
        <f>SUMIFS(BV_Data_An_Prec!$AN:$AN,BV_Data_An_Prec!$AP:$AP,$B327,BV_Data_An_Prec!$AQ:$AQ,$C327,BV_Data_An_Prec!$AR:$AR,$L$2)</f>
        <v>0</v>
      </c>
      <c r="R327" s="240"/>
      <c r="S327" s="315">
        <f t="shared" si="92"/>
        <v>37976.01</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3585.74</v>
      </c>
      <c r="M328" s="252"/>
      <c r="N328" s="275">
        <f t="shared" si="91"/>
        <v>3585.74</v>
      </c>
      <c r="O328" s="252"/>
      <c r="P328" s="41"/>
      <c r="Q328" s="255">
        <f>SUMIFS(BV_Data_An_Prec!$AN:$AN,BV_Data_An_Prec!$AP:$AP,$B328,BV_Data_An_Prec!$AQ:$AQ,$C328,BV_Data_An_Prec!$AR:$AR,$L$2)</f>
        <v>0</v>
      </c>
      <c r="R328" s="252"/>
      <c r="S328" s="275">
        <f t="shared" si="92"/>
        <v>3585.74</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0.2162966538342152</v>
      </c>
      <c r="L331" s="306">
        <f>+SUM(L319:L330)</f>
        <v>342766.67000000004</v>
      </c>
      <c r="M331" s="353"/>
      <c r="N331" s="318">
        <f t="shared" si="91"/>
        <v>342766.67000000004</v>
      </c>
      <c r="O331" s="307" t="s">
        <v>115</v>
      </c>
      <c r="P331" s="305" t="e">
        <f>Q331/Q$315</f>
        <v>#DIV/0!</v>
      </c>
      <c r="Q331" s="306">
        <f>+SUM(Q319:Q330)</f>
        <v>0</v>
      </c>
      <c r="R331" s="353"/>
      <c r="S331" s="318">
        <f t="shared" si="92"/>
        <v>342766.67000000004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177435.5</v>
      </c>
      <c r="M332" s="252"/>
      <c r="N332" s="275">
        <f t="shared" si="91"/>
        <v>177435.5</v>
      </c>
      <c r="O332" s="252"/>
      <c r="P332" s="41"/>
      <c r="Q332" s="255">
        <f>SUMIFS(BV_Data_An_Prec!$AN:$AN,BV_Data_An_Prec!$AP:$AP,$B332,BV_Data_An_Prec!$AQ:$AQ,$C332,BV_Data_An_Prec!$AR:$AR,$L$2)</f>
        <v>0</v>
      </c>
      <c r="R332" s="252"/>
      <c r="S332" s="275">
        <f t="shared" si="92"/>
        <v>177435.5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1449.71</v>
      </c>
      <c r="M334" s="245"/>
      <c r="N334" s="295">
        <f t="shared" si="91"/>
        <v>1449.71</v>
      </c>
      <c r="O334" s="245"/>
      <c r="P334" s="316"/>
      <c r="Q334" s="255">
        <f>SUMIFS(BV_Data_An_Prec!$AN:$AN,BV_Data_An_Prec!$AP:$AP,$B334,BV_Data_An_Prec!$AQ:$AQ,$C334,BV_Data_An_Prec!$AR:$AR,$L$2)</f>
        <v>0</v>
      </c>
      <c r="R334" s="245"/>
      <c r="S334" s="295">
        <f t="shared" si="92"/>
        <v>1449.71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20711.73</v>
      </c>
      <c r="M335" s="252"/>
      <c r="N335" s="275">
        <f t="shared" si="91"/>
        <v>20711.73</v>
      </c>
      <c r="O335" s="252"/>
      <c r="P335" s="41"/>
      <c r="Q335" s="271">
        <f>SUMIFS(BV_Data_An_Prec!$AN:$AN,BV_Data_An_Prec!$AP:$AP,$B335,BV_Data_An_Prec!$AQ:$AQ,$C335,BV_Data_An_Prec!$AR:$AR,$L$2)</f>
        <v>0</v>
      </c>
      <c r="R335" s="252"/>
      <c r="S335" s="275">
        <f t="shared" si="92"/>
        <v>20711.73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9756.41</v>
      </c>
      <c r="M336" s="252"/>
      <c r="N336" s="275">
        <f t="shared" si="91"/>
        <v>9756.41</v>
      </c>
      <c r="O336" s="252"/>
      <c r="P336" s="41"/>
      <c r="Q336" s="255">
        <f>SUMIFS(BV_Data_An_Prec!$AN:$AN,BV_Data_An_Prec!$AP:$AP,$B336,BV_Data_An_Prec!$AQ:$AQ,$C336,BV_Data_An_Prec!$AR:$AR,$L$2)</f>
        <v>0</v>
      </c>
      <c r="R336" s="252"/>
      <c r="S336" s="275">
        <f t="shared" si="92"/>
        <v>9756.41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198808.88</v>
      </c>
      <c r="M337" s="245"/>
      <c r="N337" s="295">
        <f t="shared" si="91"/>
        <v>198808.88</v>
      </c>
      <c r="O337" s="245"/>
      <c r="P337" s="316"/>
      <c r="Q337" s="247">
        <f>SUMIFS(BV_Data_An_Prec!$AN:$AN,BV_Data_An_Prec!$AP:$AP,$B337,BV_Data_An_Prec!$AQ:$AQ,$C337,BV_Data_An_Prec!$AR:$AR,$L$2)</f>
        <v>0</v>
      </c>
      <c r="R337" s="245"/>
      <c r="S337" s="295">
        <f t="shared" si="92"/>
        <v>198808.88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7343.55</v>
      </c>
      <c r="M341" s="252"/>
      <c r="N341" s="275">
        <f t="shared" si="91"/>
        <v>7343.55</v>
      </c>
      <c r="O341" s="252"/>
      <c r="P341" s="41"/>
      <c r="Q341" s="255">
        <f>SUMIFS(BV_Data_An_Prec!$AN:$AN,BV_Data_An_Prec!$AP:$AP,$B341,BV_Data_An_Prec!$AQ:$AQ,$C341,BV_Data_An_Prec!$AR:$AR,$L$2)</f>
        <v>0</v>
      </c>
      <c r="R341" s="252"/>
      <c r="S341" s="275">
        <f t="shared" si="92"/>
        <v>7343.55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1074.47</v>
      </c>
      <c r="M342" s="252"/>
      <c r="N342" s="275">
        <f t="shared" si="91"/>
        <v>1074.47</v>
      </c>
      <c r="O342" s="252"/>
      <c r="P342" s="41"/>
      <c r="Q342" s="255">
        <f>SUMIFS(BV_Data_An_Prec!$AN:$AN,BV_Data_An_Prec!$AP:$AP,$B342,BV_Data_An_Prec!$AQ:$AQ,$C342,BV_Data_An_Prec!$AR:$AR,$L$2)</f>
        <v>0</v>
      </c>
      <c r="R342" s="252"/>
      <c r="S342" s="275">
        <f t="shared" si="92"/>
        <v>1074.47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244.76</v>
      </c>
      <c r="M344" s="252"/>
      <c r="N344" s="275">
        <f t="shared" si="91"/>
        <v>244.76</v>
      </c>
      <c r="O344" s="252"/>
      <c r="P344" s="41"/>
      <c r="Q344" s="255">
        <f>SUMIFS(BV_Data_An_Prec!$AN:$AN,BV_Data_An_Prec!$AP:$AP,$B344,BV_Data_An_Prec!$AQ:$AQ,$C344,BV_Data_An_Prec!$AR:$AR,$L$2)</f>
        <v>0</v>
      </c>
      <c r="R344" s="252"/>
      <c r="S344" s="275">
        <f t="shared" si="92"/>
        <v>244.76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0.26302981820669225</v>
      </c>
      <c r="L350" s="306">
        <f>+SUM(L332:L349)</f>
        <v>416825.00999999995</v>
      </c>
      <c r="M350" s="309"/>
      <c r="N350" s="306">
        <f>+SUM(N332:N349)</f>
        <v>416825.00999999995</v>
      </c>
      <c r="O350" s="307" t="s">
        <v>115</v>
      </c>
      <c r="P350" s="305" t="e">
        <f>Q350/Q$315</f>
        <v>#DIV/0!</v>
      </c>
      <c r="Q350" s="306">
        <f>+SUM(Q332:Q349)</f>
        <v>0</v>
      </c>
      <c r="R350" s="309"/>
      <c r="S350" s="306">
        <f>+SUM(S332:S349)</f>
        <v>416825.00999999995</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0.47932647204090739</v>
      </c>
      <c r="L352" s="306">
        <f>L331+L350</f>
        <v>759591.67999999993</v>
      </c>
      <c r="M352" s="309"/>
      <c r="N352" s="318">
        <f>L352-F352</f>
        <v>759591.67999999993</v>
      </c>
      <c r="O352" s="307" t="s">
        <v>115</v>
      </c>
      <c r="P352" s="305" t="e">
        <f>Q352/Q$315</f>
        <v>#DIV/0!</v>
      </c>
      <c r="Q352" s="306">
        <f>Q331+Q350</f>
        <v>0</v>
      </c>
      <c r="R352" s="309"/>
      <c r="S352" s="318">
        <f>L352-Q352</f>
        <v>759591.67999999993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825114.62000000034</v>
      </c>
      <c r="M354" s="330"/>
      <c r="N354" s="333">
        <f>L354-F354</f>
        <v>825114.62000000034</v>
      </c>
      <c r="O354" s="330"/>
      <c r="P354" s="332"/>
      <c r="Q354" s="333">
        <f>Q315-Q352</f>
        <v>0</v>
      </c>
      <c r="R354" s="330"/>
      <c r="S354" s="333">
        <f>L354-Q354</f>
        <v>825114.62000000034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Novembre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Novembre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59495796.539999992</v>
      </c>
      <c r="AG407" s="440"/>
      <c r="AH407" s="441"/>
      <c r="AI407" s="442"/>
      <c r="AJ407" s="440"/>
      <c r="AK407" s="441"/>
      <c r="AL407" s="441">
        <f>Q5+Q93+P195+P251+O315+O363</f>
        <v>0</v>
      </c>
      <c r="AM407" s="443"/>
      <c r="AN407" s="441"/>
      <c r="AO407" s="444"/>
      <c r="AP407" s="38"/>
      <c r="AQ407" s="443">
        <v>54204064.640000001</v>
      </c>
      <c r="AR407" s="569">
        <f t="shared" ref="AR407:AR408" si="99">AF407-AQ407</f>
        <v>5291731.8999999911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0.12754584561109578</v>
      </c>
      <c r="AE408" s="449"/>
      <c r="AF408" s="449">
        <f>L27+L109+L195+L251+L315+L363</f>
        <v>7588441.6800000053</v>
      </c>
      <c r="AG408" s="448"/>
      <c r="AH408" s="449">
        <f>AF408-Z408</f>
        <v>7588441.6800000053</v>
      </c>
      <c r="AI408" s="450" t="e">
        <f>AH408/Z408</f>
        <v>#DIV/0!</v>
      </c>
      <c r="AJ408" s="473" t="e">
        <f>+AL408/AL407</f>
        <v>#DIV/0!</v>
      </c>
      <c r="AK408" s="449"/>
      <c r="AL408" s="449">
        <f>Q27+Q109+Q195+Q251+Q315+Q363</f>
        <v>0</v>
      </c>
      <c r="AM408" s="451"/>
      <c r="AN408" s="449">
        <f>AF408-AL408</f>
        <v>7588441.6800000053</v>
      </c>
      <c r="AO408" s="452">
        <f>IF(AL408=0,0,AN408/AL408)</f>
        <v>0</v>
      </c>
      <c r="AP408" s="94"/>
      <c r="AQ408" s="451">
        <v>7795760.1900000032</v>
      </c>
      <c r="AR408" s="570">
        <f t="shared" si="99"/>
        <v>-207318.50999999791</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813.34631416837783</v>
      </c>
      <c r="AF410" s="455">
        <f t="shared" ref="AF410:AF419" si="103">+SUMIF($C:$C,$V410,L:L)</f>
        <v>792199.31</v>
      </c>
      <c r="AG410" s="456" t="e">
        <f t="shared" ref="AG410:AG419" si="104">AE410-Y410</f>
        <v>#DIV/0!</v>
      </c>
      <c r="AH410" s="457">
        <f t="shared" ref="AH410:AH419" si="105">AF410-Z410</f>
        <v>792199.31</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792199.31</v>
      </c>
      <c r="AO410" s="464">
        <f t="shared" ref="AO410:AO432" si="110">IF(AL410=0,0,AN410/AL410)</f>
        <v>0</v>
      </c>
      <c r="AP410" s="94"/>
      <c r="AQ410" s="571">
        <v>778277.40999999992</v>
      </c>
      <c r="AR410" s="510">
        <f t="shared" ref="AR410:AR467" si="111">AF410-AQ410</f>
        <v>13921.90000000014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421.55826488706367</v>
      </c>
      <c r="AF411" s="439">
        <f t="shared" si="103"/>
        <v>410597.75</v>
      </c>
      <c r="AG411" s="440" t="e">
        <f t="shared" si="104"/>
        <v>#DIV/0!</v>
      </c>
      <c r="AH411" s="441">
        <f t="shared" si="105"/>
        <v>410597.75</v>
      </c>
      <c r="AI411" s="468">
        <f t="shared" si="106"/>
        <v>0</v>
      </c>
      <c r="AJ411" s="467"/>
      <c r="AK411" s="466" t="e">
        <f t="shared" si="107"/>
        <v>#DIV/0!</v>
      </c>
      <c r="AL411" s="439">
        <f>SUMIFS(BV_Data_An_Prec!$AN:$AN,BV_Data_An_Prec!$AQ:$AQ,$V411)</f>
        <v>0</v>
      </c>
      <c r="AM411" s="443" t="e">
        <f t="shared" si="108"/>
        <v>#DIV/0!</v>
      </c>
      <c r="AN411" s="441">
        <f t="shared" si="109"/>
        <v>410597.75</v>
      </c>
      <c r="AO411" s="444">
        <f t="shared" si="110"/>
        <v>0</v>
      </c>
      <c r="AP411" s="94"/>
      <c r="AQ411" s="572">
        <v>469053.9</v>
      </c>
      <c r="AR411" s="569">
        <f t="shared" si="111"/>
        <v>-58456.150000000023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10.640646817248461</v>
      </c>
      <c r="AF412" s="455">
        <f t="shared" si="103"/>
        <v>10363.990000000002</v>
      </c>
      <c r="AG412" s="456" t="e">
        <f t="shared" si="104"/>
        <v>#DIV/0!</v>
      </c>
      <c r="AH412" s="457">
        <f t="shared" si="105"/>
        <v>10363.990000000002</v>
      </c>
      <c r="AI412" s="458">
        <f t="shared" si="106"/>
        <v>0</v>
      </c>
      <c r="AJ412" s="463"/>
      <c r="AK412" s="462" t="e">
        <f t="shared" si="107"/>
        <v>#DIV/0!</v>
      </c>
      <c r="AL412" s="455">
        <f>SUMIFS(BV_Data_An_Prec!$AN:$AN,BV_Data_An_Prec!$AQ:$AQ,$V412)</f>
        <v>0</v>
      </c>
      <c r="AM412" s="459" t="e">
        <f t="shared" si="108"/>
        <v>#DIV/0!</v>
      </c>
      <c r="AN412" s="457">
        <f t="shared" si="109"/>
        <v>10363.990000000002</v>
      </c>
      <c r="AO412" s="464">
        <f t="shared" si="110"/>
        <v>0</v>
      </c>
      <c r="AP412" s="94"/>
      <c r="AQ412" s="571">
        <v>56454.65</v>
      </c>
      <c r="AR412" s="510">
        <f t="shared" si="111"/>
        <v>-46090.66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18.107032854209447</v>
      </c>
      <c r="AF414" s="439">
        <f t="shared" si="103"/>
        <v>17636.25</v>
      </c>
      <c r="AG414" s="440" t="e">
        <f t="shared" si="104"/>
        <v>#DIV/0!</v>
      </c>
      <c r="AH414" s="441">
        <f t="shared" si="105"/>
        <v>17636.25</v>
      </c>
      <c r="AI414" s="468">
        <f t="shared" si="106"/>
        <v>0</v>
      </c>
      <c r="AJ414" s="467"/>
      <c r="AK414" s="466" t="e">
        <f t="shared" si="107"/>
        <v>#DIV/0!</v>
      </c>
      <c r="AL414" s="439">
        <f>SUMIFS(BV_Data_An_Prec!$AN:$AN,BV_Data_An_Prec!$AQ:$AQ,$V414)</f>
        <v>0</v>
      </c>
      <c r="AM414" s="443" t="e">
        <f t="shared" si="108"/>
        <v>#DIV/0!</v>
      </c>
      <c r="AN414" s="441">
        <f t="shared" si="109"/>
        <v>17636.25</v>
      </c>
      <c r="AO414" s="444">
        <f t="shared" si="110"/>
        <v>0</v>
      </c>
      <c r="AP414" s="94"/>
      <c r="AQ414" s="572">
        <v>111419.39000000001</v>
      </c>
      <c r="AR414" s="569">
        <f t="shared" si="111"/>
        <v>-93783.140000000014</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204.86304928131415</v>
      </c>
      <c r="AF415" s="455">
        <f t="shared" si="103"/>
        <v>199536.61</v>
      </c>
      <c r="AG415" s="456" t="e">
        <f t="shared" si="104"/>
        <v>#DIV/0!</v>
      </c>
      <c r="AH415" s="457">
        <f t="shared" si="105"/>
        <v>199536.61</v>
      </c>
      <c r="AI415" s="458">
        <f t="shared" si="106"/>
        <v>0</v>
      </c>
      <c r="AJ415" s="463"/>
      <c r="AK415" s="462" t="e">
        <f t="shared" si="107"/>
        <v>#DIV/0!</v>
      </c>
      <c r="AL415" s="455">
        <f>SUMIFS(BV_Data_An_Prec!$AN:$AN,BV_Data_An_Prec!$AQ:$AQ,$V415)</f>
        <v>0</v>
      </c>
      <c r="AM415" s="459" t="e">
        <f t="shared" si="108"/>
        <v>#DIV/0!</v>
      </c>
      <c r="AN415" s="457">
        <f t="shared" si="109"/>
        <v>199536.61</v>
      </c>
      <c r="AO415" s="464">
        <f t="shared" si="110"/>
        <v>0</v>
      </c>
      <c r="AP415" s="94"/>
      <c r="AQ415" s="571">
        <v>186022.03999999998</v>
      </c>
      <c r="AR415" s="510">
        <f t="shared" si="111"/>
        <v>13514.570000000007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202.27413812154697</v>
      </c>
      <c r="AF416" s="455">
        <f t="shared" si="103"/>
        <v>366116.19</v>
      </c>
      <c r="AG416" s="456" t="e">
        <f t="shared" si="104"/>
        <v>#DIV/0!</v>
      </c>
      <c r="AH416" s="457">
        <f t="shared" si="105"/>
        <v>366116.19</v>
      </c>
      <c r="AI416" s="458">
        <f t="shared" si="106"/>
        <v>0</v>
      </c>
      <c r="AJ416" s="463"/>
      <c r="AK416" s="462" t="e">
        <f t="shared" si="107"/>
        <v>#DIV/0!</v>
      </c>
      <c r="AL416" s="455">
        <f>SUMIFS(BV_Data_An_Prec!$AN:$AN,BV_Data_An_Prec!$AQ:$AQ,$V416)</f>
        <v>0</v>
      </c>
      <c r="AM416" s="459" t="e">
        <f t="shared" si="108"/>
        <v>#DIV/0!</v>
      </c>
      <c r="AN416" s="457">
        <f t="shared" si="109"/>
        <v>366116.19</v>
      </c>
      <c r="AO416" s="464">
        <f t="shared" si="110"/>
        <v>0</v>
      </c>
      <c r="AP416" s="94"/>
      <c r="AQ416" s="571">
        <v>67811.08</v>
      </c>
      <c r="AR416" s="510">
        <f t="shared" si="111"/>
        <v>298305.11</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0.23673504729366238</v>
      </c>
      <c r="AE420" s="470"/>
      <c r="AF420" s="472">
        <f>SUM(AF410:AF419)</f>
        <v>1796450.1</v>
      </c>
      <c r="AG420" s="474"/>
      <c r="AH420" s="475">
        <f t="shared" ref="AH420:AH452" si="114">AF420-Z420</f>
        <v>1796450.1</v>
      </c>
      <c r="AI420" s="471" t="e">
        <f>AH420/Z420</f>
        <v>#DIV/0!</v>
      </c>
      <c r="AJ420" s="473">
        <f>IF($AL$408=0,0,AL420/$AL$408)</f>
        <v>0</v>
      </c>
      <c r="AK420" s="470"/>
      <c r="AL420" s="472">
        <f>SUM(AL410:AL419)</f>
        <v>0</v>
      </c>
      <c r="AM420" s="476"/>
      <c r="AN420" s="475">
        <f t="shared" si="109"/>
        <v>1796450.1</v>
      </c>
      <c r="AO420" s="452">
        <f t="shared" si="110"/>
        <v>0</v>
      </c>
      <c r="AP420" s="94"/>
      <c r="AQ420" s="573">
        <v>1672155.7200000002</v>
      </c>
      <c r="AR420" s="574">
        <f t="shared" si="111"/>
        <v>124294.37999999989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606004.29999999993</v>
      </c>
      <c r="AG422" s="456"/>
      <c r="AH422" s="457">
        <f t="shared" si="114"/>
        <v>606004.29999999993</v>
      </c>
      <c r="AI422" s="458">
        <f t="shared" si="115"/>
        <v>0</v>
      </c>
      <c r="AJ422" s="463"/>
      <c r="AK422" s="462"/>
      <c r="AL422" s="455">
        <f>SUMIFS(BV_Data_An_Prec!$AN:$AN,BV_Data_An_Prec!$AQ:$AQ,$V422)</f>
        <v>0</v>
      </c>
      <c r="AM422" s="459"/>
      <c r="AN422" s="457">
        <f t="shared" si="109"/>
        <v>606004.29999999993</v>
      </c>
      <c r="AO422" s="464">
        <f t="shared" si="110"/>
        <v>0</v>
      </c>
      <c r="AP422" s="94"/>
      <c r="AQ422" s="571">
        <v>480874.87</v>
      </c>
      <c r="AR422" s="510">
        <f t="shared" si="111"/>
        <v>125129.42999999993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800640.99</v>
      </c>
      <c r="AG424" s="456"/>
      <c r="AH424" s="457">
        <f t="shared" si="114"/>
        <v>800640.99</v>
      </c>
      <c r="AI424" s="458">
        <f t="shared" si="115"/>
        <v>0</v>
      </c>
      <c r="AJ424" s="463"/>
      <c r="AK424" s="462"/>
      <c r="AL424" s="455">
        <f>SUMIFS(BV_Data_An_Prec!$AN:$AN,BV_Data_An_Prec!$AQ:$AQ,$V424)</f>
        <v>0</v>
      </c>
      <c r="AM424" s="459"/>
      <c r="AN424" s="457">
        <f t="shared" si="109"/>
        <v>800640.99</v>
      </c>
      <c r="AO424" s="464">
        <f t="shared" si="110"/>
        <v>0</v>
      </c>
      <c r="AP424" s="94"/>
      <c r="AQ424" s="571">
        <v>653651.56000000006</v>
      </c>
      <c r="AR424" s="510">
        <f t="shared" si="111"/>
        <v>146989.42999999993</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242848.93</v>
      </c>
      <c r="AG429" s="440"/>
      <c r="AH429" s="441">
        <f t="shared" si="114"/>
        <v>242848.93</v>
      </c>
      <c r="AI429" s="468">
        <f t="shared" si="115"/>
        <v>0</v>
      </c>
      <c r="AJ429" s="467"/>
      <c r="AK429" s="466"/>
      <c r="AL429" s="439">
        <f>SUMIFS(BV_Data_An_Prec!$AN:$AN,BV_Data_An_Prec!$AQ:$AQ,$V429)</f>
        <v>0</v>
      </c>
      <c r="AM429" s="443"/>
      <c r="AN429" s="441">
        <f t="shared" si="109"/>
        <v>242848.93</v>
      </c>
      <c r="AO429" s="444">
        <f t="shared" si="110"/>
        <v>0</v>
      </c>
      <c r="AP429" s="94"/>
      <c r="AQ429" s="572">
        <v>484984.30000000005</v>
      </c>
      <c r="AR429" s="569">
        <f t="shared" si="111"/>
        <v>-242135.37000000005</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393213.96</v>
      </c>
      <c r="AG430" s="456"/>
      <c r="AH430" s="457">
        <f t="shared" si="114"/>
        <v>393213.96</v>
      </c>
      <c r="AI430" s="458">
        <f t="shared" si="115"/>
        <v>0</v>
      </c>
      <c r="AJ430" s="463"/>
      <c r="AK430" s="462"/>
      <c r="AL430" s="455">
        <f>SUMIFS(BV_Data_An_Prec!$AN:$AN,BV_Data_An_Prec!$AQ:$AQ,$V430)</f>
        <v>0</v>
      </c>
      <c r="AM430" s="459"/>
      <c r="AN430" s="457">
        <f t="shared" si="109"/>
        <v>393213.96</v>
      </c>
      <c r="AO430" s="464">
        <f t="shared" si="110"/>
        <v>0</v>
      </c>
      <c r="AP430" s="94"/>
      <c r="AQ430" s="571">
        <v>452089.25</v>
      </c>
      <c r="AR430" s="510">
        <f t="shared" si="111"/>
        <v>-58875.289999999979</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38015.01</v>
      </c>
      <c r="AG431" s="456"/>
      <c r="AH431" s="457">
        <f t="shared" si="114"/>
        <v>38015.01</v>
      </c>
      <c r="AI431" s="458">
        <f t="shared" si="115"/>
        <v>0</v>
      </c>
      <c r="AJ431" s="463"/>
      <c r="AK431" s="462"/>
      <c r="AL431" s="455">
        <f>SUMIFS(BV_Data_An_Prec!$AN:$AN,BV_Data_An_Prec!$AQ:$AQ,$V431)</f>
        <v>0</v>
      </c>
      <c r="AM431" s="459"/>
      <c r="AN431" s="457">
        <f t="shared" si="109"/>
        <v>38015.01</v>
      </c>
      <c r="AO431" s="464">
        <f t="shared" si="110"/>
        <v>0</v>
      </c>
      <c r="AP431" s="94"/>
      <c r="AQ431" s="571">
        <v>250596.99999999997</v>
      </c>
      <c r="AR431" s="510">
        <f t="shared" si="111"/>
        <v>-212581.98999999996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0.2741963736090805</v>
      </c>
      <c r="AE434" s="478"/>
      <c r="AF434" s="472">
        <f>SUM(AF421:AF433)</f>
        <v>2080723.19</v>
      </c>
      <c r="AG434" s="474"/>
      <c r="AH434" s="475">
        <f t="shared" si="114"/>
        <v>2080723.19</v>
      </c>
      <c r="AI434" s="471" t="e">
        <f>AH434/Z434</f>
        <v>#DIV/0!</v>
      </c>
      <c r="AJ434" s="473">
        <f>IF($AL$408=0,0,AL434/$AL$408)</f>
        <v>0</v>
      </c>
      <c r="AK434" s="478"/>
      <c r="AL434" s="472">
        <f>SUM(AL421:AL433)</f>
        <v>0</v>
      </c>
      <c r="AM434" s="480"/>
      <c r="AN434" s="475">
        <f t="shared" ref="AN434:AN452" si="118">AF434-AL434</f>
        <v>2080723.19</v>
      </c>
      <c r="AO434" s="452">
        <f t="shared" ref="AO434:AO462" si="119">IF(AL434=0,0,AN434/AL434)</f>
        <v>0</v>
      </c>
      <c r="AP434" s="94"/>
      <c r="AQ434" s="573">
        <v>3367938.6900000004</v>
      </c>
      <c r="AR434" s="574">
        <f t="shared" si="111"/>
        <v>-1287215.5000000005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180037.4</v>
      </c>
      <c r="AG435" s="484"/>
      <c r="AH435" s="486">
        <f t="shared" si="114"/>
        <v>180037.4</v>
      </c>
      <c r="AI435" s="487">
        <f t="shared" ref="AI435:AI452" si="121">IF(Z435=0,0,AH435/Z435)</f>
        <v>0</v>
      </c>
      <c r="AJ435" s="484"/>
      <c r="AK435" s="485"/>
      <c r="AL435" s="483">
        <f>SUMIFS(BV_Data_An_Prec!$AN:$AN,BV_Data_An_Prec!$AQ:$AQ,$V435)</f>
        <v>0</v>
      </c>
      <c r="AM435" s="488"/>
      <c r="AN435" s="486">
        <f t="shared" si="118"/>
        <v>180037.4</v>
      </c>
      <c r="AO435" s="460">
        <f t="shared" si="119"/>
        <v>0</v>
      </c>
      <c r="AP435" s="94"/>
      <c r="AQ435" s="577">
        <v>176878.05000000002</v>
      </c>
      <c r="AR435" s="504">
        <f t="shared" si="111"/>
        <v>3159.3499999999767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-6771.8199999999988</v>
      </c>
      <c r="AG437" s="440"/>
      <c r="AH437" s="441">
        <f t="shared" si="114"/>
        <v>-6771.8199999999988</v>
      </c>
      <c r="AI437" s="468">
        <f t="shared" si="121"/>
        <v>0</v>
      </c>
      <c r="AJ437" s="467"/>
      <c r="AK437" s="466"/>
      <c r="AL437" s="439">
        <f>SUMIFS(BV_Data_An_Prec!$AN:$AN,BV_Data_An_Prec!$AQ:$AQ,$V437)</f>
        <v>0</v>
      </c>
      <c r="AM437" s="443"/>
      <c r="AN437" s="441">
        <f t="shared" si="118"/>
        <v>-6771.8199999999988</v>
      </c>
      <c r="AO437" s="444">
        <f t="shared" si="119"/>
        <v>0</v>
      </c>
      <c r="AP437" s="94"/>
      <c r="AQ437" s="572">
        <v>276796.59999999998</v>
      </c>
      <c r="AR437" s="569">
        <f t="shared" si="111"/>
        <v>-283568.42</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73486.789999999994</v>
      </c>
      <c r="AG438" s="456"/>
      <c r="AH438" s="457">
        <f t="shared" si="114"/>
        <v>73486.789999999994</v>
      </c>
      <c r="AI438" s="458">
        <f t="shared" si="121"/>
        <v>0</v>
      </c>
      <c r="AJ438" s="463"/>
      <c r="AK438" s="462"/>
      <c r="AL438" s="455">
        <f>SUMIFS(BV_Data_An_Prec!$AN:$AN,BV_Data_An_Prec!$AQ:$AQ,$V438)</f>
        <v>0</v>
      </c>
      <c r="AM438" s="459"/>
      <c r="AN438" s="457">
        <f t="shared" si="118"/>
        <v>73486.789999999994</v>
      </c>
      <c r="AO438" s="464">
        <f t="shared" si="119"/>
        <v>0</v>
      </c>
      <c r="AP438" s="94"/>
      <c r="AQ438" s="571">
        <v>239193.79</v>
      </c>
      <c r="AR438" s="510">
        <f t="shared" si="111"/>
        <v>-165707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58903.97</v>
      </c>
      <c r="AG439" s="456"/>
      <c r="AH439" s="457">
        <f t="shared" si="114"/>
        <v>58903.97</v>
      </c>
      <c r="AI439" s="458">
        <f t="shared" si="121"/>
        <v>0</v>
      </c>
      <c r="AJ439" s="463"/>
      <c r="AK439" s="462"/>
      <c r="AL439" s="455">
        <f>SUMIFS(BV_Data_An_Prec!$AN:$AN,BV_Data_An_Prec!$AQ:$AQ,$V439)</f>
        <v>0</v>
      </c>
      <c r="AM439" s="459"/>
      <c r="AN439" s="457">
        <f t="shared" si="118"/>
        <v>58903.97</v>
      </c>
      <c r="AO439" s="464">
        <f t="shared" si="119"/>
        <v>0</v>
      </c>
      <c r="AP439" s="94"/>
      <c r="AQ439" s="571">
        <v>42486.400000000001</v>
      </c>
      <c r="AR439" s="510">
        <f t="shared" si="111"/>
        <v>16417.57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358709.61000000004</v>
      </c>
      <c r="AG440" s="456"/>
      <c r="AH440" s="457">
        <f t="shared" si="114"/>
        <v>358709.61000000004</v>
      </c>
      <c r="AI440" s="458">
        <f t="shared" si="121"/>
        <v>0</v>
      </c>
      <c r="AJ440" s="463"/>
      <c r="AK440" s="462"/>
      <c r="AL440" s="455">
        <f>SUMIFS(BV_Data_An_Prec!$AN:$AN,BV_Data_An_Prec!$AQ:$AQ,$V440)</f>
        <v>0</v>
      </c>
      <c r="AM440" s="459"/>
      <c r="AN440" s="457">
        <f t="shared" si="118"/>
        <v>358709.61000000004</v>
      </c>
      <c r="AO440" s="464">
        <f t="shared" si="119"/>
        <v>0</v>
      </c>
      <c r="AP440" s="94"/>
      <c r="AQ440" s="571">
        <v>240398.68</v>
      </c>
      <c r="AR440" s="510">
        <f t="shared" si="111"/>
        <v>118310.93000000005</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56085.11</v>
      </c>
      <c r="AG441" s="490"/>
      <c r="AH441" s="486">
        <f t="shared" si="114"/>
        <v>56085.11</v>
      </c>
      <c r="AI441" s="487">
        <f t="shared" si="121"/>
        <v>0</v>
      </c>
      <c r="AJ441" s="484"/>
      <c r="AK441" s="485"/>
      <c r="AL441" s="483">
        <f>SUMIFS(BV_Data_An_Prec!$AN:$AN,BV_Data_An_Prec!$AQ:$AQ,$V441)</f>
        <v>0</v>
      </c>
      <c r="AM441" s="488"/>
      <c r="AN441" s="486">
        <f t="shared" si="118"/>
        <v>56085.11</v>
      </c>
      <c r="AO441" s="460">
        <f t="shared" si="119"/>
        <v>0</v>
      </c>
      <c r="AP441" s="94"/>
      <c r="AQ441" s="577">
        <v>0</v>
      </c>
      <c r="AR441" s="504">
        <f t="shared" si="111"/>
        <v>56085.11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18154.39</v>
      </c>
      <c r="AG443" s="456"/>
      <c r="AH443" s="457">
        <f t="shared" si="114"/>
        <v>18154.39</v>
      </c>
      <c r="AI443" s="477">
        <f t="shared" si="121"/>
        <v>0</v>
      </c>
      <c r="AJ443" s="463"/>
      <c r="AK443" s="462"/>
      <c r="AL443" s="455">
        <f>SUMIFS(BV_Data_An_Prec!$AN:$AN,BV_Data_An_Prec!$AQ:$AQ,$V443)</f>
        <v>0</v>
      </c>
      <c r="AM443" s="459"/>
      <c r="AN443" s="457">
        <f t="shared" si="118"/>
        <v>18154.39</v>
      </c>
      <c r="AO443" s="464">
        <f t="shared" si="119"/>
        <v>0</v>
      </c>
      <c r="AP443" s="94"/>
      <c r="AQ443" s="571">
        <v>14808.84</v>
      </c>
      <c r="AR443" s="510">
        <f t="shared" si="111"/>
        <v>3345.5499999999993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30001.51</v>
      </c>
      <c r="AG444" s="456"/>
      <c r="AH444" s="457">
        <f t="shared" si="114"/>
        <v>30001.51</v>
      </c>
      <c r="AI444" s="458">
        <f t="shared" si="121"/>
        <v>0</v>
      </c>
      <c r="AJ444" s="463"/>
      <c r="AK444" s="462"/>
      <c r="AL444" s="455">
        <f>SUMIFS(BV_Data_An_Prec!$AN:$AN,BV_Data_An_Prec!$AQ:$AQ,$V444)</f>
        <v>0</v>
      </c>
      <c r="AM444" s="459"/>
      <c r="AN444" s="457">
        <f t="shared" si="118"/>
        <v>30001.51</v>
      </c>
      <c r="AO444" s="464">
        <f t="shared" si="119"/>
        <v>0</v>
      </c>
      <c r="AP444" s="94"/>
      <c r="AQ444" s="571">
        <v>30323.510000000002</v>
      </c>
      <c r="AR444" s="510">
        <f t="shared" si="111"/>
        <v>-322.00000000000364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4493.3100000000004</v>
      </c>
      <c r="AG445" s="456"/>
      <c r="AH445" s="457">
        <f t="shared" si="114"/>
        <v>4493.3100000000004</v>
      </c>
      <c r="AI445" s="477">
        <f t="shared" si="121"/>
        <v>0</v>
      </c>
      <c r="AJ445" s="463"/>
      <c r="AK445" s="462"/>
      <c r="AL445" s="455">
        <f>SUMIFS(BV_Data_An_Prec!$AN:$AN,BV_Data_An_Prec!$AQ:$AQ,$V445)</f>
        <v>0</v>
      </c>
      <c r="AM445" s="459"/>
      <c r="AN445" s="457">
        <f t="shared" si="118"/>
        <v>4493.3100000000004</v>
      </c>
      <c r="AO445" s="464">
        <f t="shared" si="119"/>
        <v>0</v>
      </c>
      <c r="AP445" s="94"/>
      <c r="AQ445" s="571">
        <v>8588.4900000000016</v>
      </c>
      <c r="AR445" s="510">
        <f t="shared" si="111"/>
        <v>-4095.1800000000012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2022.26</v>
      </c>
      <c r="AG446" s="456"/>
      <c r="AH446" s="457">
        <f t="shared" si="114"/>
        <v>2022.26</v>
      </c>
      <c r="AI446" s="458">
        <f t="shared" si="121"/>
        <v>0</v>
      </c>
      <c r="AJ446" s="463"/>
      <c r="AK446" s="462"/>
      <c r="AL446" s="455">
        <f>SUMIFS(BV_Data_An_Prec!$AN:$AN,BV_Data_An_Prec!$AQ:$AQ,$V446)</f>
        <v>0</v>
      </c>
      <c r="AM446" s="459"/>
      <c r="AN446" s="457">
        <f t="shared" si="118"/>
        <v>2022.26</v>
      </c>
      <c r="AO446" s="464">
        <f t="shared" si="119"/>
        <v>0</v>
      </c>
      <c r="AP446" s="94"/>
      <c r="AQ446" s="571">
        <v>3965.16</v>
      </c>
      <c r="AR446" s="510">
        <f t="shared" si="111"/>
        <v>-1942.8999999999999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16668.96</v>
      </c>
      <c r="AG447" s="456"/>
      <c r="AH447" s="457">
        <f t="shared" si="114"/>
        <v>16668.96</v>
      </c>
      <c r="AI447" s="477">
        <f t="shared" si="121"/>
        <v>0</v>
      </c>
      <c r="AJ447" s="463"/>
      <c r="AK447" s="462"/>
      <c r="AL447" s="455">
        <f>SUMIFS(BV_Data_An_Prec!$AN:$AN,BV_Data_An_Prec!$AQ:$AQ,$V447)</f>
        <v>0</v>
      </c>
      <c r="AM447" s="459"/>
      <c r="AN447" s="457">
        <f t="shared" si="118"/>
        <v>16668.96</v>
      </c>
      <c r="AO447" s="464">
        <f t="shared" si="119"/>
        <v>0</v>
      </c>
      <c r="AP447" s="94"/>
      <c r="AQ447" s="571">
        <v>9676.7800000000007</v>
      </c>
      <c r="AR447" s="510">
        <f t="shared" si="111"/>
        <v>6992.1799999999985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18001.46</v>
      </c>
      <c r="AG448" s="456"/>
      <c r="AH448" s="829">
        <f t="shared" si="114"/>
        <v>18001.46</v>
      </c>
      <c r="AI448" s="458">
        <f t="shared" si="121"/>
        <v>0</v>
      </c>
      <c r="AJ448" s="463"/>
      <c r="AK448" s="462"/>
      <c r="AL448" s="455">
        <f>SUMIFS(BV_Data_An_Prec!$AN:$AN,BV_Data_An_Prec!$AQ:$AQ,$V448)</f>
        <v>0</v>
      </c>
      <c r="AM448" s="459"/>
      <c r="AN448" s="457">
        <f t="shared" si="118"/>
        <v>18001.46</v>
      </c>
      <c r="AO448" s="464">
        <f t="shared" si="119"/>
        <v>0</v>
      </c>
      <c r="AP448" s="94"/>
      <c r="AQ448" s="571">
        <v>39202.850000000006</v>
      </c>
      <c r="AR448" s="510">
        <f t="shared" si="111"/>
        <v>-21201.390000000007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67807.539999999994</v>
      </c>
      <c r="AG449" s="456"/>
      <c r="AH449" s="778">
        <f t="shared" si="114"/>
        <v>67807.539999999994</v>
      </c>
      <c r="AI449" s="458">
        <f t="shared" si="121"/>
        <v>0</v>
      </c>
      <c r="AJ449" s="463"/>
      <c r="AK449" s="462"/>
      <c r="AL449" s="439">
        <f>SUMIFS(BV_Data_An_Prec!$AN:$AN,BV_Data_An_Prec!$AQ:$AQ,$V449)</f>
        <v>0</v>
      </c>
      <c r="AM449" s="459"/>
      <c r="AN449" s="457">
        <f t="shared" si="118"/>
        <v>67807.539999999994</v>
      </c>
      <c r="AO449" s="464">
        <f t="shared" si="119"/>
        <v>0</v>
      </c>
      <c r="AP449" s="94"/>
      <c r="AQ449" s="572">
        <v>99368.799999999988</v>
      </c>
      <c r="AR449" s="569">
        <f t="shared" si="111"/>
        <v>-31561.259999999995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0.11564963229710153</v>
      </c>
      <c r="AE453" s="470"/>
      <c r="AF453" s="472">
        <f>+SUM(AF435:AF452)</f>
        <v>877600.49</v>
      </c>
      <c r="AG453" s="479"/>
      <c r="AH453" s="826">
        <f>+SUM(AH435:AH452)</f>
        <v>877600.49</v>
      </c>
      <c r="AI453" s="471" t="e">
        <f>AH453/Z453</f>
        <v>#DIV/0!</v>
      </c>
      <c r="AJ453" s="473">
        <f>IF($AL$408=0,0,AL453/$AL$408)</f>
        <v>0</v>
      </c>
      <c r="AK453" s="470"/>
      <c r="AL453" s="472">
        <f>+SUM(AL435:AL452)</f>
        <v>0</v>
      </c>
      <c r="AM453" s="480"/>
      <c r="AN453" s="475">
        <f>+SUM(AN435:AN452)</f>
        <v>877600.49</v>
      </c>
      <c r="AO453" s="493">
        <f t="shared" si="119"/>
        <v>0</v>
      </c>
      <c r="AP453" s="94"/>
      <c r="AQ453" s="573">
        <v>1279865.6600000001</v>
      </c>
      <c r="AR453" s="574">
        <f t="shared" si="111"/>
        <v>-402265.17000000016</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1430000</v>
      </c>
      <c r="AG454" s="456"/>
      <c r="AH454" s="457">
        <f t="shared" ref="AH454:AH462" si="124">AF454-Z454</f>
        <v>1430000</v>
      </c>
      <c r="AI454" s="458">
        <f t="shared" ref="AI454:AI462" si="125">IF(Z454=0,0,AH454/Z454)</f>
        <v>0</v>
      </c>
      <c r="AJ454" s="463"/>
      <c r="AK454" s="462"/>
      <c r="AL454" s="455">
        <f>SUMIFS(BV_Data_An_Prec!$AN:$AN,BV_Data_An_Prec!$AQ:$AQ,$V454)</f>
        <v>0</v>
      </c>
      <c r="AM454" s="459"/>
      <c r="AN454" s="457">
        <f t="shared" ref="AN454:AN462" si="126">AF454-AL454</f>
        <v>1430000</v>
      </c>
      <c r="AO454" s="464">
        <f t="shared" si="119"/>
        <v>0</v>
      </c>
      <c r="AP454" s="94"/>
      <c r="AQ454" s="571">
        <v>312000</v>
      </c>
      <c r="AR454" s="510">
        <f t="shared" si="111"/>
        <v>1118000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498078.26999999996</v>
      </c>
      <c r="AG455" s="456"/>
      <c r="AH455" s="457">
        <f t="shared" si="124"/>
        <v>498078.26999999996</v>
      </c>
      <c r="AI455" s="458">
        <f t="shared" si="125"/>
        <v>0</v>
      </c>
      <c r="AJ455" s="463"/>
      <c r="AK455" s="462"/>
      <c r="AL455" s="455">
        <f>SUMIFS(BV_Data_An_Prec!$AN:$AN,BV_Data_An_Prec!$AQ:$AQ,$V455)</f>
        <v>0</v>
      </c>
      <c r="AM455" s="459"/>
      <c r="AN455" s="457">
        <f t="shared" si="126"/>
        <v>498078.26999999996</v>
      </c>
      <c r="AO455" s="464">
        <f t="shared" si="119"/>
        <v>0</v>
      </c>
      <c r="AP455" s="94"/>
      <c r="AQ455" s="571">
        <v>59160</v>
      </c>
      <c r="AR455" s="510">
        <f t="shared" si="111"/>
        <v>438918.26999999996</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48552.03</v>
      </c>
      <c r="AG458" s="440"/>
      <c r="AH458" s="441">
        <f t="shared" si="124"/>
        <v>48552.03</v>
      </c>
      <c r="AI458" s="468">
        <f t="shared" si="125"/>
        <v>0</v>
      </c>
      <c r="AJ458" s="467"/>
      <c r="AK458" s="466"/>
      <c r="AL458" s="439">
        <f>SUMIFS(BV_Data_An_Prec!$AN:$AN,BV_Data_An_Prec!$AQ:$AQ,$V458)</f>
        <v>0</v>
      </c>
      <c r="AM458" s="443"/>
      <c r="AN458" s="441">
        <f t="shared" si="126"/>
        <v>48552.03</v>
      </c>
      <c r="AO458" s="444">
        <f t="shared" si="119"/>
        <v>0</v>
      </c>
      <c r="AP458" s="94"/>
      <c r="AQ458" s="572">
        <v>51252</v>
      </c>
      <c r="AR458" s="569">
        <f t="shared" si="111"/>
        <v>-2699.9700000000012</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98954.74</v>
      </c>
      <c r="AG459" s="456"/>
      <c r="AH459" s="457">
        <f t="shared" si="124"/>
        <v>98954.74</v>
      </c>
      <c r="AI459" s="458">
        <f t="shared" si="125"/>
        <v>0</v>
      </c>
      <c r="AJ459" s="463"/>
      <c r="AK459" s="462"/>
      <c r="AL459" s="455">
        <f>SUMIFS(BV_Data_An_Prec!$AN:$AN,BV_Data_An_Prec!$AQ:$AQ,$V459)</f>
        <v>0</v>
      </c>
      <c r="AM459" s="459"/>
      <c r="AN459" s="457">
        <f t="shared" si="126"/>
        <v>98954.74</v>
      </c>
      <c r="AO459" s="464">
        <f t="shared" si="119"/>
        <v>0</v>
      </c>
      <c r="AP459" s="94"/>
      <c r="AQ459" s="571">
        <v>28763.690000000002</v>
      </c>
      <c r="AR459" s="510">
        <f t="shared" si="111"/>
        <v>70191.05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24080.38</v>
      </c>
      <c r="AG460" s="456"/>
      <c r="AH460" s="457">
        <f t="shared" si="124"/>
        <v>24080.38</v>
      </c>
      <c r="AI460" s="458">
        <f t="shared" si="125"/>
        <v>0</v>
      </c>
      <c r="AJ460" s="463"/>
      <c r="AK460" s="462"/>
      <c r="AL460" s="455">
        <f>SUMIFS(BV_Data_An_Prec!$AN:$AN,BV_Data_An_Prec!$AQ:$AQ,$V460)</f>
        <v>0</v>
      </c>
      <c r="AM460" s="459"/>
      <c r="AN460" s="457">
        <f t="shared" si="126"/>
        <v>24080.38</v>
      </c>
      <c r="AO460" s="464">
        <f t="shared" si="119"/>
        <v>0</v>
      </c>
      <c r="AP460" s="94"/>
      <c r="AQ460" s="571">
        <v>73723.959999999992</v>
      </c>
      <c r="AR460" s="510">
        <f t="shared" si="111"/>
        <v>-49643.579999999987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0.27669256858543828</v>
      </c>
      <c r="AE467" s="470"/>
      <c r="AF467" s="472">
        <f>SUM(AF454:AF466)</f>
        <v>2099665.42</v>
      </c>
      <c r="AG467" s="479"/>
      <c r="AH467" s="826">
        <f>SUM(AH454:AH466)</f>
        <v>2099665.42</v>
      </c>
      <c r="AI467" s="471">
        <f>IF(Z467=0,0,AH467/Z467)</f>
        <v>0</v>
      </c>
      <c r="AJ467" s="473">
        <f>IF($AL$408=0,0,AL467/$AL$408)</f>
        <v>0</v>
      </c>
      <c r="AK467" s="470"/>
      <c r="AL467" s="472">
        <f>SUM(AL454:AL466)</f>
        <v>0</v>
      </c>
      <c r="AM467" s="480"/>
      <c r="AN467" s="475">
        <f>SUM(AN454:AN466)</f>
        <v>2099665.42</v>
      </c>
      <c r="AO467" s="493">
        <f t="shared" ref="AO467:AO484" si="127">IF(AL467=0,0,AN467/AL467)</f>
        <v>0</v>
      </c>
      <c r="AP467" s="94"/>
      <c r="AQ467" s="573">
        <v>582942.87</v>
      </c>
      <c r="AR467" s="574">
        <f t="shared" si="111"/>
        <v>1516722.5499999998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0.9032736217852827</v>
      </c>
      <c r="AE469" s="470"/>
      <c r="AF469" s="472">
        <f>AF420+AF434+AF453+AF467</f>
        <v>6854439.2000000002</v>
      </c>
      <c r="AG469" s="479"/>
      <c r="AH469" s="826">
        <f t="shared" si="128"/>
        <v>6854439.2000000002</v>
      </c>
      <c r="AI469" s="471" t="e">
        <f>AH469/Z469</f>
        <v>#DIV/0!</v>
      </c>
      <c r="AJ469" s="473">
        <f>IF($AL$408=0,0,AL469/$AL$408)</f>
        <v>0</v>
      </c>
      <c r="AK469" s="470"/>
      <c r="AL469" s="472">
        <f>AL420+AL434+AL453+AL467</f>
        <v>0</v>
      </c>
      <c r="AM469" s="480"/>
      <c r="AN469" s="475">
        <f t="shared" si="129"/>
        <v>6854439.2000000002</v>
      </c>
      <c r="AO469" s="452">
        <f t="shared" si="127"/>
        <v>0</v>
      </c>
      <c r="AP469" s="94"/>
      <c r="AQ469" s="573">
        <v>6902902.9400000004</v>
      </c>
      <c r="AR469" s="574">
        <f t="shared" ref="AR469:AR482" si="130">AF469-AQ469</f>
        <v>-48463.740000000224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520503.97</v>
      </c>
      <c r="AG470" s="503"/>
      <c r="AH470" s="457">
        <f t="shared" si="128"/>
        <v>520503.97</v>
      </c>
      <c r="AI470" s="496" t="e">
        <f>IF(AH470=0,0,AH470/Z470)</f>
        <v>#DIV/0!</v>
      </c>
      <c r="AJ470" s="502"/>
      <c r="AK470" s="501"/>
      <c r="AL470" s="455">
        <f>-SUMIFS(BV_Data_An_Prec!$AN:$AN,BV_Data_An_Prec!$AQ:$AQ,$V470)</f>
        <v>0</v>
      </c>
      <c r="AM470" s="505"/>
      <c r="AN470" s="457">
        <f t="shared" si="129"/>
        <v>520503.97</v>
      </c>
      <c r="AO470" s="464">
        <f t="shared" si="127"/>
        <v>0</v>
      </c>
      <c r="AP470" s="94"/>
      <c r="AQ470" s="571">
        <v>275258.11</v>
      </c>
      <c r="AR470" s="510">
        <f t="shared" si="130"/>
        <v>245245.86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1085460</v>
      </c>
      <c r="AG471" s="508"/>
      <c r="AH471" s="457">
        <f t="shared" si="128"/>
        <v>1085460</v>
      </c>
      <c r="AI471" s="477">
        <f>IF(Z471=0,0,AH471/Z471)</f>
        <v>0</v>
      </c>
      <c r="AJ471" s="509"/>
      <c r="AK471" s="495"/>
      <c r="AL471" s="455">
        <f>-SUMIFS(BV_Data_An_Prec!$AN:$AN,BV_Data_An_Prec!$AQ:$AQ,$V471)</f>
        <v>0</v>
      </c>
      <c r="AM471" s="506"/>
      <c r="AN471" s="457">
        <f t="shared" si="129"/>
        <v>1085460</v>
      </c>
      <c r="AO471" s="464">
        <f t="shared" si="127"/>
        <v>0</v>
      </c>
      <c r="AP471" s="94"/>
      <c r="AQ471" s="571">
        <v>693962.92</v>
      </c>
      <c r="AR471" s="510">
        <f t="shared" si="130"/>
        <v>391497.07999999996</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0.21163290669185175</v>
      </c>
      <c r="AE482" s="491"/>
      <c r="AF482" s="472">
        <f>SUM(AF470:AF481)</f>
        <v>1605963.97</v>
      </c>
      <c r="AG482" s="479"/>
      <c r="AH482" s="475">
        <f t="shared" si="128"/>
        <v>1605963.97</v>
      </c>
      <c r="AI482" s="471" t="e">
        <f>AH482/Z482</f>
        <v>#DIV/0!</v>
      </c>
      <c r="AJ482" s="471"/>
      <c r="AK482" s="491"/>
      <c r="AL482" s="472">
        <f>SUM(AL470:AL481)</f>
        <v>0</v>
      </c>
      <c r="AM482" s="512"/>
      <c r="AN482" s="475">
        <f t="shared" si="129"/>
        <v>1605963.97</v>
      </c>
      <c r="AO482" s="493">
        <f t="shared" si="127"/>
        <v>0</v>
      </c>
      <c r="AP482" s="94"/>
      <c r="AQ482" s="573">
        <v>1343989.52</v>
      </c>
      <c r="AR482" s="574">
        <f t="shared" si="130"/>
        <v>261974.44999999995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3.9329945745441151E-2</v>
      </c>
      <c r="AF484" s="529">
        <f>AF408-AF469+AF482</f>
        <v>2339966.4500000048</v>
      </c>
      <c r="AG484" s="530"/>
      <c r="AH484" s="530">
        <f>AF484-Z484</f>
        <v>2339966.4500000048</v>
      </c>
      <c r="AI484" s="531" t="e">
        <f>AH484/Z484</f>
        <v>#DIV/0!</v>
      </c>
      <c r="AJ484" s="526" t="s">
        <v>215</v>
      </c>
      <c r="AK484" s="527">
        <f>IF($AL$407=0,0,AL484/$AL$407)</f>
        <v>0</v>
      </c>
      <c r="AL484" s="529">
        <f>AL408-AL469+AL482</f>
        <v>0</v>
      </c>
      <c r="AM484" s="533"/>
      <c r="AN484" s="529">
        <f t="shared" si="129"/>
        <v>2339966.4500000048</v>
      </c>
      <c r="AO484" s="534">
        <f t="shared" si="127"/>
        <v>0</v>
      </c>
      <c r="AP484" s="94"/>
      <c r="AQ484" s="533">
        <v>2236846.7700000028</v>
      </c>
      <c r="AR484" s="537">
        <f>AF484-AQ484</f>
        <v>103119.68000000203</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Novembre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4.5483593755748127E-2</v>
      </c>
      <c r="AF489" s="882">
        <f>AF490+AF416</f>
        <v>2706082.6400000048</v>
      </c>
      <c r="AG489" s="530"/>
      <c r="AH489" s="530">
        <f t="shared" ref="AH489" si="134">AF489-Z489</f>
        <v>2706082.6400000048</v>
      </c>
      <c r="AI489" s="531" t="e">
        <f>AH489/Z489</f>
        <v>#DIV/0!</v>
      </c>
      <c r="AJ489" s="880" t="s">
        <v>215</v>
      </c>
      <c r="AK489" s="881">
        <f>IF($AL$407=0,0,AL489/$AL$407)</f>
        <v>0</v>
      </c>
      <c r="AL489" s="882">
        <f>AL490+AL416</f>
        <v>0</v>
      </c>
      <c r="AM489" s="533"/>
      <c r="AN489" s="882">
        <f t="shared" ref="AN489" si="135">AF489-AL489</f>
        <v>2706082.6400000048</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3.9329945745441151E-2</v>
      </c>
      <c r="AF490" s="528">
        <f>AF484</f>
        <v>2339966.4500000048</v>
      </c>
      <c r="AG490" s="529"/>
      <c r="AH490" s="530">
        <f>AF490-Z490</f>
        <v>2339966.4500000048</v>
      </c>
      <c r="AI490" s="531" t="e">
        <f>AH490/Z490</f>
        <v>#DIV/0!</v>
      </c>
      <c r="AJ490" s="526" t="s">
        <v>215</v>
      </c>
      <c r="AK490" s="527">
        <f>IF($AL$407=0,0,AL490/$AL$407)</f>
        <v>0</v>
      </c>
      <c r="AL490" s="537">
        <f>AL484</f>
        <v>0</v>
      </c>
      <c r="AM490" s="538"/>
      <c r="AN490" s="539">
        <f>AF490-AL490</f>
        <v>2339966.4500000048</v>
      </c>
      <c r="AO490" s="540">
        <f>IF(AL490=0,0,AN490/AL490)</f>
        <v>0</v>
      </c>
      <c r="AP490" s="94"/>
      <c r="AQ490" s="586">
        <v>2236846.7700000028</v>
      </c>
      <c r="AR490" s="537">
        <f>AF490-AQ490</f>
        <v>103119.68000000203</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44584.75</v>
      </c>
      <c r="AG492" s="454"/>
      <c r="AH492" s="457">
        <f t="shared" ref="AH492:AH499" si="137">AF492-Z492</f>
        <v>44584.75</v>
      </c>
      <c r="AI492" s="477">
        <f t="shared" ref="AI492:AI498" si="138">IF(Z492=0,0,AH492/Z492)</f>
        <v>0</v>
      </c>
      <c r="AJ492" s="454"/>
      <c r="AK492" s="454"/>
      <c r="AL492" s="455">
        <f>SUMIFS(BV_Data_An_Prec!$AN:$AN,BV_Data_An_Prec!$AQ:$AQ,$V492)</f>
        <v>0</v>
      </c>
      <c r="AM492" s="459"/>
      <c r="AN492" s="457">
        <f t="shared" ref="AN492:AN499" si="139">AF492-AL492</f>
        <v>44584.75</v>
      </c>
      <c r="AO492" s="464">
        <f t="shared" ref="AO492:AO499" si="140">IF(AL492=0,0,AN492/AL492)</f>
        <v>0</v>
      </c>
      <c r="AP492" s="94"/>
      <c r="AQ492" s="571">
        <v>51774</v>
      </c>
      <c r="AR492" s="510">
        <f t="shared" ref="AR492:AR494" si="141">AF492-AQ492</f>
        <v>-7189.25</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45124.69</v>
      </c>
      <c r="AG494" s="38"/>
      <c r="AH494" s="457">
        <f t="shared" si="137"/>
        <v>45124.69</v>
      </c>
      <c r="AI494" s="477">
        <f t="shared" si="138"/>
        <v>0</v>
      </c>
      <c r="AJ494" s="38"/>
      <c r="AK494" s="38"/>
      <c r="AL494" s="455">
        <f>SUMIFS(BV_Data_An_Prec!$AN:$AN,BV_Data_An_Prec!$AQ:$AQ,$V494)</f>
        <v>0</v>
      </c>
      <c r="AM494" s="545"/>
      <c r="AN494" s="457">
        <f t="shared" si="139"/>
        <v>45124.69</v>
      </c>
      <c r="AO494" s="464">
        <f t="shared" si="140"/>
        <v>0</v>
      </c>
      <c r="AP494" s="94"/>
      <c r="AQ494" s="571">
        <v>5121.4799999999996</v>
      </c>
      <c r="AR494" s="510">
        <f t="shared" si="141"/>
        <v>40003.210000000006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-19624.919999999998</v>
      </c>
      <c r="AG497" s="38"/>
      <c r="AH497" s="457">
        <f t="shared" si="137"/>
        <v>-19624.919999999998</v>
      </c>
      <c r="AI497" s="477">
        <f t="shared" si="138"/>
        <v>0</v>
      </c>
      <c r="AJ497" s="38"/>
      <c r="AK497" s="38"/>
      <c r="AL497" s="455">
        <f>SUMIFS(BV_Data_An_Prec!$AN:$AN,BV_Data_An_Prec!$AQ:$AQ,$V497)</f>
        <v>0</v>
      </c>
      <c r="AM497" s="545"/>
      <c r="AN497" s="457">
        <f t="shared" si="139"/>
        <v>-19624.919999999998</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3.8151971433375571E-2</v>
      </c>
      <c r="AF499" s="529">
        <f>AF490-AF492-AF493-AF494-AF498-AF497</f>
        <v>2269881.9300000048</v>
      </c>
      <c r="AG499" s="530"/>
      <c r="AH499" s="530">
        <f t="shared" si="137"/>
        <v>2269881.9300000048</v>
      </c>
      <c r="AI499" s="531" t="e">
        <f>AH499/Z499</f>
        <v>#DIV/0!</v>
      </c>
      <c r="AJ499" s="532" t="s">
        <v>215</v>
      </c>
      <c r="AK499" s="527">
        <f>IF($AL$407=0,0,AL499/$AL$407)</f>
        <v>0</v>
      </c>
      <c r="AL499" s="529">
        <f>AL490-AL492-AL493-AL494-AL498-AL497</f>
        <v>0</v>
      </c>
      <c r="AM499" s="533"/>
      <c r="AN499" s="529">
        <f t="shared" si="139"/>
        <v>2269881.9300000048</v>
      </c>
      <c r="AO499" s="547">
        <f t="shared" si="140"/>
        <v>0</v>
      </c>
      <c r="AP499" s="94"/>
      <c r="AQ499" s="538">
        <v>2179951.2900000028</v>
      </c>
      <c r="AR499" s="588">
        <f>AF499-AQ499</f>
        <v>89930.640000001993</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252831.62</v>
      </c>
      <c r="AM8" s="1030">
        <f t="shared" si="2"/>
        <v>19966.109999999986</v>
      </c>
      <c r="AN8" s="1030">
        <f>INDEX(G8:R8,1,MATCH(Parametres!$B$3,G$1:R$1,0))*IF(OR(F8="L",F8="S",F8="I"),-1,1)</f>
        <v>272797.73</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637939.47</v>
      </c>
      <c r="AM9" s="1030">
        <f t="shared" si="2"/>
        <v>48019.530000000028</v>
      </c>
      <c r="AN9" s="1030">
        <f>INDEX(G9:R9,1,MATCH(Parametres!$B$3,G$1:R$1,0))*IF(OR(F9="L",F9="S",F9="I"),-1,1)</f>
        <v>685959</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345543.53</v>
      </c>
      <c r="AM10" s="1030">
        <f t="shared" si="2"/>
        <v>26848.539999999979</v>
      </c>
      <c r="AN10" s="1030">
        <f>INDEX(G10:R10,1,MATCH(Parametres!$B$3,G$1:R$1,0))*IF(OR(F10="L",F10="S",F10="I"),-1,1)</f>
        <v>372392.07</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11354.4</v>
      </c>
      <c r="AM11" s="1030">
        <f t="shared" si="2"/>
        <v>-1316.0299999999988</v>
      </c>
      <c r="AN11" s="1030">
        <f>INDEX(G11:R11,1,MATCH(Parametres!$B$3,G$1:R$1,0))*IF(OR(F11="L",F11="S",F11="I"),-1,1)</f>
        <v>10038.370000000001</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3413.83</v>
      </c>
      <c r="AM12" s="1030">
        <f t="shared" si="2"/>
        <v>191.63000000000011</v>
      </c>
      <c r="AN12" s="1030">
        <f>INDEX(G12:R12,1,MATCH(Parametres!$B$3,G$1:R$1,0))*IF(OR(F12="L",F12="S",F12="I"),-1,1)</f>
        <v>3605.46</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248685.64</v>
      </c>
      <c r="AM13" s="1030">
        <f t="shared" si="2"/>
        <v>37858.539999999979</v>
      </c>
      <c r="AN13" s="1030">
        <f>INDEX(G13:R13,1,MATCH(Parametres!$B$3,G$1:R$1,0))*IF(OR(F13="L",F13="S",F13="I"),-1,1)</f>
        <v>286544.18</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-81190.080000000002</v>
      </c>
      <c r="AM14" s="1030">
        <f t="shared" si="2"/>
        <v>-13818.569999999992</v>
      </c>
      <c r="AN14" s="1030">
        <f>INDEX(G14:R14,1,MATCH(Parametres!$B$3,G$1:R$1,0))*IF(OR(F14="L",F14="S",F14="I"),-1,1)</f>
        <v>-95008.65</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13480.15</v>
      </c>
      <c r="AM16" s="1030">
        <f t="shared" si="2"/>
        <v>0</v>
      </c>
      <c r="AN16" s="1030">
        <f>INDEX(G16:R16,1,MATCH(Parametres!$B$3,G$1:R$1,0))*IF(OR(F16="L",F16="S",F16="I"),-1,1)</f>
        <v>13480.15</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329985.13</v>
      </c>
      <c r="AM17" s="1030">
        <f t="shared" si="2"/>
        <v>31455.049999999988</v>
      </c>
      <c r="AN17" s="1030">
        <f>INDEX(G17:R17,1,MATCH(Parametres!$B$3,G$1:R$1,0))*IF(OR(F17="L",F17="S",F17="I"),-1,1)</f>
        <v>361440.18</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33093.01</v>
      </c>
      <c r="AM20" s="1030">
        <f t="shared" si="2"/>
        <v>2698</v>
      </c>
      <c r="AN20" s="1030">
        <f>INDEX(G20:R20,1,MATCH(Parametres!$B$3,G$1:R$1,0))*IF(OR(F20="L",F20="S",F20="I"),-1,1)</f>
        <v>35791.01</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74952.570000000007</v>
      </c>
      <c r="AM21" s="1030">
        <f t="shared" si="2"/>
        <v>3832.5899999999965</v>
      </c>
      <c r="AN21" s="1030">
        <f>INDEX(G21:R21,1,MATCH(Parametres!$B$3,G$1:R$1,0))*IF(OR(F21="L",F21="S",F21="I"),-1,1)</f>
        <v>78785.16</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14411.8</v>
      </c>
      <c r="AM24" s="1030">
        <f t="shared" si="2"/>
        <v>1537.1599999999999</v>
      </c>
      <c r="AN24" s="1030">
        <f>INDEX(G24:R24,1,MATCH(Parametres!$B$3,G$1:R$1,0))*IF(OR(F24="L",F24="S",F24="I"),-1,1)</f>
        <v>15948.96</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158948.29999999999</v>
      </c>
      <c r="AM25" s="1030">
        <f t="shared" si="2"/>
        <v>6413.7400000000198</v>
      </c>
      <c r="AN25" s="1030">
        <f>INDEX(G25:R25,1,MATCH(Parametres!$B$3,G$1:R$1,0))*IF(OR(F25="L",F25="S",F25="I"),-1,1)</f>
        <v>165362.04</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7750</v>
      </c>
      <c r="AM26" s="1030">
        <f t="shared" si="2"/>
        <v>0</v>
      </c>
      <c r="AN26" s="1030">
        <f>INDEX(G26:R26,1,MATCH(Parametres!$B$3,G$1:R$1,0))*IF(OR(F26="L",F26="S",F26="I"),-1,1)</f>
        <v>7750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7592.5</v>
      </c>
      <c r="AM27" s="1030">
        <f t="shared" si="2"/>
        <v>169.4399999999996</v>
      </c>
      <c r="AN27" s="1030">
        <f>INDEX(G27:R27,1,MATCH(Parametres!$B$3,G$1:R$1,0))*IF(OR(F27="L",F27="S",F27="I"),-1,1)</f>
        <v>7761.94</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6124.58</v>
      </c>
      <c r="AM30" s="1030">
        <f t="shared" si="2"/>
        <v>2061.59</v>
      </c>
      <c r="AN30" s="1030">
        <f>INDEX(G30:R30,1,MATCH(Parametres!$B$3,G$1:R$1,0))*IF(OR(F30="L",F30="S",F30="I"),-1,1)</f>
        <v>8186.17</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518.84</v>
      </c>
      <c r="AM31" s="1030">
        <f t="shared" si="2"/>
        <v>40.469999999999914</v>
      </c>
      <c r="AN31" s="1030">
        <f>INDEX(G31:R31,1,MATCH(Parametres!$B$3,G$1:R$1,0))*IF(OR(F31="L",F31="S",F31="I"),-1,1)</f>
        <v>559.30999999999995</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16568.8</v>
      </c>
      <c r="AM34" s="1030">
        <f t="shared" si="2"/>
        <v>1286.1399999999994</v>
      </c>
      <c r="AN34" s="1030">
        <f>INDEX(G34:R34,1,MATCH(Parametres!$B$3,G$1:R$1,0))*IF(OR(F34="L",F34="S",F34="I"),-1,1)</f>
        <v>17854.939999999999</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6957.79</v>
      </c>
      <c r="AM35" s="1030">
        <f t="shared" si="2"/>
        <v>432.67000000000007</v>
      </c>
      <c r="AN35" s="1030">
        <f>INDEX(G35:R35,1,MATCH(Parametres!$B$3,G$1:R$1,0))*IF(OR(F35="L",F35="S",F35="I"),-1,1)</f>
        <v>7390.46</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6377.24</v>
      </c>
      <c r="AM36" s="1030">
        <f t="shared" si="2"/>
        <v>0</v>
      </c>
      <c r="AN36" s="1030">
        <f>INDEX(G36:R36,1,MATCH(Parametres!$B$3,G$1:R$1,0))*IF(OR(F36="L",F36="S",F36="I"),-1,1)</f>
        <v>6377.24</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974.37</v>
      </c>
      <c r="AM37" s="1030">
        <f t="shared" si="2"/>
        <v>100.10000000000002</v>
      </c>
      <c r="AN37" s="1030">
        <f>INDEX(G37:R37,1,MATCH(Parametres!$B$3,G$1:R$1,0))*IF(OR(F37="L",F37="S",F37="I"),-1,1)</f>
        <v>1074.47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559.02</v>
      </c>
      <c r="AM39" s="1030">
        <f t="shared" si="2"/>
        <v>152.68000000000006</v>
      </c>
      <c r="AN39" s="1030">
        <f>INDEX(G39:R39,1,MATCH(Parametres!$B$3,G$1:R$1,0))*IF(OR(F39="L",F39="S",F39="I"),-1,1)</f>
        <v>711.7</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325000</v>
      </c>
      <c r="AM42" s="1030">
        <f t="shared" si="2"/>
        <v>32500</v>
      </c>
      <c r="AN42" s="1030">
        <f>INDEX(G42:R42,1,MATCH(Parametres!$B$3,G$1:R$1,0))*IF(OR(F42="L",F42="S",F42="I"),-1,1)</f>
        <v>357500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1365.55</v>
      </c>
      <c r="AM43" s="1030">
        <f t="shared" si="2"/>
        <v>54.680000000000064</v>
      </c>
      <c r="AN43" s="1030">
        <f>INDEX(G43:R43,1,MATCH(Parametres!$B$3,G$1:R$1,0))*IF(OR(F43="L",F43="S",F43="I"),-1,1)</f>
        <v>1420.23</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25691.17</v>
      </c>
      <c r="AM44" s="1030">
        <f t="shared" si="2"/>
        <v>795.2300000000032</v>
      </c>
      <c r="AN44" s="1030">
        <f>INDEX(G44:R44,1,MATCH(Parametres!$B$3,G$1:R$1,0))*IF(OR(F44="L",F44="S",F44="I"),-1,1)</f>
        <v>26486.400000000001</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141638.63</v>
      </c>
      <c r="AM45" s="1030">
        <f t="shared" si="2"/>
        <v>14286.949999999983</v>
      </c>
      <c r="AN45" s="1030">
        <f>INDEX(G45:R45,1,MATCH(Parametres!$B$3,G$1:R$1,0))*IF(OR(F45="L",F45="S",F45="I"),-1,1)</f>
        <v>155925.57999999999</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11407.64</v>
      </c>
      <c r="AM46" s="1030">
        <f t="shared" si="2"/>
        <v>730.40000000000146</v>
      </c>
      <c r="AN46" s="1030">
        <f>INDEX(G46:R46,1,MATCH(Parametres!$B$3,G$1:R$1,0))*IF(OR(F46="L",F46="S",F46="I"),-1,1)</f>
        <v>12138.04</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8729.11</v>
      </c>
      <c r="AM49" s="1030">
        <f t="shared" si="2"/>
        <v>996.88999999999942</v>
      </c>
      <c r="AN49" s="1030">
        <f>INDEX(G49:R49,1,MATCH(Parametres!$B$3,G$1:R$1,0))*IF(OR(F49="L",F49="S",F49="I"),-1,1)</f>
        <v>9726</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22691.49</v>
      </c>
      <c r="AM51" s="1030">
        <f t="shared" si="2"/>
        <v>2047.2299999999996</v>
      </c>
      <c r="AN51" s="1030">
        <f>INDEX(G51:R51,1,MATCH(Parametres!$B$3,G$1:R$1,0))*IF(OR(F51="L",F51="S",F51="I"),-1,1)</f>
        <v>24738.720000000001</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3368.7</v>
      </c>
      <c r="AM52" s="1030">
        <f t="shared" si="2"/>
        <v>250</v>
      </c>
      <c r="AN52" s="1030">
        <f>INDEX(G52:R52,1,MATCH(Parametres!$B$3,G$1:R$1,0))*IF(OR(F52="L",F52="S",F52="I"),-1,1)</f>
        <v>3618.7</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2609.6799999999998</v>
      </c>
      <c r="AM53" s="1030">
        <f t="shared" si="2"/>
        <v>8.75</v>
      </c>
      <c r="AN53" s="1030">
        <f>INDEX(G53:R53,1,MATCH(Parametres!$B$3,G$1:R$1,0))*IF(OR(F53="L",F53="S",F53="I"),-1,1)</f>
        <v>2618.4299999999998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2242.33</v>
      </c>
      <c r="AM56" s="1030">
        <f t="shared" si="2"/>
        <v>274.61000000000013</v>
      </c>
      <c r="AN56" s="1030">
        <f>INDEX(G56:R56,1,MATCH(Parametres!$B$3,G$1:R$1,0))*IF(OR(F56="L",F56="S",F56="I"),-1,1)</f>
        <v>2516.94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178543.95</v>
      </c>
      <c r="AM57" s="1030">
        <f t="shared" si="2"/>
        <v>14654.919999999984</v>
      </c>
      <c r="AN57" s="1030">
        <f>INDEX(G57:R57,1,MATCH(Parametres!$B$3,G$1:R$1,0))*IF(OR(F57="L",F57="S",F57="I"),-1,1)</f>
        <v>193198.87</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89742.47</v>
      </c>
      <c r="AM58" s="1030">
        <f t="shared" si="2"/>
        <v>16497.839999999997</v>
      </c>
      <c r="AN58" s="1030">
        <f>INDEX(G58:R58,1,MATCH(Parametres!$B$3,G$1:R$1,0))*IF(OR(F58="L",F58="S",F58="I"),-1,1)</f>
        <v>106240.31</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30397.8</v>
      </c>
      <c r="AM59" s="1030">
        <f t="shared" si="2"/>
        <v>7807.880000000001</v>
      </c>
      <c r="AN59" s="1030">
        <f>INDEX(G59:R59,1,MATCH(Parametres!$B$3,G$1:R$1,0))*IF(OR(F59="L",F59="S",F59="I"),-1,1)</f>
        <v>38205.68</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61.62</v>
      </c>
      <c r="AM60" s="1030">
        <f t="shared" si="2"/>
        <v>264</v>
      </c>
      <c r="AN60" s="1030">
        <f>INDEX(G60:R60,1,MATCH(Parametres!$B$3,G$1:R$1,0))*IF(OR(F60="L",F60="S",F60="I"),-1,1)</f>
        <v>325.62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7705.11</v>
      </c>
      <c r="AM62" s="1030">
        <f t="shared" si="2"/>
        <v>295.97000000000025</v>
      </c>
      <c r="AN62" s="1030">
        <f>INDEX(G62:R62,1,MATCH(Parametres!$B$3,G$1:R$1,0))*IF(OR(F62="L",F62="S",F62="I"),-1,1)</f>
        <v>8001.08</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136.88</v>
      </c>
      <c r="AM65" s="1030">
        <f t="shared" si="2"/>
        <v>0</v>
      </c>
      <c r="AN65" s="1030">
        <f>INDEX(G65:R65,1,MATCH(Parametres!$B$3,G$1:R$1,0))*IF(OR(F65="L",F65="S",F65="I"),-1,1)</f>
        <v>136.88</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3625.29</v>
      </c>
      <c r="AM66" s="1030">
        <f t="shared" si="2"/>
        <v>1050.7200000000003</v>
      </c>
      <c r="AN66" s="1030">
        <f>INDEX(G66:R66,1,MATCH(Parametres!$B$3,G$1:R$1,0))*IF(OR(F66="L",F66="S",F66="I"),-1,1)</f>
        <v>4676.01</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122446.16</v>
      </c>
      <c r="AM68" s="1030">
        <f t="shared" ref="AM68:AM131" si="8">AN68-N(AL68)</f>
        <v>12083.399999999994</v>
      </c>
      <c r="AN68" s="1030">
        <f>INDEX(G68:R68,1,MATCH(Parametres!$B$3,G$1:R$1,0))*IF(OR(F68="L",F68="S",F68="I"),-1,1)</f>
        <v>134529.56</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29467.45</v>
      </c>
      <c r="AM69" s="1030">
        <f t="shared" si="8"/>
        <v>1834.9099999999999</v>
      </c>
      <c r="AN69" s="1030">
        <f>INDEX(G69:R69,1,MATCH(Parametres!$B$3,G$1:R$1,0))*IF(OR(F69="L",F69="S",F69="I"),-1,1)</f>
        <v>31302.36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3871.89</v>
      </c>
      <c r="AM72" s="1030">
        <f t="shared" si="8"/>
        <v>319.12000000000035</v>
      </c>
      <c r="AN72" s="1030">
        <f>INDEX(G72:R72,1,MATCH(Parametres!$B$3,G$1:R$1,0))*IF(OR(F72="L",F72="S",F72="I"),-1,1)</f>
        <v>4191.01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41750.370000000003</v>
      </c>
      <c r="AM73" s="1030">
        <f t="shared" si="8"/>
        <v>2690.1699999999983</v>
      </c>
      <c r="AN73" s="1030">
        <f>INDEX(G73:R73,1,MATCH(Parametres!$B$3,G$1:R$1,0))*IF(OR(F73="L",F73="S",F73="I"),-1,1)</f>
        <v>44440.54</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6236.37</v>
      </c>
      <c r="AM75" s="1030">
        <f t="shared" si="8"/>
        <v>169.44000000000051</v>
      </c>
      <c r="AN75" s="1030">
        <f>INDEX(G75:R75,1,MATCH(Parametres!$B$3,G$1:R$1,0))*IF(OR(F75="L",F75="S",F75="I"),-1,1)</f>
        <v>6405.81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6124.58</v>
      </c>
      <c r="AM78" s="1030">
        <f t="shared" si="8"/>
        <v>2061.59</v>
      </c>
      <c r="AN78" s="1030">
        <f>INDEX(G78:R78,1,MATCH(Parametres!$B$3,G$1:R$1,0))*IF(OR(F78="L",F78="S",F78="I"),-1,1)</f>
        <v>8186.17</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518.84</v>
      </c>
      <c r="AM79" s="1030">
        <f t="shared" si="8"/>
        <v>40.469999999999914</v>
      </c>
      <c r="AN79" s="1030">
        <f>INDEX(G79:R79,1,MATCH(Parametres!$B$3,G$1:R$1,0))*IF(OR(F79="L",F79="S",F79="I"),-1,1)</f>
        <v>559.30999999999995</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16380.56</v>
      </c>
      <c r="AM82" s="1030">
        <f t="shared" si="8"/>
        <v>1386.1400000000012</v>
      </c>
      <c r="AN82" s="1030">
        <f>INDEX(G82:R82,1,MATCH(Parametres!$B$3,G$1:R$1,0))*IF(OR(F82="L",F82="S",F82="I"),-1,1)</f>
        <v>17766.7</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5418.53</v>
      </c>
      <c r="AM83" s="1030">
        <f t="shared" si="8"/>
        <v>432.67000000000007</v>
      </c>
      <c r="AN83" s="1030">
        <f>INDEX(G83:R83,1,MATCH(Parametres!$B$3,G$1:R$1,0))*IF(OR(F83="L",F83="S",F83="I"),-1,1)</f>
        <v>5851.2</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974.37</v>
      </c>
      <c r="AM85" s="1030">
        <f t="shared" si="8"/>
        <v>100.10000000000002</v>
      </c>
      <c r="AN85" s="1030">
        <f>INDEX(G85:R85,1,MATCH(Parametres!$B$3,G$1:R$1,0))*IF(OR(F85="L",F85="S",F85="I"),-1,1)</f>
        <v>1074.47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325000</v>
      </c>
      <c r="AM89" s="1030">
        <f t="shared" si="8"/>
        <v>32500</v>
      </c>
      <c r="AN89" s="1030">
        <f>INDEX(G89:R89,1,MATCH(Parametres!$B$3,G$1:R$1,0))*IF(OR(F89="L",F89="S",F89="I"),-1,1)</f>
        <v>357500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1365.55</v>
      </c>
      <c r="AM90" s="1030">
        <f t="shared" si="8"/>
        <v>54.680000000000064</v>
      </c>
      <c r="AN90" s="1030">
        <f>INDEX(G90:R90,1,MATCH(Parametres!$B$3,G$1:R$1,0))*IF(OR(F90="L",F90="S",F90="I"),-1,1)</f>
        <v>1420.23</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25691.17</v>
      </c>
      <c r="AM91" s="1030">
        <f t="shared" si="8"/>
        <v>795.2300000000032</v>
      </c>
      <c r="AN91" s="1030">
        <f>INDEX(G91:R91,1,MATCH(Parametres!$B$3,G$1:R$1,0))*IF(OR(F91="L",F91="S",F91="I"),-1,1)</f>
        <v>26486.400000000001</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141638.63</v>
      </c>
      <c r="AM92" s="1030">
        <f t="shared" si="8"/>
        <v>14286.949999999983</v>
      </c>
      <c r="AN92" s="1030">
        <f>INDEX(G92:R92,1,MATCH(Parametres!$B$3,G$1:R$1,0))*IF(OR(F92="L",F92="S",F92="I"),-1,1)</f>
        <v>155925.57999999999</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11407.64</v>
      </c>
      <c r="AM93" s="1030">
        <f t="shared" si="8"/>
        <v>730.40000000000146</v>
      </c>
      <c r="AN93" s="1030">
        <f>INDEX(G93:R93,1,MATCH(Parametres!$B$3,G$1:R$1,0))*IF(OR(F93="L",F93="S",F93="I"),-1,1)</f>
        <v>12138.04</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8729.11</v>
      </c>
      <c r="AM96" s="1030">
        <f t="shared" si="8"/>
        <v>996.88999999999942</v>
      </c>
      <c r="AN96" s="1030">
        <f>INDEX(G96:R96,1,MATCH(Parametres!$B$3,G$1:R$1,0))*IF(OR(F96="L",F96="S",F96="I"),-1,1)</f>
        <v>9726</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22691.49</v>
      </c>
      <c r="AM98" s="1030">
        <f t="shared" si="8"/>
        <v>2047.2299999999996</v>
      </c>
      <c r="AN98" s="1030">
        <f>INDEX(G98:R98,1,MATCH(Parametres!$B$3,G$1:R$1,0))*IF(OR(F98="L",F98="S",F98="I"),-1,1)</f>
        <v>24738.720000000001</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2368.6999999999998</v>
      </c>
      <c r="AM99" s="1030">
        <f t="shared" si="8"/>
        <v>250</v>
      </c>
      <c r="AN99" s="1030">
        <f>INDEX(G99:R99,1,MATCH(Parametres!$B$3,G$1:R$1,0))*IF(OR(F99="L",F99="S",F99="I"),-1,1)</f>
        <v>2618.6999999999998</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2609.6799999999998</v>
      </c>
      <c r="AM100" s="1030">
        <f t="shared" si="8"/>
        <v>8.75</v>
      </c>
      <c r="AN100" s="1030">
        <f>INDEX(G100:R100,1,MATCH(Parametres!$B$3,G$1:R$1,0))*IF(OR(F100="L",F100="S",F100="I"),-1,1)</f>
        <v>2618.4299999999998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325</v>
      </c>
      <c r="AM102" s="1030">
        <f t="shared" si="8"/>
        <v>0</v>
      </c>
      <c r="AN102" s="1030">
        <f>INDEX(G102:R102,1,MATCH(Parametres!$B$3,G$1:R$1,0))*IF(OR(F102="L",F102="S",F102="I"),-1,1)</f>
        <v>325</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54618.25</v>
      </c>
      <c r="AM103" s="1030">
        <f t="shared" si="8"/>
        <v>3974.0800000000017</v>
      </c>
      <c r="AN103" s="1030">
        <f>INDEX(G103:R103,1,MATCH(Parametres!$B$3,G$1:R$1,0))*IF(OR(F103="L",F103="S",F103="I"),-1,1)</f>
        <v>58592.33</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194401.64</v>
      </c>
      <c r="AM104" s="1030">
        <f t="shared" si="8"/>
        <v>21165.119999999995</v>
      </c>
      <c r="AN104" s="1030">
        <f>INDEX(G104:R104,1,MATCH(Parametres!$B$3,G$1:R$1,0))*IF(OR(F104="L",F104="S",F104="I"),-1,1)</f>
        <v>215566.76</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25881.79</v>
      </c>
      <c r="AM105" s="1030">
        <f t="shared" si="8"/>
        <v>1164.0400000000009</v>
      </c>
      <c r="AN105" s="1030">
        <f>INDEX(G105:R105,1,MATCH(Parametres!$B$3,G$1:R$1,0))*IF(OR(F105="L",F105="S",F105="I"),-1,1)</f>
        <v>27045.83</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3240.06</v>
      </c>
      <c r="AM108" s="1030">
        <f t="shared" si="8"/>
        <v>345.67999999999984</v>
      </c>
      <c r="AN108" s="1030">
        <f>INDEX(G108:R108,1,MATCH(Parametres!$B$3,G$1:R$1,0))*IF(OR(F108="L",F108="S",F108="I"),-1,1)</f>
        <v>3585.74</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35724.47</v>
      </c>
      <c r="AM109" s="1030">
        <f t="shared" si="8"/>
        <v>2251.5400000000009</v>
      </c>
      <c r="AN109" s="1030">
        <f>INDEX(G109:R109,1,MATCH(Parametres!$B$3,G$1:R$1,0))*IF(OR(F109="L",F109="S",F109="I"),-1,1)</f>
        <v>37976.01</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7174.11</v>
      </c>
      <c r="AM111" s="1030">
        <f t="shared" si="8"/>
        <v>169.44000000000051</v>
      </c>
      <c r="AN111" s="1030">
        <f>INDEX(G111:R111,1,MATCH(Parametres!$B$3,G$1:R$1,0))*IF(OR(F111="L",F111="S",F111="I"),-1,1)</f>
        <v>7343.55</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6124.58</v>
      </c>
      <c r="AM114" s="1030">
        <f t="shared" si="8"/>
        <v>2061.59</v>
      </c>
      <c r="AN114" s="1030">
        <f>INDEX(G114:R114,1,MATCH(Parametres!$B$3,G$1:R$1,0))*IF(OR(F114="L",F114="S",F114="I"),-1,1)</f>
        <v>8186.17</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1418.11</v>
      </c>
      <c r="AM115" s="1030">
        <f t="shared" si="8"/>
        <v>31.600000000000136</v>
      </c>
      <c r="AN115" s="1030">
        <f>INDEX(G115:R115,1,MATCH(Parametres!$B$3,G$1:R$1,0))*IF(OR(F115="L",F115="S",F115="I"),-1,1)</f>
        <v>1449.71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157242.60999999999</v>
      </c>
      <c r="AM116" s="1030">
        <f t="shared" si="8"/>
        <v>20192.890000000014</v>
      </c>
      <c r="AN116" s="1030">
        <f>INDEX(G116:R116,1,MATCH(Parametres!$B$3,G$1:R$1,0))*IF(OR(F116="L",F116="S",F116="I"),-1,1)</f>
        <v>177435.5</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518.84</v>
      </c>
      <c r="AM117" s="1030">
        <f t="shared" si="8"/>
        <v>40.469999999999914</v>
      </c>
      <c r="AN117" s="1030">
        <f>INDEX(G117:R117,1,MATCH(Parametres!$B$3,G$1:R$1,0))*IF(OR(F117="L",F117="S",F117="I"),-1,1)</f>
        <v>559.30999999999995</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100</v>
      </c>
      <c r="AM119" s="1030">
        <f t="shared" si="8"/>
        <v>0</v>
      </c>
      <c r="AN119" s="1030">
        <f>INDEX(G119:R119,1,MATCH(Parametres!$B$3,G$1:R$1,0))*IF(OR(F119="L",F119="S",F119="I"),-1,1)</f>
        <v>100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5414.91</v>
      </c>
      <c r="AM120" s="1030">
        <f t="shared" si="8"/>
        <v>500</v>
      </c>
      <c r="AN120" s="1030">
        <f>INDEX(G120:R120,1,MATCH(Parametres!$B$3,G$1:R$1,0))*IF(OR(F120="L",F120="S",F120="I"),-1,1)</f>
        <v>5914.91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18930.32</v>
      </c>
      <c r="AM121" s="1030">
        <f t="shared" si="8"/>
        <v>1781.4099999999999</v>
      </c>
      <c r="AN121" s="1030">
        <f>INDEX(G121:R121,1,MATCH(Parametres!$B$3,G$1:R$1,0))*IF(OR(F121="L",F121="S",F121="I"),-1,1)</f>
        <v>20711.73</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8543.74</v>
      </c>
      <c r="AM122" s="1030">
        <f t="shared" si="8"/>
        <v>432.67000000000007</v>
      </c>
      <c r="AN122" s="1030">
        <f>INDEX(G122:R122,1,MATCH(Parametres!$B$3,G$1:R$1,0))*IF(OR(F122="L",F122="S",F122="I"),-1,1)</f>
        <v>8976.41</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650</v>
      </c>
      <c r="AM123" s="1030">
        <f t="shared" si="8"/>
        <v>130</v>
      </c>
      <c r="AN123" s="1030">
        <f>INDEX(G123:R123,1,MATCH(Parametres!$B$3,G$1:R$1,0))*IF(OR(F123="L",F123="S",F123="I"),-1,1)</f>
        <v>780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974.37</v>
      </c>
      <c r="AM124" s="1030">
        <f t="shared" si="8"/>
        <v>100.10000000000002</v>
      </c>
      <c r="AN124" s="1030">
        <f>INDEX(G124:R124,1,MATCH(Parametres!$B$3,G$1:R$1,0))*IF(OR(F124="L",F124="S",F124="I"),-1,1)</f>
        <v>1074.47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168914.21</v>
      </c>
      <c r="AM126" s="1030">
        <f t="shared" si="8"/>
        <v>15134.279999999999</v>
      </c>
      <c r="AN126" s="1030">
        <f>INDEX(G126:R126,1,MATCH(Parametres!$B$3,G$1:R$1,0))*IF(OR(F126="L",F126="S",F126="I"),-1,1)</f>
        <v>184048.49</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204.76</v>
      </c>
      <c r="AM127" s="1030">
        <f t="shared" si="8"/>
        <v>40</v>
      </c>
      <c r="AN127" s="1030">
        <f>INDEX(G127:R127,1,MATCH(Parametres!$B$3,G$1:R$1,0))*IF(OR(F127="L",F127="S",F127="I"),-1,1)</f>
        <v>244.76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325000</v>
      </c>
      <c r="AM128" s="1030">
        <f t="shared" si="8"/>
        <v>32500</v>
      </c>
      <c r="AN128" s="1030">
        <f>INDEX(G128:R128,1,MATCH(Parametres!$B$3,G$1:R$1,0))*IF(OR(F128="L",F128="S",F128="I"),-1,1)</f>
        <v>357500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1365.55</v>
      </c>
      <c r="AM129" s="1030">
        <f t="shared" si="8"/>
        <v>54.680000000000064</v>
      </c>
      <c r="AN129" s="1030">
        <f>INDEX(G129:R129,1,MATCH(Parametres!$B$3,G$1:R$1,0))*IF(OR(F129="L",F129="S",F129="I"),-1,1)</f>
        <v>1420.23</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22148.97</v>
      </c>
      <c r="AM130" s="1030">
        <f t="shared" si="8"/>
        <v>457.72999999999956</v>
      </c>
      <c r="AN130" s="1030">
        <f>INDEX(G130:R130,1,MATCH(Parametres!$B$3,G$1:R$1,0))*IF(OR(F130="L",F130="S",F130="I"),-1,1)</f>
        <v>22606.7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85243.27</v>
      </c>
      <c r="AM131" s="1030">
        <f t="shared" si="8"/>
        <v>7870.4199999999983</v>
      </c>
      <c r="AN131" s="1030">
        <f>INDEX(G131:R131,1,MATCH(Parametres!$B$3,G$1:R$1,0))*IF(OR(F131="L",F131="S",F131="I"),-1,1)</f>
        <v>93113.69</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11407.64</v>
      </c>
      <c r="AM132" s="1030">
        <f t="shared" ref="AM132:AM195" si="14">AN132-N(AL132)</f>
        <v>730.40000000000146</v>
      </c>
      <c r="AN132" s="1030">
        <f>INDEX(G132:R132,1,MATCH(Parametres!$B$3,G$1:R$1,0))*IF(OR(F132="L",F132="S",F132="I"),-1,1)</f>
        <v>12138.04</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8729.11</v>
      </c>
      <c r="AM135" s="1030">
        <f t="shared" si="14"/>
        <v>996.88999999999942</v>
      </c>
      <c r="AN135" s="1030">
        <f>INDEX(G135:R135,1,MATCH(Parametres!$B$3,G$1:R$1,0))*IF(OR(F135="L",F135="S",F135="I"),-1,1)</f>
        <v>9726</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22691.49</v>
      </c>
      <c r="AM137" s="1030">
        <f t="shared" si="14"/>
        <v>2047.2299999999996</v>
      </c>
      <c r="AN137" s="1030">
        <f>INDEX(G137:R137,1,MATCH(Parametres!$B$3,G$1:R$1,0))*IF(OR(F137="L",F137="S",F137="I"),-1,1)</f>
        <v>24738.720000000001</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2368.6999999999998</v>
      </c>
      <c r="AM138" s="1030">
        <f t="shared" si="14"/>
        <v>250</v>
      </c>
      <c r="AN138" s="1030">
        <f>INDEX(G138:R138,1,MATCH(Parametres!$B$3,G$1:R$1,0))*IF(OR(F138="L",F138="S",F138="I"),-1,1)</f>
        <v>2618.6999999999998</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3560.68</v>
      </c>
      <c r="AM139" s="1030">
        <f t="shared" si="14"/>
        <v>346.75</v>
      </c>
      <c r="AN139" s="1030">
        <f>INDEX(G139:R139,1,MATCH(Parametres!$B$3,G$1:R$1,0))*IF(OR(F139="L",F139="S",F139="I"),-1,1)</f>
        <v>3907.43</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532.76</v>
      </c>
      <c r="AM141" s="1030">
        <f t="shared" si="14"/>
        <v>29.680000000000064</v>
      </c>
      <c r="AN141" s="1030">
        <f>INDEX(G141:R141,1,MATCH(Parametres!$B$3,G$1:R$1,0))*IF(OR(F141="L",F141="S",F141="I"),-1,1)</f>
        <v>562.44000000000005</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73936.740000000005</v>
      </c>
      <c r="AM142" s="1030">
        <f t="shared" si="14"/>
        <v>7478.6299999999901</v>
      </c>
      <c r="AN142" s="1030">
        <f>INDEX(G142:R142,1,MATCH(Parametres!$B$3,G$1:R$1,0))*IF(OR(F142="L",F142="S",F142="I"),-1,1)</f>
        <v>81415.37</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369872.95</v>
      </c>
      <c r="AM143" s="1030">
        <f t="shared" si="14"/>
        <v>44880.709999999963</v>
      </c>
      <c r="AN143" s="1030">
        <f>INDEX(G143:R143,1,MATCH(Parametres!$B$3,G$1:R$1,0))*IF(OR(F143="L",F143="S",F143="I"),-1,1)</f>
        <v>414753.66</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96444.11</v>
      </c>
      <c r="AM144" s="1030">
        <f t="shared" si="14"/>
        <v>9271.4700000000012</v>
      </c>
      <c r="AN144" s="1030">
        <f>INDEX(G144:R144,1,MATCH(Parametres!$B$3,G$1:R$1,0))*IF(OR(F144="L",F144="S",F144="I"),-1,1)</f>
        <v>105715.58</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13161.88</v>
      </c>
      <c r="AM147" s="1030">
        <f t="shared" si="14"/>
        <v>1127.42</v>
      </c>
      <c r="AN147" s="1030">
        <f>INDEX(G147:R147,1,MATCH(Parametres!$B$3,G$1:R$1,0))*IF(OR(F147="L",F147="S",F147="I"),-1,1)</f>
        <v>14289.3</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136053.34</v>
      </c>
      <c r="AM148" s="1030">
        <f t="shared" si="14"/>
        <v>9382.0299999999988</v>
      </c>
      <c r="AN148" s="1030">
        <f>INDEX(G148:R148,1,MATCH(Parametres!$B$3,G$1:R$1,0))*IF(OR(F148="L",F148="S",F148="I"),-1,1)</f>
        <v>145435.37</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10251.459999999999</v>
      </c>
      <c r="AM149" s="1030">
        <f t="shared" si="14"/>
        <v>0</v>
      </c>
      <c r="AN149" s="1030">
        <f>INDEX(G149:R149,1,MATCH(Parametres!$B$3,G$1:R$1,0))*IF(OR(F149="L",F149="S",F149="I"),-1,1)</f>
        <v>10251.459999999999</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7619.14</v>
      </c>
      <c r="AM150" s="1030">
        <f t="shared" si="14"/>
        <v>871.0699999999988</v>
      </c>
      <c r="AN150" s="1030">
        <f>INDEX(G150:R150,1,MATCH(Parametres!$B$3,G$1:R$1,0))*IF(OR(F150="L",F150="S",F150="I"),-1,1)</f>
        <v>8490.2099999999991</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48428.06</v>
      </c>
      <c r="AM151" s="1030">
        <f t="shared" si="14"/>
        <v>7657.0500000000029</v>
      </c>
      <c r="AN151" s="1030">
        <f>INDEX(G151:R151,1,MATCH(Parametres!$B$3,G$1:R$1,0))*IF(OR(F151="L",F151="S",F151="I"),-1,1)</f>
        <v>56085.11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17533.41</v>
      </c>
      <c r="AM152" s="1030">
        <f t="shared" si="14"/>
        <v>620.97999999999956</v>
      </c>
      <c r="AN152" s="1030">
        <f>INDEX(G152:R152,1,MATCH(Parametres!$B$3,G$1:R$1,0))*IF(OR(F152="L",F152="S",F152="I"),-1,1)</f>
        <v>18154.39</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6124.59</v>
      </c>
      <c r="AM153" s="1030">
        <f t="shared" si="14"/>
        <v>2061.59</v>
      </c>
      <c r="AN153" s="1030">
        <f>INDEX(G153:R153,1,MATCH(Parametres!$B$3,G$1:R$1,0))*IF(OR(F153="L",F153="S",F153="I"),-1,1)</f>
        <v>8186.18</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40283.69</v>
      </c>
      <c r="AM154" s="1030">
        <f t="shared" si="14"/>
        <v>7813.1299999999974</v>
      </c>
      <c r="AN154" s="1030">
        <f>INDEX(G154:R154,1,MATCH(Parametres!$B$3,G$1:R$1,0))*IF(OR(F154="L",F154="S",F154="I"),-1,1)</f>
        <v>48096.82</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5817.55</v>
      </c>
      <c r="AM157" s="1030">
        <f t="shared" si="14"/>
        <v>-3500.92</v>
      </c>
      <c r="AN157" s="1030">
        <f>INDEX(G157:R157,1,MATCH(Parametres!$B$3,G$1:R$1,0))*IF(OR(F157="L",F157="S",F157="I"),-1,1)</f>
        <v>2316.63</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-55742.55</v>
      </c>
      <c r="AM158" s="1030">
        <f t="shared" si="14"/>
        <v>-575.79999999999563</v>
      </c>
      <c r="AN158" s="1030">
        <f>INDEX(G158:R158,1,MATCH(Parametres!$B$3,G$1:R$1,0))*IF(OR(F158="L",F158="S",F158="I"),-1,1)</f>
        <v>-56318.35</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310</v>
      </c>
      <c r="AM159" s="1030">
        <f t="shared" si="14"/>
        <v>0</v>
      </c>
      <c r="AN159" s="1030">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15867.34</v>
      </c>
      <c r="AM161" s="1030">
        <f t="shared" si="14"/>
        <v>1286.0799999999981</v>
      </c>
      <c r="AN161" s="1030">
        <f>INDEX(G161:R161,1,MATCH(Parametres!$B$3,G$1:R$1,0))*IF(OR(F161="L",F161="S",F161="I"),-1,1)</f>
        <v>17153.419999999998</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5418.46</v>
      </c>
      <c r="AM162" s="1030">
        <f t="shared" si="14"/>
        <v>432.64999999999964</v>
      </c>
      <c r="AN162" s="1030">
        <f>INDEX(G162:R162,1,MATCH(Parametres!$B$3,G$1:R$1,0))*IF(OR(F162="L",F162="S",F162="I"),-1,1)</f>
        <v>5851.11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23035.35</v>
      </c>
      <c r="AM163" s="1030">
        <f t="shared" si="14"/>
        <v>642.20000000000073</v>
      </c>
      <c r="AN163" s="1030">
        <f>INDEX(G163:R163,1,MATCH(Parametres!$B$3,G$1:R$1,0))*IF(OR(F163="L",F163="S",F163="I"),-1,1)</f>
        <v>23677.55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1169.81</v>
      </c>
      <c r="AM164" s="1030">
        <f t="shared" si="14"/>
        <v>100.09000000000015</v>
      </c>
      <c r="AN164" s="1030">
        <f>INDEX(G164:R164,1,MATCH(Parametres!$B$3,G$1:R$1,0))*IF(OR(F164="L",F164="S",F164="I"),-1,1)</f>
        <v>1269.9000000000001</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500</v>
      </c>
      <c r="AM165" s="1030">
        <f t="shared" si="14"/>
        <v>0</v>
      </c>
      <c r="AN165" s="1030">
        <f>INDEX(G165:R165,1,MATCH(Parametres!$B$3,G$1:R$1,0))*IF(OR(F165="L",F165="S",F165="I"),-1,1)</f>
        <v>500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742.9</v>
      </c>
      <c r="AM166" s="1030">
        <f t="shared" si="14"/>
        <v>67.659999999999968</v>
      </c>
      <c r="AN166" s="1030">
        <f>INDEX(G166:R166,1,MATCH(Parametres!$B$3,G$1:R$1,0))*IF(OR(F166="L",F166="S",F166="I"),-1,1)</f>
        <v>810.56</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3600</v>
      </c>
      <c r="AM168" s="1030">
        <f t="shared" si="14"/>
        <v>500</v>
      </c>
      <c r="AN168" s="1030">
        <f>INDEX(G168:R168,1,MATCH(Parametres!$B$3,G$1:R$1,0))*IF(OR(F168="L",F168="S",F168="I"),-1,1)</f>
        <v>4100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325000</v>
      </c>
      <c r="AM169" s="1030">
        <f t="shared" si="14"/>
        <v>32500</v>
      </c>
      <c r="AN169" s="1030">
        <f>INDEX(G169:R169,1,MATCH(Parametres!$B$3,G$1:R$1,0))*IF(OR(F169="L",F169="S",F169="I"),-1,1)</f>
        <v>357500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1365.58</v>
      </c>
      <c r="AM170" s="1030">
        <f t="shared" si="14"/>
        <v>54.690000000000055</v>
      </c>
      <c r="AN170" s="1030">
        <f>INDEX(G170:R170,1,MATCH(Parametres!$B$3,G$1:R$1,0))*IF(OR(F170="L",F170="S",F170="I"),-1,1)</f>
        <v>1420.27</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55437.98</v>
      </c>
      <c r="AM171" s="1030">
        <f t="shared" si="14"/>
        <v>579.47999999999593</v>
      </c>
      <c r="AN171" s="1030">
        <f>INDEX(G171:R171,1,MATCH(Parametres!$B$3,G$1:R$1,0))*IF(OR(F171="L",F171="S",F171="I"),-1,1)</f>
        <v>56017.46</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85243.02</v>
      </c>
      <c r="AM172" s="1030">
        <f t="shared" si="14"/>
        <v>7870.3999999999942</v>
      </c>
      <c r="AN172" s="1030">
        <f>INDEX(G172:R172,1,MATCH(Parametres!$B$3,G$1:R$1,0))*IF(OR(F172="L",F172="S",F172="I"),-1,1)</f>
        <v>93113.42</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11407.51</v>
      </c>
      <c r="AM173" s="1030">
        <f t="shared" si="14"/>
        <v>730.39999999999964</v>
      </c>
      <c r="AN173" s="1030">
        <f>INDEX(G173:R173,1,MATCH(Parametres!$B$3,G$1:R$1,0))*IF(OR(F173="L",F173="S",F173="I"),-1,1)</f>
        <v>12137.91</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8728.91</v>
      </c>
      <c r="AM176" s="1030">
        <f t="shared" si="14"/>
        <v>996.88000000000102</v>
      </c>
      <c r="AN176" s="1030">
        <f>INDEX(G176:R176,1,MATCH(Parametres!$B$3,G$1:R$1,0))*IF(OR(F176="L",F176="S",F176="I"),-1,1)</f>
        <v>9725.7900000000009</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22691.360000000001</v>
      </c>
      <c r="AM178" s="1030">
        <f t="shared" si="14"/>
        <v>2047.2200000000012</v>
      </c>
      <c r="AN178" s="1030">
        <f>INDEX(G178:R178,1,MATCH(Parametres!$B$3,G$1:R$1,0))*IF(OR(F178="L",F178="S",F178="I"),-1,1)</f>
        <v>24738.58</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2368.6999999999998</v>
      </c>
      <c r="AM179" s="1030">
        <f t="shared" si="14"/>
        <v>250</v>
      </c>
      <c r="AN179" s="1030">
        <f>INDEX(G179:R179,1,MATCH(Parametres!$B$3,G$1:R$1,0))*IF(OR(F179="L",F179="S",F179="I"),-1,1)</f>
        <v>2618.6999999999998</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2609.63</v>
      </c>
      <c r="AM180" s="1030">
        <f t="shared" si="14"/>
        <v>8.75</v>
      </c>
      <c r="AN180" s="1030">
        <f>INDEX(G180:R180,1,MATCH(Parametres!$B$3,G$1:R$1,0))*IF(OR(F180="L",F180="S",F180="I"),-1,1)</f>
        <v>2618.38</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8111.77</v>
      </c>
      <c r="AM182" s="1030">
        <f t="shared" si="14"/>
        <v>1089.4300000000003</v>
      </c>
      <c r="AN182" s="1030">
        <f>INDEX(G182:R182,1,MATCH(Parametres!$B$3,G$1:R$1,0))*IF(OR(F182="L",F182="S",F182="I"),-1,1)</f>
        <v>9201.2000000000007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1600000</v>
      </c>
      <c r="AM329" s="1030">
        <f t="shared" si="32"/>
        <v>3900000</v>
      </c>
      <c r="AN329" s="1030">
        <f>INDEX(G329:R329,1,MATCH(Parametres!$B$3,G$1:R$1,0))*IF(OR(F329="L",F329="S",F329="I"),-1,1)</f>
        <v>5500000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1830150.03</v>
      </c>
      <c r="AM330" s="1030">
        <f t="shared" si="32"/>
        <v>-200441.88000000012</v>
      </c>
      <c r="AN330" s="1030">
        <f>INDEX(G330:R330,1,MATCH(Parametres!$B$3,G$1:R$1,0))*IF(OR(F330="L",F330="S",F330="I"),-1,1)</f>
        <v>1629708.15</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198870.6</v>
      </c>
      <c r="AM333" s="1030">
        <f t="shared" si="32"/>
        <v>-127560.53</v>
      </c>
      <c r="AN333" s="1030">
        <f>INDEX(G333:R333,1,MATCH(Parametres!$B$3,G$1:R$1,0))*IF(OR(F333="L",F333="S",F333="I"),-1,1)</f>
        <v>71310.070000000007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-82.67</v>
      </c>
      <c r="AM335" s="1030">
        <f t="shared" si="32"/>
        <v>1109.3900000000001</v>
      </c>
      <c r="AN335" s="1030">
        <f>INDEX(G335:R335,1,MATCH(Parametres!$B$3,G$1:R$1,0))*IF(OR(F335="L",F335="S",F335="I"),-1,1)</f>
        <v>1026.72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462397.83</v>
      </c>
      <c r="AM340" s="1030">
        <f t="shared" si="32"/>
        <v>-9175.5900000000256</v>
      </c>
      <c r="AN340" s="1030">
        <f>INDEX(G340:R340,1,MATCH(Parametres!$B$3,G$1:R$1,0))*IF(OR(F340="L",F340="S",F340="I"),-1,1)</f>
        <v>453222.24</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-5474.19</v>
      </c>
      <c r="AM342" s="1030">
        <f t="shared" si="32"/>
        <v>-399.01000000000022</v>
      </c>
      <c r="AN342" s="1030">
        <f>INDEX(G342:R342,1,MATCH(Parametres!$B$3,G$1:R$1,0))*IF(OR(F342="L",F342="S",F342="I"),-1,1)</f>
        <v>-5873.2</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-1358.42</v>
      </c>
      <c r="AM344" s="1030">
        <f t="shared" si="32"/>
        <v>400.00000000000011</v>
      </c>
      <c r="AN344" s="1030">
        <f>INDEX(G344:R344,1,MATCH(Parametres!$B$3,G$1:R$1,0))*IF(OR(F344="L",F344="S",F344="I"),-1,1)</f>
        <v>-958.42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197301.91</v>
      </c>
      <c r="AM346" s="1030">
        <f t="shared" si="32"/>
        <v>-215389.57</v>
      </c>
      <c r="AN346" s="1030">
        <f>INDEX(G346:R346,1,MATCH(Parametres!$B$3,G$1:R$1,0))*IF(OR(F346="L",F346="S",F346="I"),-1,1)</f>
        <v>-18087.66</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176261.63</v>
      </c>
      <c r="AM349" s="1030">
        <f t="shared" si="32"/>
        <v>-27671.450000000012</v>
      </c>
      <c r="AN349" s="1030">
        <f>INDEX(G349:R349,1,MATCH(Parametres!$B$3,G$1:R$1,0))*IF(OR(F349="L",F349="S",F349="I"),-1,1)</f>
        <v>148590.18</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-22879</v>
      </c>
      <c r="AM350" s="1030">
        <f t="shared" si="32"/>
        <v>2004</v>
      </c>
      <c r="AN350" s="1030">
        <f>INDEX(G350:R350,1,MATCH(Parametres!$B$3,G$1:R$1,0))*IF(OR(F350="L",F350="S",F350="I"),-1,1)</f>
        <v>-20875</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-76471</v>
      </c>
      <c r="AM351" s="1030">
        <f t="shared" si="32"/>
        <v>-4452</v>
      </c>
      <c r="AN351" s="1030">
        <f>INDEX(G351:R351,1,MATCH(Parametres!$B$3,G$1:R$1,0))*IF(OR(F351="L",F351="S",F351="I"),-1,1)</f>
        <v>-80923</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9378.6299999999992</v>
      </c>
      <c r="AM352" s="1030">
        <f t="shared" si="32"/>
        <v>1401.6100000000006</v>
      </c>
      <c r="AN352" s="1030">
        <f>INDEX(G352:R352,1,MATCH(Parametres!$B$3,G$1:R$1,0))*IF(OR(F352="L",F352="S",F352="I"),-1,1)</f>
        <v>10780.24</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-3633610.2</v>
      </c>
      <c r="AM354" s="1030">
        <f t="shared" si="32"/>
        <v>63357.040000000037</v>
      </c>
      <c r="AN354" s="1030">
        <f>INDEX(G354:R354,1,MATCH(Parametres!$B$3,G$1:R$1,0))*IF(OR(F354="L",F354="S",F354="I"),-1,1)</f>
        <v>-3570253.16</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-242595.93</v>
      </c>
      <c r="AM356" s="1030">
        <f t="shared" si="32"/>
        <v>0</v>
      </c>
      <c r="AN356" s="1030">
        <f>INDEX(G356:R356,1,MATCH(Parametres!$B$3,G$1:R$1,0))*IF(OR(F356="L",F356="S",F356="I"),-1,1)</f>
        <v>-242595.93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-150000</v>
      </c>
      <c r="AM357" s="1030">
        <f t="shared" si="32"/>
        <v>-3500000</v>
      </c>
      <c r="AN357" s="1030">
        <f>INDEX(G357:R357,1,MATCH(Parametres!$B$3,G$1:R$1,0))*IF(OR(F357="L",F357="S",F357="I"),-1,1)</f>
        <v>-3650000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3500000</v>
      </c>
      <c r="AM358" s="1030">
        <f t="shared" si="32"/>
        <v>4599</v>
      </c>
      <c r="AN358" s="1030">
        <f>INDEX(G358:R358,1,MATCH(Parametres!$B$3,G$1:R$1,0))*IF(OR(F358="L",F358="S",F358="I"),-1,1)</f>
        <v>3504599</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-5385742.0599999996</v>
      </c>
      <c r="AM359" s="1030">
        <f t="shared" si="32"/>
        <v>-400000</v>
      </c>
      <c r="AN359" s="1030">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-391.05</v>
      </c>
      <c r="AM362" s="1030">
        <f t="shared" si="32"/>
        <v>-292.94</v>
      </c>
      <c r="AN362" s="1030">
        <f>INDEX(G362:R362,1,MATCH(Parametres!$B$3,G$1:R$1,0))*IF(OR(F362="L",F362="S",F362="I"),-1,1)</f>
        <v>-683.99</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883454.57</v>
      </c>
      <c r="AM370" s="1030">
        <f t="shared" si="32"/>
        <v>-19813.959999999963</v>
      </c>
      <c r="AN370" s="1030">
        <f>INDEX(G370:R370,1,MATCH(Parametres!$B$3,G$1:R$1,0))*IF(OR(F370="L",F370="S",F370="I"),-1,1)</f>
        <v>863640.61</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5269705.68</v>
      </c>
      <c r="AM371" s="1030">
        <f t="shared" si="32"/>
        <v>81570.330000000075</v>
      </c>
      <c r="AN371" s="1030">
        <f>INDEX(G371:R371,1,MATCH(Parametres!$B$3,G$1:R$1,0))*IF(OR(F371="L",F371="S",F371="I"),-1,1)</f>
        <v>5351276.01</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2742355.91</v>
      </c>
      <c r="AM372" s="1030">
        <f t="shared" si="32"/>
        <v>-421206.52</v>
      </c>
      <c r="AN372" s="1030">
        <f>INDEX(G372:R372,1,MATCH(Parametres!$B$3,G$1:R$1,0))*IF(OR(F372="L",F372="S",F372="I"),-1,1)</f>
        <v>2321149.39</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159620.74</v>
      </c>
      <c r="AM374" s="1030">
        <f t="shared" si="32"/>
        <v>-10913.109999999986</v>
      </c>
      <c r="AN374" s="1030">
        <f>INDEX(G374:R374,1,MATCH(Parametres!$B$3,G$1:R$1,0))*IF(OR(F374="L",F374="S",F374="I"),-1,1)</f>
        <v>148707.63</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326334.90999999997</v>
      </c>
      <c r="AM376" s="1030">
        <f t="shared" si="32"/>
        <v>107009.39000000001</v>
      </c>
      <c r="AN376" s="1030">
        <f>INDEX(G376:R376,1,MATCH(Parametres!$B$3,G$1:R$1,0))*IF(OR(F376="L",F376="S",F376="I"),-1,1)</f>
        <v>433344.3</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59146.39</v>
      </c>
      <c r="AM377" s="1030">
        <f t="shared" si="32"/>
        <v>12726.300000000003</v>
      </c>
      <c r="AN377" s="1030">
        <f>INDEX(G377:R377,1,MATCH(Parametres!$B$3,G$1:R$1,0))*IF(OR(F377="L",F377="S",F377="I"),-1,1)</f>
        <v>71872.69</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480294.41</v>
      </c>
      <c r="AM379" s="1030">
        <f t="shared" si="32"/>
        <v>139938.52999999997</v>
      </c>
      <c r="AN379" s="1030">
        <f>INDEX(G379:R379,1,MATCH(Parametres!$B$3,G$1:R$1,0))*IF(OR(F379="L",F379="S",F379="I"),-1,1)</f>
        <v>620232.93999999994</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3834.71</v>
      </c>
      <c r="AM380" s="1030">
        <f t="shared" si="32"/>
        <v>11923.09</v>
      </c>
      <c r="AN380" s="1030">
        <f>INDEX(G380:R380,1,MATCH(Parametres!$B$3,G$1:R$1,0))*IF(OR(F380="L",F380="S",F380="I"),-1,1)</f>
        <v>15757.8</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174625.37</v>
      </c>
      <c r="AM381" s="1030">
        <f t="shared" si="32"/>
        <v>68718.78</v>
      </c>
      <c r="AN381" s="1030">
        <f>INDEX(G381:R381,1,MATCH(Parametres!$B$3,G$1:R$1,0))*IF(OR(F381="L",F381="S",F381="I"),-1,1)</f>
        <v>243344.15</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16690.03</v>
      </c>
      <c r="AM382" s="1030">
        <f t="shared" si="32"/>
        <v>-473.88999999999942</v>
      </c>
      <c r="AN382" s="1030">
        <f>INDEX(G382:R382,1,MATCH(Parametres!$B$3,G$1:R$1,0))*IF(OR(F382="L",F382="S",F382="I"),-1,1)</f>
        <v>16216.14</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32579.53</v>
      </c>
      <c r="AM385" s="1030">
        <f t="shared" si="32"/>
        <v>13765.04</v>
      </c>
      <c r="AN385" s="1030">
        <f>INDEX(G385:R385,1,MATCH(Parametres!$B$3,G$1:R$1,0))*IF(OR(F385="L",F385="S",F385="I"),-1,1)</f>
        <v>46344.57</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9230.64</v>
      </c>
      <c r="AM386" s="1030">
        <f t="shared" si="32"/>
        <v>-9312.91</v>
      </c>
      <c r="AN386" s="1030">
        <f>INDEX(G386:R386,1,MATCH(Parametres!$B$3,G$1:R$1,0))*IF(OR(F386="L",F386="S",F386="I"),-1,1)</f>
        <v>-82.27</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5510.67</v>
      </c>
      <c r="AM387" s="1030">
        <f t="shared" si="32"/>
        <v>1213.2799999999997</v>
      </c>
      <c r="AN387" s="1030">
        <f>INDEX(G387:R387,1,MATCH(Parametres!$B$3,G$1:R$1,0))*IF(OR(F387="L",F387="S",F387="I"),-1,1)</f>
        <v>6723.95</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-22476.33</v>
      </c>
      <c r="AM388" s="1030">
        <f t="shared" ref="AM388:AM451" si="38">AN388-N(AL388)</f>
        <v>-4030.6399999999994</v>
      </c>
      <c r="AN388" s="1030">
        <f>INDEX(G388:R388,1,MATCH(Parametres!$B$3,G$1:R$1,0))*IF(OR(F388="L",F388="S",F388="I"),-1,1)</f>
        <v>-26506.97</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191216.74</v>
      </c>
      <c r="AM392" s="1030">
        <f t="shared" si="38"/>
        <v>-44314.720000000001</v>
      </c>
      <c r="AN392" s="1030">
        <f>INDEX(G392:R392,1,MATCH(Parametres!$B$3,G$1:R$1,0))*IF(OR(F392="L",F392="S",F392="I"),-1,1)</f>
        <v>146902.01999999999</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34644.18</v>
      </c>
      <c r="AM393" s="1030">
        <f t="shared" si="38"/>
        <v>-8349.7999999999993</v>
      </c>
      <c r="AN393" s="1030">
        <f>INDEX(G393:R393,1,MATCH(Parametres!$B$3,G$1:R$1,0))*IF(OR(F393="L",F393="S",F393="I"),-1,1)</f>
        <v>26294.38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64465.34</v>
      </c>
      <c r="AM396" s="1030">
        <f t="shared" si="38"/>
        <v>1166.6699999999983</v>
      </c>
      <c r="AN396" s="1030">
        <f>INDEX(G396:R396,1,MATCH(Parametres!$B$3,G$1:R$1,0))*IF(OR(F396="L",F396="S",F396="I"),-1,1)</f>
        <v>65632.009999999995</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4005.1</v>
      </c>
      <c r="AM397" s="1030">
        <f t="shared" si="38"/>
        <v>-801.23999999999978</v>
      </c>
      <c r="AN397" s="1030">
        <f>INDEX(G397:R397,1,MATCH(Parametres!$B$3,G$1:R$1,0))*IF(OR(F397="L",F397="S",F397="I"),-1,1)</f>
        <v>3203.86</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0</v>
      </c>
      <c r="AM398" s="1030">
        <f t="shared" si="38"/>
        <v>0</v>
      </c>
      <c r="AN398" s="1030">
        <f>INDEX(G398:R398,1,MATCH(Parametres!$B$3,G$1:R$1,0))*IF(OR(F398="L",F398="S",F398="I"),-1,1)</f>
        <v>0</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-16000</v>
      </c>
      <c r="AM399" s="1030">
        <f t="shared" si="38"/>
        <v>-1000</v>
      </c>
      <c r="AN399" s="1030">
        <f>INDEX(G399:R399,1,MATCH(Parametres!$B$3,G$1:R$1,0))*IF(OR(F399="L",F399="S",F399="I"),-1,1)</f>
        <v>-17000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132620.64000000001</v>
      </c>
      <c r="AM406" s="1030">
        <f t="shared" si="38"/>
        <v>0</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-121461.12</v>
      </c>
      <c r="AM407" s="1030">
        <f t="shared" si="38"/>
        <v>-218.73000000001048</v>
      </c>
      <c r="AN407" s="1030">
        <f>INDEX(G407:R407,1,MATCH(Parametres!$B$3,G$1:R$1,0))*IF(OR(F407="L",F407="S",F407="I"),-1,1)</f>
        <v>-121679.85</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315848.05</v>
      </c>
      <c r="AM408" s="1030">
        <f t="shared" si="38"/>
        <v>1075</v>
      </c>
      <c r="AN408" s="1030">
        <f>INDEX(G408:R408,1,MATCH(Parametres!$B$3,G$1:R$1,0))*IF(OR(F408="L",F408="S",F408="I"),-1,1)</f>
        <v>316923.05</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-262027.16</v>
      </c>
      <c r="AM409" s="1030">
        <f t="shared" si="38"/>
        <v>-1069.5799999999872</v>
      </c>
      <c r="AN409" s="1030">
        <f>INDEX(G409:R409,1,MATCH(Parametres!$B$3,G$1:R$1,0))*IF(OR(F409="L",F409="S",F409="I"),-1,1)</f>
        <v>-263096.74</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-12640.48</v>
      </c>
      <c r="AM411" s="1030">
        <f t="shared" si="38"/>
        <v>-0.31999999999970896</v>
      </c>
      <c r="AN411" s="1030">
        <f>INDEX(G411:R411,1,MATCH(Parametres!$B$3,G$1:R$1,0))*IF(OR(F411="L",F411="S",F411="I"),-1,1)</f>
        <v>-12640.8</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768463.33</v>
      </c>
      <c r="AM412" s="1030">
        <f t="shared" si="38"/>
        <v>0</v>
      </c>
      <c r="AN412" s="1030">
        <f>INDEX(G412:R412,1,MATCH(Parametres!$B$3,G$1:R$1,0))*IF(OR(F412="L",F412="S",F412="I"),-1,1)</f>
        <v>768463.33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-645439.81000000006</v>
      </c>
      <c r="AM413" s="1030">
        <f t="shared" si="38"/>
        <v>-2460.4499999999534</v>
      </c>
      <c r="AN413" s="1030">
        <f>INDEX(G413:R413,1,MATCH(Parametres!$B$3,G$1:R$1,0))*IF(OR(F413="L",F413="S",F413="I"),-1,1)</f>
        <v>-647900.26</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-68272.45</v>
      </c>
      <c r="AM415" s="1030">
        <f t="shared" si="38"/>
        <v>-184.08999999999651</v>
      </c>
      <c r="AN415" s="1030">
        <f>INDEX(G415:R415,1,MATCH(Parametres!$B$3,G$1:R$1,0))*IF(OR(F415="L",F415="S",F415="I"),-1,1)</f>
        <v>-68456.539999999994</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-200612.1</v>
      </c>
      <c r="AM419" s="1030">
        <f t="shared" si="38"/>
        <v>-273.10999999998603</v>
      </c>
      <c r="AN419" s="1030">
        <f>INDEX(G419:R419,1,MATCH(Parametres!$B$3,G$1:R$1,0))*IF(OR(F419="L",F419="S",F419="I"),-1,1)</f>
        <v>-200885.21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6950932</v>
      </c>
      <c r="AM428" s="1030">
        <f t="shared" si="38"/>
        <v>0</v>
      </c>
      <c r="AN428" s="1030">
        <f>INDEX(G428:R428,1,MATCH(Parametres!$B$3,G$1:R$1,0))*IF(OR(F428="L",F428="S",F428="I"),-1,1)</f>
        <v>6950932</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-232333</v>
      </c>
      <c r="AM429" s="1030">
        <f t="shared" si="38"/>
        <v>0</v>
      </c>
      <c r="AN429" s="1030">
        <f>INDEX(G429:R429,1,MATCH(Parametres!$B$3,G$1:R$1,0))*IF(OR(F429="L",F429="S",F429="I"),-1,1)</f>
        <v>-232333</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-10620089.560000001</v>
      </c>
      <c r="AM432" s="1030">
        <f t="shared" si="38"/>
        <v>1006354.3800000008</v>
      </c>
      <c r="AN432" s="1030">
        <f>INDEX(G432:R432,1,MATCH(Parametres!$B$3,G$1:R$1,0))*IF(OR(F432="L",F432="S",F432="I"),-1,1)</f>
        <v>-9613735.1799999997</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-152415</v>
      </c>
      <c r="AM433" s="1030">
        <f t="shared" si="38"/>
        <v>-260177</v>
      </c>
      <c r="AN433" s="1030">
        <f>INDEX(G433:R433,1,MATCH(Parametres!$B$3,G$1:R$1,0))*IF(OR(F433="L",F433="S",F433="I"),-1,1)</f>
        <v>-412592</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-604755.63</v>
      </c>
      <c r="AM434" s="1030">
        <f t="shared" si="38"/>
        <v>-186424.91000000003</v>
      </c>
      <c r="AN434" s="1030">
        <f>INDEX(G434:R434,1,MATCH(Parametres!$B$3,G$1:R$1,0))*IF(OR(F434="L",F434="S",F434="I"),-1,1)</f>
        <v>-791180.54</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-350309.36</v>
      </c>
      <c r="AM441" s="1030">
        <f t="shared" si="38"/>
        <v>28389.609999999986</v>
      </c>
      <c r="AN441" s="1030">
        <f>INDEX(G441:R441,1,MATCH(Parametres!$B$3,G$1:R$1,0))*IF(OR(F441="L",F441="S",F441="I"),-1,1)</f>
        <v>-321919.75</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-3704.67</v>
      </c>
      <c r="AM442" s="1030">
        <f t="shared" si="38"/>
        <v>-1577.8099999999995</v>
      </c>
      <c r="AN442" s="1030">
        <f>INDEX(G442:R442,1,MATCH(Parametres!$B$3,G$1:R$1,0))*IF(OR(F442="L",F442="S",F442="I"),-1,1)</f>
        <v>-5282.48</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-19793</v>
      </c>
      <c r="AM443" s="1030">
        <f t="shared" si="38"/>
        <v>-1924</v>
      </c>
      <c r="AN443" s="1030">
        <f>INDEX(G443:R443,1,MATCH(Parametres!$B$3,G$1:R$1,0))*IF(OR(F443="L",F443="S",F443="I"),-1,1)</f>
        <v>-21717</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-37288.49</v>
      </c>
      <c r="AM444" s="1030">
        <f t="shared" si="38"/>
        <v>25808.69</v>
      </c>
      <c r="AN444" s="1030">
        <f>INDEX(G444:R444,1,MATCH(Parametres!$B$3,G$1:R$1,0))*IF(OR(F444="L",F444="S",F444="I"),-1,1)</f>
        <v>-11479.8</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-107236.37</v>
      </c>
      <c r="AM445" s="1030">
        <f t="shared" si="38"/>
        <v>107236.37</v>
      </c>
      <c r="AN445" s="1030">
        <f>INDEX(G445:R445,1,MATCH(Parametres!$B$3,G$1:R$1,0))*IF(OR(F445="L",F445="S",F445="I"),-1,1)</f>
        <v>0</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-87099.67</v>
      </c>
      <c r="AM447" s="1030">
        <f t="shared" si="38"/>
        <v>0</v>
      </c>
      <c r="AN447" s="1030">
        <f>INDEX(G447:R447,1,MATCH(Parametres!$B$3,G$1:R$1,0))*IF(OR(F447="L",F447="S",F447="I"),-1,1)</f>
        <v>-87099.67</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-694.02</v>
      </c>
      <c r="AM449" s="1030">
        <f t="shared" si="38"/>
        <v>0</v>
      </c>
      <c r="AN449" s="1030">
        <f>INDEX(G449:R449,1,MATCH(Parametres!$B$3,G$1:R$1,0))*IF(OR(F449="L",F449="S",F449="I"),-1,1)</f>
        <v>-694.02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-366.36</v>
      </c>
      <c r="AM450" s="1030">
        <f t="shared" si="38"/>
        <v>-882.71999999999991</v>
      </c>
      <c r="AN450" s="1030">
        <f>INDEX(G450:R450,1,MATCH(Parametres!$B$3,G$1:R$1,0))*IF(OR(F450="L",F450="S",F450="I"),-1,1)</f>
        <v>-1249.08</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1365.89</v>
      </c>
      <c r="AM451" s="1030">
        <f t="shared" si="38"/>
        <v>-207.58000000000015</v>
      </c>
      <c r="AN451" s="1030">
        <f>INDEX(G451:R451,1,MATCH(Parametres!$B$3,G$1:R$1,0))*IF(OR(F451="L",F451="S",F451="I"),-1,1)</f>
        <v>1158.31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-4273.87</v>
      </c>
      <c r="AM452" s="1030">
        <f t="shared" ref="AM452:AM515" si="44">AN452-N(AL452)</f>
        <v>-243.97000000000025</v>
      </c>
      <c r="AN452" s="1030">
        <f>INDEX(G452:R452,1,MATCH(Parametres!$B$3,G$1:R$1,0))*IF(OR(F452="L",F452="S",F452="I"),-1,1)</f>
        <v>-4517.84</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0</v>
      </c>
      <c r="AM453" s="1030">
        <f t="shared" si="44"/>
        <v>0</v>
      </c>
      <c r="AN453" s="1030">
        <f>INDEX(G453:R453,1,MATCH(Parametres!$B$3,G$1:R$1,0))*IF(OR(F453="L",F453="S",F453="I"),-1,1)</f>
        <v>0</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0</v>
      </c>
      <c r="AM454" s="1030">
        <f t="shared" si="44"/>
        <v>0</v>
      </c>
      <c r="AN454" s="1030">
        <f>INDEX(G454:R454,1,MATCH(Parametres!$B$3,G$1:R$1,0))*IF(OR(F454="L",F454="S",F454="I"),-1,1)</f>
        <v>0</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0</v>
      </c>
      <c r="AM455" s="1030">
        <f t="shared" si="44"/>
        <v>0</v>
      </c>
      <c r="AN455" s="1030">
        <f>INDEX(G455:R455,1,MATCH(Parametres!$B$3,G$1:R$1,0))*IF(OR(F455="L",F455="S",F455="I"),-1,1)</f>
        <v>0</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44233.48</v>
      </c>
      <c r="AM456" s="1030">
        <f t="shared" si="44"/>
        <v>-9621.6900000000023</v>
      </c>
      <c r="AN456" s="1030">
        <f>INDEX(G456:R456,1,MATCH(Parametres!$B$3,G$1:R$1,0))*IF(OR(F456="L",F456="S",F456="I"),-1,1)</f>
        <v>34611.79</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0</v>
      </c>
      <c r="AM457" s="1030">
        <f t="shared" si="44"/>
        <v>0</v>
      </c>
      <c r="AN457" s="1030">
        <f>INDEX(G457:R457,1,MATCH(Parametres!$B$3,G$1:R$1,0))*IF(OR(F457="L",F457="S",F457="I"),-1,1)</f>
        <v>0</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0</v>
      </c>
      <c r="AM458" s="1030">
        <f t="shared" si="44"/>
        <v>0</v>
      </c>
      <c r="AN458" s="1030">
        <f>INDEX(G458:R458,1,MATCH(Parametres!$B$3,G$1:R$1,0))*IF(OR(F458="L",F458="S",F458="I"),-1,1)</f>
        <v>0</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4712.99</v>
      </c>
      <c r="AM459" s="1030">
        <f t="shared" si="44"/>
        <v>3285.91</v>
      </c>
      <c r="AN459" s="1030">
        <f>INDEX(G459:R459,1,MATCH(Parametres!$B$3,G$1:R$1,0))*IF(OR(F459="L",F459="S",F459="I"),-1,1)</f>
        <v>7998.9</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-7189.78</v>
      </c>
      <c r="AM460" s="1030">
        <f t="shared" si="44"/>
        <v>-132.78000000000065</v>
      </c>
      <c r="AN460" s="1030">
        <f>INDEX(G460:R460,1,MATCH(Parametres!$B$3,G$1:R$1,0))*IF(OR(F460="L",F460="S",F460="I"),-1,1)</f>
        <v>-7322.56</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-80591.89</v>
      </c>
      <c r="AM461" s="1030">
        <f t="shared" si="44"/>
        <v>-20716.919999999998</v>
      </c>
      <c r="AN461" s="1030">
        <f>INDEX(G461:R461,1,MATCH(Parametres!$B$3,G$1:R$1,0))*IF(OR(F461="L",F461="S",F461="I"),-1,1)</f>
        <v>-101308.81</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-8251.33</v>
      </c>
      <c r="AM462" s="1030">
        <f t="shared" si="44"/>
        <v>89.279999999999745</v>
      </c>
      <c r="AN462" s="1030">
        <f>INDEX(G462:R462,1,MATCH(Parametres!$B$3,G$1:R$1,0))*IF(OR(F462="L",F462="S",F462="I"),-1,1)</f>
        <v>-8162.05</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-13026.94</v>
      </c>
      <c r="AM464" s="1030">
        <f t="shared" si="44"/>
        <v>-238090.21</v>
      </c>
      <c r="AN464" s="1030">
        <f>INDEX(G464:R464,1,MATCH(Parametres!$B$3,G$1:R$1,0))*IF(OR(F464="L",F464="S",F464="I"),-1,1)</f>
        <v>-251117.15</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0</v>
      </c>
      <c r="AM465" s="1030">
        <f t="shared" si="44"/>
        <v>0</v>
      </c>
      <c r="AN465" s="1030">
        <f>INDEX(G465:R465,1,MATCH(Parametres!$B$3,G$1:R$1,0))*IF(OR(F465="L",F465="S",F465="I"),-1,1)</f>
        <v>0</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0</v>
      </c>
      <c r="AM466" s="1030">
        <f t="shared" si="44"/>
        <v>0</v>
      </c>
      <c r="AN466" s="1030">
        <f>INDEX(G466:R466,1,MATCH(Parametres!$B$3,G$1:R$1,0))*IF(OR(F466="L",F466="S",F466="I"),-1,1)</f>
        <v>0</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0</v>
      </c>
      <c r="AM468" s="1030">
        <f t="shared" si="44"/>
        <v>0</v>
      </c>
      <c r="AN468" s="1030">
        <f>INDEX(G468:R468,1,MATCH(Parametres!$B$3,G$1:R$1,0))*IF(OR(F468="L",F468="S",F468="I"),-1,1)</f>
        <v>0</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0</v>
      </c>
      <c r="AM469" s="1030">
        <f t="shared" si="44"/>
        <v>0</v>
      </c>
      <c r="AN469" s="1030">
        <f>INDEX(G469:R469,1,MATCH(Parametres!$B$3,G$1:R$1,0))*IF(OR(F469="L",F469="S",F469="I"),-1,1)</f>
        <v>0</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13244.38</v>
      </c>
      <c r="AM471" s="1030">
        <f t="shared" si="44"/>
        <v>1660</v>
      </c>
      <c r="AN471" s="1030">
        <f>INDEX(G471:R471,1,MATCH(Parametres!$B$3,G$1:R$1,0))*IF(OR(F471="L",F471="S",F471="I"),-1,1)</f>
        <v>14904.38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-6831.99</v>
      </c>
      <c r="AM472" s="1030">
        <f t="shared" si="44"/>
        <v>511.03999999999996</v>
      </c>
      <c r="AN472" s="1030">
        <f>INDEX(G472:R472,1,MATCH(Parametres!$B$3,G$1:R$1,0))*IF(OR(F472="L",F472="S",F472="I"),-1,1)</f>
        <v>-6320.95</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-17292</v>
      </c>
      <c r="AM473" s="1030">
        <f t="shared" si="44"/>
        <v>92.659999999999854</v>
      </c>
      <c r="AN473" s="1030">
        <f>INDEX(G473:R473,1,MATCH(Parametres!$B$3,G$1:R$1,0))*IF(OR(F473="L",F473="S",F473="I"),-1,1)</f>
        <v>-17199.34</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-3600</v>
      </c>
      <c r="AM474" s="1030">
        <f t="shared" si="44"/>
        <v>32.820000000000164</v>
      </c>
      <c r="AN474" s="1030">
        <f>INDEX(G474:R474,1,MATCH(Parametres!$B$3,G$1:R$1,0))*IF(OR(F474="L",F474="S",F474="I"),-1,1)</f>
        <v>-3567.18</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-12000</v>
      </c>
      <c r="AM475" s="1030">
        <f t="shared" si="44"/>
        <v>-1500</v>
      </c>
      <c r="AN475" s="1030">
        <f>INDEX(G475:R475,1,MATCH(Parametres!$B$3,G$1:R$1,0))*IF(OR(F475="L",F475="S",F475="I"),-1,1)</f>
        <v>-13500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-7185.71</v>
      </c>
      <c r="AM481" s="1030">
        <f t="shared" si="44"/>
        <v>1429.9700000000003</v>
      </c>
      <c r="AN481" s="1030">
        <f>INDEX(G481:R481,1,MATCH(Parametres!$B$3,G$1:R$1,0))*IF(OR(F481="L",F481="S",F481="I"),-1,1)</f>
        <v>-5755.74</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-30405.37</v>
      </c>
      <c r="AM482" s="1030">
        <f t="shared" si="44"/>
        <v>0</v>
      </c>
      <c r="AN482" s="1030">
        <f>INDEX(G482:R482,1,MATCH(Parametres!$B$3,G$1:R$1,0))*IF(OR(F482="L",F482="S",F482="I"),-1,1)</f>
        <v>-30405.37</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-167069.82</v>
      </c>
      <c r="AM485" s="1030">
        <f t="shared" si="44"/>
        <v>-8382.109999999986</v>
      </c>
      <c r="AN485" s="1030">
        <f>INDEX(G485:R485,1,MATCH(Parametres!$B$3,G$1:R$1,0))*IF(OR(F485="L",F485="S",F485="I"),-1,1)</f>
        <v>-175451.93</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32651.42</v>
      </c>
      <c r="AM487" s="1030">
        <f t="shared" si="44"/>
        <v>0</v>
      </c>
      <c r="AN487" s="1030">
        <f>INDEX(G487:R487,1,MATCH(Parametres!$B$3,G$1:R$1,0))*IF(OR(F487="L",F487="S",F487="I"),-1,1)</f>
        <v>32651.42</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644.36</v>
      </c>
      <c r="AM495" s="1030">
        <f t="shared" si="44"/>
        <v>402.21999999999991</v>
      </c>
      <c r="AN495" s="1030">
        <f>INDEX(G495:R495,1,MATCH(Parametres!$B$3,G$1:R$1,0))*IF(OR(F495="L",F495="S",F495="I"),-1,1)</f>
        <v>1046.58</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-149676.98000000001</v>
      </c>
      <c r="AM496" s="1030">
        <f t="shared" si="44"/>
        <v>7865</v>
      </c>
      <c r="AN496" s="1030">
        <f>INDEX(G496:R496,1,MATCH(Parametres!$B$3,G$1:R$1,0))*IF(OR(F496="L",F496="S",F496="I"),-1,1)</f>
        <v>-141811.98000000001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-164796</v>
      </c>
      <c r="AM497" s="1030">
        <f t="shared" si="44"/>
        <v>0</v>
      </c>
      <c r="AN497" s="1030">
        <f>INDEX(G497:R497,1,MATCH(Parametres!$B$3,G$1:R$1,0))*IF(OR(F497="L",F497="S",F497="I"),-1,1)</f>
        <v>-164796</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237690</v>
      </c>
      <c r="AM498" s="1030">
        <f t="shared" si="44"/>
        <v>23769</v>
      </c>
      <c r="AN498" s="1030">
        <f>INDEX(G498:R498,1,MATCH(Parametres!$B$3,G$1:R$1,0))*IF(OR(F498="L",F498="S",F498="I"),-1,1)</f>
        <v>261459</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309970</v>
      </c>
      <c r="AM499" s="1030">
        <f t="shared" si="44"/>
        <v>30997</v>
      </c>
      <c r="AN499" s="1030">
        <f>INDEX(G499:R499,1,MATCH(Parametres!$B$3,G$1:R$1,0))*IF(OR(F499="L",F499="S",F499="I"),-1,1)</f>
        <v>340967</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0</v>
      </c>
      <c r="AM501" s="1030">
        <f t="shared" si="44"/>
        <v>0</v>
      </c>
      <c r="AN501" s="1030">
        <f>INDEX(G501:R501,1,MATCH(Parametres!$B$3,G$1:R$1,0))*IF(OR(F501="L",F501="S",F501="I"),-1,1)</f>
        <v>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-364994.57</v>
      </c>
      <c r="AM502" s="1030">
        <f t="shared" si="44"/>
        <v>0</v>
      </c>
      <c r="AN502" s="1030">
        <f>INDEX(G502:R502,1,MATCH(Parametres!$B$3,G$1:R$1,0))*IF(OR(F502="L",F502="S",F502="I"),-1,1)</f>
        <v>-364994.57</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v>
      </c>
      <c r="AM512" s="1030">
        <f t="shared" si="44"/>
        <v>0</v>
      </c>
      <c r="AN512" s="1030">
        <f>INDEX(G512:R512,1,MATCH(Parametres!$B$3,G$1:R$1,0))*IF(OR(F512="L",F512="S",F512="I"),-1,1)</f>
        <v>0</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-468400</v>
      </c>
      <c r="AM513" s="1030">
        <f t="shared" si="44"/>
        <v>234200</v>
      </c>
      <c r="AN513" s="1030">
        <f>INDEX(G513:R513,1,MATCH(Parametres!$B$3,G$1:R$1,0))*IF(OR(F513="L",F513="S",F513="I"),-1,1)</f>
        <v>-234200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0</v>
      </c>
      <c r="AM518" s="1030">
        <f t="shared" si="50"/>
        <v>0</v>
      </c>
      <c r="AN518" s="1030">
        <f>INDEX(G518:R518,1,MATCH(Parametres!$B$3,G$1:R$1,0))*IF(OR(F518="L",F518="S",F518="I"),-1,1)</f>
        <v>0</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-20</v>
      </c>
      <c r="AM519" s="1030">
        <f t="shared" si="50"/>
        <v>0</v>
      </c>
      <c r="AN519" s="1030">
        <f>INDEX(G519:R519,1,MATCH(Parametres!$B$3,G$1:R$1,0))*IF(OR(F519="L",F519="S",F519="I"),-1,1)</f>
        <v>-20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-100</v>
      </c>
      <c r="AM520" s="1030">
        <f t="shared" si="50"/>
        <v>0</v>
      </c>
      <c r="AN520" s="1030">
        <f>INDEX(G520:R520,1,MATCH(Parametres!$B$3,G$1:R$1,0))*IF(OR(F520="L",F520="S",F520="I"),-1,1)</f>
        <v>-100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0</v>
      </c>
      <c r="AM522" s="1030">
        <f t="shared" si="50"/>
        <v>0</v>
      </c>
      <c r="AN522" s="1030">
        <f>INDEX(G522:R522,1,MATCH(Parametres!$B$3,G$1:R$1,0))*IF(OR(F522="L",F522="S",F522="I"),-1,1)</f>
        <v>0</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0</v>
      </c>
      <c r="AM526" s="1030">
        <f t="shared" si="50"/>
        <v>0</v>
      </c>
      <c r="AN526" s="1030">
        <f>INDEX(G526:R526,1,MATCH(Parametres!$B$3,G$1:R$1,0))*IF(OR(F526="L",F526="S",F526="I"),-1,1)</f>
        <v>0</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0</v>
      </c>
      <c r="AM528" s="1030">
        <f t="shared" si="50"/>
        <v>0</v>
      </c>
      <c r="AN528" s="1030">
        <f>INDEX(G528:R528,1,MATCH(Parametres!$B$3,G$1:R$1,0))*IF(OR(F528="L",F528="S",F528="I"),-1,1)</f>
        <v>0</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-764286.55</v>
      </c>
      <c r="AM532" s="1030">
        <f t="shared" si="50"/>
        <v>0</v>
      </c>
      <c r="AN532" s="1030">
        <f>INDEX(G532:R532,1,MATCH(Parametres!$B$3,G$1:R$1,0))*IF(OR(F532="L",F532="S",F532="I"),-1,1)</f>
        <v>-764286.55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-681361.58</v>
      </c>
      <c r="AM544" s="1030">
        <f t="shared" si="50"/>
        <v>-49848</v>
      </c>
      <c r="AN544" s="1030">
        <f>INDEX(G544:R544,1,MATCH(Parametres!$B$3,G$1:R$1,0))*IF(OR(F544="L",F544="S",F544="I"),-1,1)</f>
        <v>-731209.58</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13</v>
      </c>
      <c r="AW544" s="1030">
        <f t="shared" si="53"/>
        <v>1</v>
      </c>
      <c r="AX544" s="1030">
        <f>INDEX(V544:AG544,1,MATCH(Parametres!$B$3,V$1:AG$1,0))*IF(OR(C544="L",C544="S",C544="I"),-1,1)</f>
        <v>14</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-1251105.0900000001</v>
      </c>
      <c r="AM546" s="1030">
        <f t="shared" si="50"/>
        <v>0</v>
      </c>
      <c r="AN546" s="1030">
        <f>INDEX(G546:R546,1,MATCH(Parametres!$B$3,G$1:R$1,0))*IF(OR(F546="L",F546="S",F546="I"),-1,1)</f>
        <v>-1251105.0900000001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26</v>
      </c>
      <c r="AW546" s="1030">
        <f t="shared" si="53"/>
        <v>0</v>
      </c>
      <c r="AX546" s="1030">
        <f>INDEX(V546:AG546,1,MATCH(Parametres!$B$3,V$1:AG$1,0))*IF(OR(C546="L",C546="S",C546="I"),-1,1)</f>
        <v>26</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-2483843.94</v>
      </c>
      <c r="AM551" s="1030">
        <f t="shared" si="50"/>
        <v>-222520.95999999996</v>
      </c>
      <c r="AN551" s="1030">
        <f>INDEX(G551:R551,1,MATCH(Parametres!$B$3,G$1:R$1,0))*IF(OR(F551="L",F551="S",F551="I"),-1,1)</f>
        <v>-2706364.9</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86</v>
      </c>
      <c r="AW551" s="1030">
        <f t="shared" si="53"/>
        <v>8</v>
      </c>
      <c r="AX551" s="1030">
        <f>INDEX(V551:AG551,1,MATCH(Parametres!$B$3,V$1:AG$1,0))*IF(OR(C551="L",C551="S",C551="I"),-1,1)</f>
        <v>94</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-205381.15</v>
      </c>
      <c r="AM554" s="1030">
        <f t="shared" si="50"/>
        <v>-33298</v>
      </c>
      <c r="AN554" s="1030">
        <f>INDEX(G554:R554,1,MATCH(Parametres!$B$3,G$1:R$1,0))*IF(OR(F554="L",F554="S",F554="I"),-1,1)</f>
        <v>-238679.15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6</v>
      </c>
      <c r="AW554" s="1030">
        <f t="shared" si="53"/>
        <v>1</v>
      </c>
      <c r="AX554" s="1030">
        <f>INDEX(V554:AG554,1,MATCH(Parametres!$B$3,V$1:AG$1,0))*IF(OR(C554="L",C554="S",C554="I"),-1,1)</f>
        <v>7</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-6775493.3399999999</v>
      </c>
      <c r="AM559" s="1030">
        <f t="shared" si="50"/>
        <v>-200353.66000000015</v>
      </c>
      <c r="AN559" s="1030">
        <f>INDEX(G559:R559,1,MATCH(Parametres!$B$3,G$1:R$1,0))*IF(OR(F559="L",F559="S",F559="I"),-1,1)</f>
        <v>-6975847</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199</v>
      </c>
      <c r="AW559" s="1030">
        <f t="shared" si="53"/>
        <v>6</v>
      </c>
      <c r="AX559" s="1030">
        <f>INDEX(V559:AG559,1,MATCH(Parametres!$B$3,V$1:AG$1,0))*IF(OR(C559="L",C559="S",C559="I"),-1,1)</f>
        <v>205</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-4504132.21</v>
      </c>
      <c r="AM560" s="1030">
        <f t="shared" si="50"/>
        <v>-536931.25999999978</v>
      </c>
      <c r="AN560" s="1030">
        <f>INDEX(G560:R560,1,MATCH(Parametres!$B$3,G$1:R$1,0))*IF(OR(F560="L",F560="S",F560="I"),-1,1)</f>
        <v>-5041063.47</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92</v>
      </c>
      <c r="AW560" s="1030">
        <f t="shared" si="53"/>
        <v>11</v>
      </c>
      <c r="AX560" s="1030">
        <f>INDEX(V560:AG560,1,MATCH(Parametres!$B$3,V$1:AG$1,0))*IF(OR(C560="L",C560="S",C560="I"),-1,1)</f>
        <v>103</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-303732.45</v>
      </c>
      <c r="AM561" s="1030">
        <f t="shared" si="50"/>
        <v>-39924.729999999981</v>
      </c>
      <c r="AN561" s="1030">
        <f>INDEX(G561:R561,1,MATCH(Parametres!$B$3,G$1:R$1,0))*IF(OR(F561="L",F561="S",F561="I"),-1,1)</f>
        <v>-343657.18</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8</v>
      </c>
      <c r="AW561" s="1030">
        <f t="shared" si="53"/>
        <v>1</v>
      </c>
      <c r="AX561" s="1030">
        <f>INDEX(V561:AG561,1,MATCH(Parametres!$B$3,V$1:AG$1,0))*IF(OR(C561="L",C561="S",C561="I"),-1,1)</f>
        <v>9</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-3546169.75</v>
      </c>
      <c r="AM564" s="1030">
        <f t="shared" si="50"/>
        <v>-416577.54000000004</v>
      </c>
      <c r="AN564" s="1030">
        <f>INDEX(G564:R564,1,MATCH(Parametres!$B$3,G$1:R$1,0))*IF(OR(F564="L",F564="S",F564="I"),-1,1)</f>
        <v>-3962747.29</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88</v>
      </c>
      <c r="AW564" s="1030">
        <f t="shared" si="53"/>
        <v>10</v>
      </c>
      <c r="AX564" s="1030">
        <f>INDEX(V564:AG564,1,MATCH(Parametres!$B$3,V$1:AG$1,0))*IF(OR(C564="L",C564="S",C564="I"),-1,1)</f>
        <v>98</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-2027617.63</v>
      </c>
      <c r="AM565" s="1030">
        <f t="shared" si="50"/>
        <v>-283405.24000000022</v>
      </c>
      <c r="AN565" s="1030">
        <f>INDEX(G565:R565,1,MATCH(Parametres!$B$3,G$1:R$1,0))*IF(OR(F565="L",F565="S",F565="I"),-1,1)</f>
        <v>-2311022.87</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43</v>
      </c>
      <c r="AW565" s="1030">
        <f t="shared" si="53"/>
        <v>6</v>
      </c>
      <c r="AX565" s="1030">
        <f>INDEX(V565:AG565,1,MATCH(Parametres!$B$3,V$1:AG$1,0))*IF(OR(C565="L",C565="S",C565="I"),-1,1)</f>
        <v>49</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-2040067.87</v>
      </c>
      <c r="AM566" s="1030">
        <f t="shared" si="50"/>
        <v>-107561.64999999991</v>
      </c>
      <c r="AN566" s="1030">
        <f>INDEX(G566:R566,1,MATCH(Parametres!$B$3,G$1:R$1,0))*IF(OR(F566="L",F566="S",F566="I"),-1,1)</f>
        <v>-2147629.52</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41</v>
      </c>
      <c r="AW566" s="1030">
        <f t="shared" si="53"/>
        <v>2</v>
      </c>
      <c r="AX566" s="1030">
        <f>INDEX(V566:AG566,1,MATCH(Parametres!$B$3,V$1:AG$1,0))*IF(OR(C566="L",C566="S",C566="I"),-1,1)</f>
        <v>43</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-1025090</v>
      </c>
      <c r="AM568" s="1030">
        <f t="shared" si="50"/>
        <v>-54938</v>
      </c>
      <c r="AN568" s="1030">
        <f>INDEX(G568:R568,1,MATCH(Parametres!$B$3,G$1:R$1,0))*IF(OR(F568="L",F568="S",F568="I"),-1,1)</f>
        <v>-1080028</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476</v>
      </c>
      <c r="AW568" s="1030">
        <f t="shared" si="53"/>
        <v>24</v>
      </c>
      <c r="AX568" s="1030">
        <f>INDEX(V568:AG568,1,MATCH(Parametres!$B$3,V$1:AG$1,0))*IF(OR(C568="L",C568="S",C568="I"),-1,1)</f>
        <v>500</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-63911.07</v>
      </c>
      <c r="AM569" s="1030">
        <f t="shared" si="50"/>
        <v>0</v>
      </c>
      <c r="AN569" s="1030">
        <f>INDEX(G569:R569,1,MATCH(Parametres!$B$3,G$1:R$1,0))*IF(OR(F569="L",F569="S",F569="I"),-1,1)</f>
        <v>-63911.07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22</v>
      </c>
      <c r="AW569" s="1030">
        <f t="shared" si="53"/>
        <v>0</v>
      </c>
      <c r="AX569" s="1030">
        <f>INDEX(V569:AG569,1,MATCH(Parametres!$B$3,V$1:AG$1,0))*IF(OR(C569="L",C569="S",C569="I"),-1,1)</f>
        <v>22</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-5644</v>
      </c>
      <c r="AM571" s="1030">
        <f t="shared" si="50"/>
        <v>0</v>
      </c>
      <c r="AN571" s="1030">
        <f>INDEX(G571:R571,1,MATCH(Parametres!$B$3,G$1:R$1,0))*IF(OR(F571="L",F571="S",F571="I"),-1,1)</f>
        <v>-5644</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2</v>
      </c>
      <c r="AW571" s="1030">
        <f t="shared" si="53"/>
        <v>0</v>
      </c>
      <c r="AX571" s="1030">
        <f>INDEX(V571:AG571,1,MATCH(Parametres!$B$3,V$1:AG$1,0))*IF(OR(C571="L",C571="S",C571="I"),-1,1)</f>
        <v>2</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-6055.49</v>
      </c>
      <c r="AM572" s="1030">
        <f t="shared" si="50"/>
        <v>0</v>
      </c>
      <c r="AN572" s="1030">
        <f>INDEX(G572:R572,1,MATCH(Parametres!$B$3,G$1:R$1,0))*IF(OR(F572="L",F572="S",F572="I"),-1,1)</f>
        <v>-6055.49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10</v>
      </c>
      <c r="AW572" s="1030">
        <f t="shared" si="53"/>
        <v>0</v>
      </c>
      <c r="AX572" s="1030">
        <f>INDEX(V572:AG572,1,MATCH(Parametres!$B$3,V$1:AG$1,0))*IF(OR(C572="L",C572="S",C572="I"),-1,1)</f>
        <v>10</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-571851.75</v>
      </c>
      <c r="AM573" s="1030">
        <f t="shared" si="50"/>
        <v>-31445</v>
      </c>
      <c r="AN573" s="1030">
        <f>INDEX(G573:R573,1,MATCH(Parametres!$B$3,G$1:R$1,0))*IF(OR(F573="L",F573="S",F573="I"),-1,1)</f>
        <v>-603296.75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528</v>
      </c>
      <c r="AW573" s="1030">
        <f t="shared" si="53"/>
        <v>37</v>
      </c>
      <c r="AX573" s="1030">
        <f>INDEX(V573:AG573,1,MATCH(Parametres!$B$3,V$1:AG$1,0))*IF(OR(C573="L",C573="S",C573="I"),-1,1)</f>
        <v>565</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-175541</v>
      </c>
      <c r="AM575" s="1030">
        <f t="shared" si="50"/>
        <v>-28787</v>
      </c>
      <c r="AN575" s="1030">
        <f>INDEX(G575:R575,1,MATCH(Parametres!$B$3,G$1:R$1,0))*IF(OR(F575="L",F575="S",F575="I"),-1,1)</f>
        <v>-204328</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112</v>
      </c>
      <c r="AW575" s="1030">
        <f t="shared" si="53"/>
        <v>18</v>
      </c>
      <c r="AX575" s="1030">
        <f>INDEX(V575:AG575,1,MATCH(Parametres!$B$3,V$1:AG$1,0))*IF(OR(C575="L",C575="S",C575="I"),-1,1)</f>
        <v>130</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-362538.31</v>
      </c>
      <c r="AM577" s="1030">
        <f t="shared" si="50"/>
        <v>0</v>
      </c>
      <c r="AN577" s="1030">
        <f>INDEX(G577:R577,1,MATCH(Parametres!$B$3,G$1:R$1,0))*IF(OR(F577="L",F577="S",F577="I"),-1,1)</f>
        <v>-362538.31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9</v>
      </c>
      <c r="AW577" s="1030">
        <f t="shared" si="53"/>
        <v>0</v>
      </c>
      <c r="AX577" s="1030">
        <f>INDEX(V577:AG577,1,MATCH(Parametres!$B$3,V$1:AG$1,0))*IF(OR(C577="L",C577="S",C577="I"),-1,1)</f>
        <v>9</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-1107874.98</v>
      </c>
      <c r="AM578" s="1030">
        <f t="shared" si="50"/>
        <v>-33431.689999999944</v>
      </c>
      <c r="AN578" s="1030">
        <f>INDEX(G578:R578,1,MATCH(Parametres!$B$3,G$1:R$1,0))*IF(OR(F578="L",F578="S",F578="I"),-1,1)</f>
        <v>-1141306.67</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66</v>
      </c>
      <c r="AW578" s="1030">
        <f t="shared" si="53"/>
        <v>1</v>
      </c>
      <c r="AX578" s="1030">
        <f>INDEX(V578:AG578,1,MATCH(Parametres!$B$3,V$1:AG$1,0))*IF(OR(C578="L",C578="S",C578="I"),-1,1)</f>
        <v>67</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-502014.18</v>
      </c>
      <c r="AM579" s="1030">
        <f t="shared" si="50"/>
        <v>-131833.00999999995</v>
      </c>
      <c r="AN579" s="1030">
        <f>INDEX(G579:R579,1,MATCH(Parametres!$B$3,G$1:R$1,0))*IF(OR(F579="L",F579="S",F579="I"),-1,1)</f>
        <v>-633847.18999999994</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8</v>
      </c>
      <c r="AW579" s="1030">
        <f t="shared" si="53"/>
        <v>2</v>
      </c>
      <c r="AX579" s="1030">
        <f>INDEX(V579:AG579,1,MATCH(Parametres!$B$3,V$1:AG$1,0))*IF(OR(C579="L",C579="S",C579="I"),-1,1)</f>
        <v>10</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-3022561.41</v>
      </c>
      <c r="AM580" s="1030">
        <f t="shared" ref="AM580:AM643" si="56">AN580-N(AL580)</f>
        <v>-269450.35999999987</v>
      </c>
      <c r="AN580" s="1030">
        <f>INDEX(G580:R580,1,MATCH(Parametres!$B$3,G$1:R$1,0))*IF(OR(F580="L",F580="S",F580="I"),-1,1)</f>
        <v>-3292011.77</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115</v>
      </c>
      <c r="AW580" s="1030">
        <f t="shared" ref="AW580:AW643" si="59">AX580-N(AV580)</f>
        <v>10</v>
      </c>
      <c r="AX580" s="1030">
        <f>INDEX(V580:AG580,1,MATCH(Parametres!$B$3,V$1:AG$1,0))*IF(OR(C580="L",C580="S",C580="I"),-1,1)</f>
        <v>125</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-554440.35</v>
      </c>
      <c r="AM581" s="1030">
        <f t="shared" si="56"/>
        <v>-215910.97999999998</v>
      </c>
      <c r="AN581" s="1030">
        <f>INDEX(G581:R581,1,MATCH(Parametres!$B$3,G$1:R$1,0))*IF(OR(F581="L",F581="S",F581="I"),-1,1)</f>
        <v>-770351.33</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23</v>
      </c>
      <c r="AW581" s="1030">
        <f t="shared" si="59"/>
        <v>8</v>
      </c>
      <c r="AX581" s="1030">
        <f>INDEX(V581:AG581,1,MATCH(Parametres!$B$3,V$1:AG$1,0))*IF(OR(C581="L",C581="S",C581="I"),-1,1)</f>
        <v>31</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-312722.51</v>
      </c>
      <c r="AM583" s="1030">
        <f t="shared" si="56"/>
        <v>-40669.049999999988</v>
      </c>
      <c r="AN583" s="1030">
        <f>INDEX(G583:R583,1,MATCH(Parametres!$B$3,G$1:R$1,0))*IF(OR(F583="L",F583="S",F583="I"),-1,1)</f>
        <v>-353391.56</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12</v>
      </c>
      <c r="AW583" s="1030">
        <f t="shared" si="59"/>
        <v>2</v>
      </c>
      <c r="AX583" s="1030">
        <f>INDEX(V583:AG583,1,MATCH(Parametres!$B$3,V$1:AG$1,0))*IF(OR(C583="L",C583="S",C583="I"),-1,1)</f>
        <v>14</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-68978.39</v>
      </c>
      <c r="AM585" s="1030">
        <f t="shared" si="56"/>
        <v>0</v>
      </c>
      <c r="AN585" s="1030">
        <f>INDEX(G585:R585,1,MATCH(Parametres!$B$3,G$1:R$1,0))*IF(OR(F585="L",F585="S",F585="I"),-1,1)</f>
        <v>-68978.39</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2</v>
      </c>
      <c r="AW585" s="1030">
        <f t="shared" si="59"/>
        <v>0</v>
      </c>
      <c r="AX585" s="1030">
        <f>INDEX(V585:AG585,1,MATCH(Parametres!$B$3,V$1:AG$1,0))*IF(OR(C585="L",C585="S",C585="I"),-1,1)</f>
        <v>2</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-415248.77</v>
      </c>
      <c r="AM587" s="1030">
        <f t="shared" si="56"/>
        <v>-5000</v>
      </c>
      <c r="AN587" s="1030">
        <f>INDEX(G587:R587,1,MATCH(Parametres!$B$3,G$1:R$1,0))*IF(OR(F587="L",F587="S",F587="I"),-1,1)</f>
        <v>-420248.77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21</v>
      </c>
      <c r="AW587" s="1030">
        <f t="shared" si="59"/>
        <v>1</v>
      </c>
      <c r="AX587" s="1030">
        <f>INDEX(V587:AG587,1,MATCH(Parametres!$B$3,V$1:AG$1,0))*IF(OR(C587="L",C587="S",C587="I"),-1,1)</f>
        <v>22</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-4580306.58</v>
      </c>
      <c r="AM589" s="1030">
        <f t="shared" si="56"/>
        <v>-218318.66000000015</v>
      </c>
      <c r="AN589" s="1030">
        <f>INDEX(G589:R589,1,MATCH(Parametres!$B$3,G$1:R$1,0))*IF(OR(F589="L",F589="S",F589="I"),-1,1)</f>
        <v>-4798625.24</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106</v>
      </c>
      <c r="AW589" s="1030">
        <f t="shared" si="59"/>
        <v>4</v>
      </c>
      <c r="AX589" s="1030">
        <f>INDEX(V589:AG589,1,MATCH(Parametres!$B$3,V$1:AG$1,0))*IF(OR(C589="L",C589="S",C589="I"),-1,1)</f>
        <v>110</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-692054</v>
      </c>
      <c r="AM591" s="1030">
        <f t="shared" si="56"/>
        <v>0</v>
      </c>
      <c r="AN591" s="1030">
        <f>INDEX(G591:R591,1,MATCH(Parametres!$B$3,G$1:R$1,0))*IF(OR(F591="L",F591="S",F591="I"),-1,1)</f>
        <v>-692054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44</v>
      </c>
      <c r="AW591" s="1030">
        <f t="shared" si="59"/>
        <v>0</v>
      </c>
      <c r="AX591" s="1030">
        <f>INDEX(V591:AG591,1,MATCH(Parametres!$B$3,V$1:AG$1,0))*IF(OR(C591="L",C591="S",C591="I"),-1,1)</f>
        <v>44</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-6700240.8399999999</v>
      </c>
      <c r="AM592" s="1030">
        <f t="shared" si="56"/>
        <v>-355855</v>
      </c>
      <c r="AN592" s="1030">
        <f>INDEX(G592:R592,1,MATCH(Parametres!$B$3,G$1:R$1,0))*IF(OR(F592="L",F592="S",F592="I"),-1,1)</f>
        <v>-7056095.8399999999</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413</v>
      </c>
      <c r="AW592" s="1030">
        <f t="shared" si="59"/>
        <v>28</v>
      </c>
      <c r="AX592" s="1030">
        <f>INDEX(V592:AG592,1,MATCH(Parametres!$B$3,V$1:AG$1,0))*IF(OR(C592="L",C592="S",C592="I"),-1,1)</f>
        <v>441</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-127751</v>
      </c>
      <c r="AM602" s="1030">
        <f t="shared" si="56"/>
        <v>-24715</v>
      </c>
      <c r="AN602" s="1030">
        <f>INDEX(G602:R602,1,MATCH(Parametres!$B$3,G$1:R$1,0))*IF(OR(F602="L",F602="S",F602="I"),-1,1)</f>
        <v>-152466</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41</v>
      </c>
      <c r="AW602" s="1030">
        <f t="shared" si="59"/>
        <v>9</v>
      </c>
      <c r="AX602" s="1030">
        <f>INDEX(V602:AG602,1,MATCH(Parametres!$B$3,V$1:AG$1,0))*IF(OR(C602="L",C602="S",C602="I"),-1,1)</f>
        <v>50</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-32693.279999999999</v>
      </c>
      <c r="AM603" s="1030">
        <f t="shared" si="56"/>
        <v>-11845</v>
      </c>
      <c r="AN603" s="1030">
        <f>INDEX(G603:R603,1,MATCH(Parametres!$B$3,G$1:R$1,0))*IF(OR(F603="L",F603="S",F603="I"),-1,1)</f>
        <v>-44538.28</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14</v>
      </c>
      <c r="AW603" s="1030">
        <f t="shared" si="59"/>
        <v>4</v>
      </c>
      <c r="AX603" s="1030">
        <f>INDEX(V603:AG603,1,MATCH(Parametres!$B$3,V$1:AG$1,0))*IF(OR(C603="L",C603="S",C603="I"),-1,1)</f>
        <v>18</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-24494.87</v>
      </c>
      <c r="AM604" s="1030">
        <f t="shared" si="56"/>
        <v>-8559.6700000000019</v>
      </c>
      <c r="AN604" s="1030">
        <f>INDEX(G604:R604,1,MATCH(Parametres!$B$3,G$1:R$1,0))*IF(OR(F604="L",F604="S",F604="I"),-1,1)</f>
        <v>-33054.54</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38</v>
      </c>
      <c r="AW604" s="1030">
        <f t="shared" si="59"/>
        <v>10</v>
      </c>
      <c r="AX604" s="1030">
        <f>INDEX(V604:AG604,1,MATCH(Parametres!$B$3,V$1:AG$1,0))*IF(OR(C604="L",C604="S",C604="I"),-1,1)</f>
        <v>48</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-10137</v>
      </c>
      <c r="AM605" s="1030">
        <f t="shared" si="56"/>
        <v>-7178</v>
      </c>
      <c r="AN605" s="1030">
        <f>INDEX(G605:R605,1,MATCH(Parametres!$B$3,G$1:R$1,0))*IF(OR(F605="L",F605="S",F605="I"),-1,1)</f>
        <v>-17315</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13</v>
      </c>
      <c r="AW605" s="1030">
        <f t="shared" si="59"/>
        <v>7</v>
      </c>
      <c r="AX605" s="1030">
        <f>INDEX(V605:AG605,1,MATCH(Parametres!$B$3,V$1:AG$1,0))*IF(OR(C605="L",C605="S",C605="I"),-1,1)</f>
        <v>20</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-16161</v>
      </c>
      <c r="AM606" s="1030">
        <f t="shared" si="56"/>
        <v>-5027</v>
      </c>
      <c r="AN606" s="1030">
        <f>INDEX(G606:R606,1,MATCH(Parametres!$B$3,G$1:R$1,0))*IF(OR(F606="L",F606="S",F606="I"),-1,1)</f>
        <v>-21188</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39</v>
      </c>
      <c r="AW606" s="1030">
        <f t="shared" si="59"/>
        <v>3</v>
      </c>
      <c r="AX606" s="1030">
        <f>INDEX(V606:AG606,1,MATCH(Parametres!$B$3,V$1:AG$1,0))*IF(OR(C606="L",C606="S",C606="I"),-1,1)</f>
        <v>42</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-46245.62</v>
      </c>
      <c r="AM608" s="1030">
        <f t="shared" si="56"/>
        <v>0</v>
      </c>
      <c r="AN608" s="1030">
        <f>INDEX(G608:R608,1,MATCH(Parametres!$B$3,G$1:R$1,0))*IF(OR(F608="L",F608="S",F608="I"),-1,1)</f>
        <v>-46245.62</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1</v>
      </c>
      <c r="AW608" s="1030">
        <f t="shared" si="59"/>
        <v>0</v>
      </c>
      <c r="AX608" s="1030">
        <f>INDEX(V608:AG608,1,MATCH(Parametres!$B$3,V$1:AG$1,0))*IF(OR(C608="L",C608="S",C608="I"),-1,1)</f>
        <v>1</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-4943394.05</v>
      </c>
      <c r="AM609" s="1030">
        <f t="shared" si="56"/>
        <v>-61253.950000000186</v>
      </c>
      <c r="AN609" s="1030">
        <f>INDEX(G609:R609,1,MATCH(Parametres!$B$3,G$1:R$1,0))*IF(OR(F609="L",F609="S",F609="I"),-1,1)</f>
        <v>-5004648</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82</v>
      </c>
      <c r="AW609" s="1030">
        <f t="shared" si="59"/>
        <v>1</v>
      </c>
      <c r="AX609" s="1030">
        <f>INDEX(V609:AG609,1,MATCH(Parametres!$B$3,V$1:AG$1,0))*IF(OR(C609="L",C609="S",C609="I"),-1,1)</f>
        <v>83</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-1302129.76</v>
      </c>
      <c r="AM610" s="1030">
        <f t="shared" si="56"/>
        <v>-209864.21999999997</v>
      </c>
      <c r="AN610" s="1030">
        <f>INDEX(G610:R610,1,MATCH(Parametres!$B$3,G$1:R$1,0))*IF(OR(F610="L",F610="S",F610="I"),-1,1)</f>
        <v>-1511993.98</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23</v>
      </c>
      <c r="AW610" s="1030">
        <f t="shared" si="59"/>
        <v>4</v>
      </c>
      <c r="AX610" s="1030">
        <f>INDEX(V610:AG610,1,MATCH(Parametres!$B$3,V$1:AG$1,0))*IF(OR(C610="L",C610="S",C610="I"),-1,1)</f>
        <v>27</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-676696.78</v>
      </c>
      <c r="AM612" s="1030">
        <f t="shared" si="56"/>
        <v>-152843.31999999995</v>
      </c>
      <c r="AN612" s="1030">
        <f>INDEX(G612:R612,1,MATCH(Parametres!$B$3,G$1:R$1,0))*IF(OR(F612="L",F612="S",F612="I"),-1,1)</f>
        <v>-829540.1</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9</v>
      </c>
      <c r="AW612" s="1030">
        <f t="shared" si="59"/>
        <v>2</v>
      </c>
      <c r="AX612" s="1030">
        <f>INDEX(V612:AG612,1,MATCH(Parametres!$B$3,V$1:AG$1,0))*IF(OR(C612="L",C612="S",C612="I"),-1,1)</f>
        <v>11</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-3440713.44</v>
      </c>
      <c r="AM613" s="1030">
        <f t="shared" si="56"/>
        <v>-289807.91000000015</v>
      </c>
      <c r="AN613" s="1030">
        <f>INDEX(G613:R613,1,MATCH(Parametres!$B$3,G$1:R$1,0))*IF(OR(F613="L",F613="S",F613="I"),-1,1)</f>
        <v>-3730521.35</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9064</v>
      </c>
      <c r="AW613" s="1030">
        <f t="shared" si="59"/>
        <v>689</v>
      </c>
      <c r="AX613" s="1030">
        <f>INDEX(V613:AG613,1,MATCH(Parametres!$B$3,V$1:AG$1,0))*IF(OR(C613="L",C613="S",C613="I"),-1,1)</f>
        <v>9753</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-86612.27</v>
      </c>
      <c r="AM614" s="1030">
        <f t="shared" si="56"/>
        <v>-11396.550000000003</v>
      </c>
      <c r="AN614" s="1030">
        <f>INDEX(G614:R614,1,MATCH(Parametres!$B$3,G$1:R$1,0))*IF(OR(F614="L",F614="S",F614="I"),-1,1)</f>
        <v>-98008.82</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798</v>
      </c>
      <c r="AW614" s="1030">
        <f t="shared" si="59"/>
        <v>94</v>
      </c>
      <c r="AX614" s="1030">
        <f>INDEX(V614:AG614,1,MATCH(Parametres!$B$3,V$1:AG$1,0))*IF(OR(C614="L",C614="S",C614="I"),-1,1)</f>
        <v>892</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-194280.69</v>
      </c>
      <c r="AM615" s="1030">
        <f t="shared" si="56"/>
        <v>-28507.339999999997</v>
      </c>
      <c r="AN615" s="1030">
        <f>INDEX(G615:R615,1,MATCH(Parametres!$B$3,G$1:R$1,0))*IF(OR(F615="L",F615="S",F615="I"),-1,1)</f>
        <v>-222788.03</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1213</v>
      </c>
      <c r="AW615" s="1030">
        <f t="shared" si="59"/>
        <v>145</v>
      </c>
      <c r="AX615" s="1030">
        <f>INDEX(V615:AG615,1,MATCH(Parametres!$B$3,V$1:AG$1,0))*IF(OR(C615="L",C615="S",C615="I"),-1,1)</f>
        <v>1358</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-691191.52</v>
      </c>
      <c r="AM616" s="1030">
        <f t="shared" si="56"/>
        <v>-75593.449999999953</v>
      </c>
      <c r="AN616" s="1030">
        <f>INDEX(G616:R616,1,MATCH(Parametres!$B$3,G$1:R$1,0))*IF(OR(F616="L",F616="S",F616="I"),-1,1)</f>
        <v>-766784.97</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4957</v>
      </c>
      <c r="AW616" s="1030">
        <f t="shared" si="59"/>
        <v>669</v>
      </c>
      <c r="AX616" s="1030">
        <f>INDEX(V616:AG616,1,MATCH(Parametres!$B$3,V$1:AG$1,0))*IF(OR(C616="L",C616="S",C616="I"),-1,1)</f>
        <v>5626</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-1129376.45</v>
      </c>
      <c r="AM619" s="1030">
        <f t="shared" si="56"/>
        <v>-18809.080000000075</v>
      </c>
      <c r="AN619" s="1030">
        <f>INDEX(G619:R619,1,MATCH(Parametres!$B$3,G$1:R$1,0))*IF(OR(F619="L",F619="S",F619="I"),-1,1)</f>
        <v>-1148185.53</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2142</v>
      </c>
      <c r="AW619" s="1030">
        <f t="shared" si="59"/>
        <v>70</v>
      </c>
      <c r="AX619" s="1030">
        <f>INDEX(V619:AG619,1,MATCH(Parametres!$B$3,V$1:AG$1,0))*IF(OR(C619="L",C619="S",C619="I"),-1,1)</f>
        <v>2212</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-88079.85</v>
      </c>
      <c r="AM620" s="1030">
        <f t="shared" si="56"/>
        <v>-14915.470000000001</v>
      </c>
      <c r="AN620" s="1030">
        <f>INDEX(G620:R620,1,MATCH(Parametres!$B$3,G$1:R$1,0))*IF(OR(F620="L",F620="S",F620="I"),-1,1)</f>
        <v>-102995.32</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1185</v>
      </c>
      <c r="AW620" s="1030">
        <f t="shared" si="59"/>
        <v>100</v>
      </c>
      <c r="AX620" s="1030">
        <f>INDEX(V620:AG620,1,MATCH(Parametres!$B$3,V$1:AG$1,0))*IF(OR(C620="L",C620="S",C620="I"),-1,1)</f>
        <v>1285</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-459383.74</v>
      </c>
      <c r="AM622" s="1030">
        <f t="shared" si="56"/>
        <v>-117957.26000000001</v>
      </c>
      <c r="AN622" s="1030">
        <f>INDEX(G622:R622,1,MATCH(Parametres!$B$3,G$1:R$1,0))*IF(OR(F622="L",F622="S",F622="I"),-1,1)</f>
        <v>-577341</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566</v>
      </c>
      <c r="AW622" s="1030">
        <f t="shared" si="59"/>
        <v>139</v>
      </c>
      <c r="AX622" s="1030">
        <f>INDEX(V622:AG622,1,MATCH(Parametres!$B$3,V$1:AG$1,0))*IF(OR(C622="L",C622="S",C622="I"),-1,1)</f>
        <v>705</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-990227.51</v>
      </c>
      <c r="AM626" s="1030">
        <f t="shared" si="56"/>
        <v>-149731.66999999993</v>
      </c>
      <c r="AN626" s="1030">
        <f>INDEX(G626:R626,1,MATCH(Parametres!$B$3,G$1:R$1,0))*IF(OR(F626="L",F626="S",F626="I"),-1,1)</f>
        <v>-1139959.18</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7093</v>
      </c>
      <c r="AW626" s="1030">
        <f t="shared" si="59"/>
        <v>1076</v>
      </c>
      <c r="AX626" s="1030">
        <f>INDEX(V626:AG626,1,MATCH(Parametres!$B$3,V$1:AG$1,0))*IF(OR(C626="L",C626="S",C626="I"),-1,1)</f>
        <v>8169</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-511217.31</v>
      </c>
      <c r="AM629" s="1030">
        <f t="shared" si="56"/>
        <v>-11250.669999999984</v>
      </c>
      <c r="AN629" s="1030">
        <f>INDEX(G629:R629,1,MATCH(Parametres!$B$3,G$1:R$1,0))*IF(OR(F629="L",F629="S",F629="I"),-1,1)</f>
        <v>-522467.98</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2916</v>
      </c>
      <c r="AW629" s="1030">
        <f t="shared" si="59"/>
        <v>92</v>
      </c>
      <c r="AX629" s="1030">
        <f>INDEX(V629:AG629,1,MATCH(Parametres!$B$3,V$1:AG$1,0))*IF(OR(C629="L",C629="S",C629="I"),-1,1)</f>
        <v>3008</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-227263.58</v>
      </c>
      <c r="AM630" s="1030">
        <f t="shared" si="56"/>
        <v>-27772.900000000023</v>
      </c>
      <c r="AN630" s="1030">
        <f>INDEX(G630:R630,1,MATCH(Parametres!$B$3,G$1:R$1,0))*IF(OR(F630="L",F630="S",F630="I"),-1,1)</f>
        <v>-255036.48</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1439</v>
      </c>
      <c r="AW630" s="1030">
        <f t="shared" si="59"/>
        <v>137</v>
      </c>
      <c r="AX630" s="1030">
        <f>INDEX(V630:AG630,1,MATCH(Parametres!$B$3,V$1:AG$1,0))*IF(OR(C630="L",C630="S",C630="I"),-1,1)</f>
        <v>1576</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-459367.53</v>
      </c>
      <c r="AM638" s="1030">
        <f t="shared" si="56"/>
        <v>-57017.129999999946</v>
      </c>
      <c r="AN638" s="1030">
        <f>INDEX(G638:R638,1,MATCH(Parametres!$B$3,G$1:R$1,0))*IF(OR(F638="L",F638="S",F638="I"),-1,1)</f>
        <v>-516384.66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2578</v>
      </c>
      <c r="AW638" s="1030">
        <f t="shared" si="59"/>
        <v>521</v>
      </c>
      <c r="AX638" s="1030">
        <f>INDEX(V638:AG638,1,MATCH(Parametres!$B$3,V$1:AG$1,0))*IF(OR(C638="L",C638="S",C638="I"),-1,1)</f>
        <v>3099</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-158268.95000000001</v>
      </c>
      <c r="AM641" s="1030">
        <f t="shared" si="56"/>
        <v>-21518.26999999999</v>
      </c>
      <c r="AN641" s="1030">
        <f>INDEX(G641:R641,1,MATCH(Parametres!$B$3,G$1:R$1,0))*IF(OR(F641="L",F641="S",F641="I"),-1,1)</f>
        <v>-179787.22</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3841</v>
      </c>
      <c r="AW641" s="1030">
        <f t="shared" si="59"/>
        <v>559</v>
      </c>
      <c r="AX641" s="1030">
        <f>INDEX(V641:AG641,1,MATCH(Parametres!$B$3,V$1:AG$1,0))*IF(OR(C641="L",C641="S",C641="I"),-1,1)</f>
        <v>4400</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-46141.68</v>
      </c>
      <c r="AM642" s="1030">
        <f t="shared" si="56"/>
        <v>-2907.6100000000006</v>
      </c>
      <c r="AN642" s="1030">
        <f>INDEX(G642:R642,1,MATCH(Parametres!$B$3,G$1:R$1,0))*IF(OR(F642="L",F642="S",F642="I"),-1,1)</f>
        <v>-49049.29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716</v>
      </c>
      <c r="AW642" s="1030">
        <f t="shared" si="59"/>
        <v>45</v>
      </c>
      <c r="AX642" s="1030">
        <f>INDEX(V642:AG642,1,MATCH(Parametres!$B$3,V$1:AG$1,0))*IF(OR(C642="L",C642="S",C642="I"),-1,1)</f>
        <v>761</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645107.06000000006</v>
      </c>
      <c r="AM657" s="1030">
        <f t="shared" si="62"/>
        <v>47505.75</v>
      </c>
      <c r="AN657" s="1030">
        <f>INDEX(G657:R657,1,MATCH(Parametres!$B$3,G$1:R$1,0))*IF(OR(F657="L",F657="S",F657="I"),-1,1)</f>
        <v>692612.81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1176798.69</v>
      </c>
      <c r="AM659" s="1030">
        <f t="shared" si="62"/>
        <v>0</v>
      </c>
      <c r="AN659" s="1030">
        <f>INDEX(G659:R659,1,MATCH(Parametres!$B$3,G$1:R$1,0))*IF(OR(F659="L",F659="S",F659="I"),-1,1)</f>
        <v>1176798.69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2332822.2799999998</v>
      </c>
      <c r="AM664" s="1030">
        <f t="shared" si="62"/>
        <v>210054.8200000003</v>
      </c>
      <c r="AN664" s="1030">
        <f>INDEX(G664:R664,1,MATCH(Parametres!$B$3,G$1:R$1,0))*IF(OR(F664="L",F664="S",F664="I"),-1,1)</f>
        <v>2542877.1</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194099.47</v>
      </c>
      <c r="AM667" s="1030">
        <f t="shared" si="62"/>
        <v>32466.950000000012</v>
      </c>
      <c r="AN667" s="1030">
        <f>INDEX(G667:R667,1,MATCH(Parametres!$B$3,G$1:R$1,0))*IF(OR(F667="L",F667="S",F667="I"),-1,1)</f>
        <v>226566.42</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6388680.1699999999</v>
      </c>
      <c r="AM672" s="1030">
        <f t="shared" si="62"/>
        <v>189285.16000000015</v>
      </c>
      <c r="AN672" s="1030">
        <f>INDEX(G672:R672,1,MATCH(Parametres!$B$3,G$1:R$1,0))*IF(OR(F672="L",F672="S",F672="I"),-1,1)</f>
        <v>6577965.3300000001</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4343913.18</v>
      </c>
      <c r="AM673" s="1030">
        <f t="shared" si="62"/>
        <v>512369.06000000052</v>
      </c>
      <c r="AN673" s="1030">
        <f>INDEX(G673:R673,1,MATCH(Parametres!$B$3,G$1:R$1,0))*IF(OR(F673="L",F673="S",F673="I"),-1,1)</f>
        <v>4856282.24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289143.81</v>
      </c>
      <c r="AM674" s="1030">
        <f t="shared" si="62"/>
        <v>37901.609999999986</v>
      </c>
      <c r="AN674" s="1030">
        <f>INDEX(G674:R674,1,MATCH(Parametres!$B$3,G$1:R$1,0))*IF(OR(F674="L",F674="S",F674="I"),-1,1)</f>
        <v>327045.42</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3361331.87</v>
      </c>
      <c r="AM677" s="1030">
        <f t="shared" si="62"/>
        <v>392313.00999999978</v>
      </c>
      <c r="AN677" s="1030">
        <f>INDEX(G677:R677,1,MATCH(Parametres!$B$3,G$1:R$1,0))*IF(OR(F677="L",F677="S",F677="I"),-1,1)</f>
        <v>3753644.88</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1926554.38</v>
      </c>
      <c r="AM678" s="1030">
        <f t="shared" si="62"/>
        <v>273449.99000000022</v>
      </c>
      <c r="AN678" s="1030">
        <f>INDEX(G678:R678,1,MATCH(Parametres!$B$3,G$1:R$1,0))*IF(OR(F678="L",F678="S",F678="I"),-1,1)</f>
        <v>2200004.37</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1944081.18</v>
      </c>
      <c r="AM679" s="1030">
        <f t="shared" si="62"/>
        <v>104978.88000000012</v>
      </c>
      <c r="AN679" s="1030">
        <f>INDEX(G679:R679,1,MATCH(Parametres!$B$3,G$1:R$1,0))*IF(OR(F679="L",F679="S",F679="I"),-1,1)</f>
        <v>2049060.06</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428548.24</v>
      </c>
      <c r="AM681" s="1030">
        <f t="shared" si="62"/>
        <v>19562.989999999991</v>
      </c>
      <c r="AN681" s="1030">
        <f>INDEX(G681:R681,1,MATCH(Parametres!$B$3,G$1:R$1,0))*IF(OR(F681="L",F681="S",F681="I"),-1,1)</f>
        <v>448111.23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33302.629999999997</v>
      </c>
      <c r="AM682" s="1030">
        <f t="shared" si="62"/>
        <v>0</v>
      </c>
      <c r="AN682" s="1030">
        <f>INDEX(G682:R682,1,MATCH(Parametres!$B$3,G$1:R$1,0))*IF(OR(F682="L",F682="S",F682="I"),-1,1)</f>
        <v>33302.629999999997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3944</v>
      </c>
      <c r="AM684" s="1030">
        <f t="shared" si="62"/>
        <v>0</v>
      </c>
      <c r="AN684" s="1030">
        <f>INDEX(G684:R684,1,MATCH(Parametres!$B$3,G$1:R$1,0))*IF(OR(F684="L",F684="S",F684="I"),-1,1)</f>
        <v>3944</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340626.36</v>
      </c>
      <c r="AM686" s="1030">
        <f t="shared" si="62"/>
        <v>17555.859999999986</v>
      </c>
      <c r="AN686" s="1030">
        <f>INDEX(G686:R686,1,MATCH(Parametres!$B$3,G$1:R$1,0))*IF(OR(F686="L",F686="S",F686="I"),-1,1)</f>
        <v>358182.22</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89648</v>
      </c>
      <c r="AM688" s="1030">
        <f t="shared" si="62"/>
        <v>14402</v>
      </c>
      <c r="AN688" s="1030">
        <f>INDEX(G688:R688,1,MATCH(Parametres!$B$3,G$1:R$1,0))*IF(OR(F688="L",F688="S",F688="I"),-1,1)</f>
        <v>104050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350179.24</v>
      </c>
      <c r="AM690" s="1030">
        <f t="shared" si="62"/>
        <v>0</v>
      </c>
      <c r="AN690" s="1030">
        <f>INDEX(G690:R690,1,MATCH(Parametres!$B$3,G$1:R$1,0))*IF(OR(F690="L",F690="S",F690="I"),-1,1)</f>
        <v>350179.24</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1095197.28</v>
      </c>
      <c r="AM691" s="1030">
        <f t="shared" si="62"/>
        <v>33410.889999999898</v>
      </c>
      <c r="AN691" s="1030">
        <f>INDEX(G691:R691,1,MATCH(Parametres!$B$3,G$1:R$1,0))*IF(OR(F691="L",F691="S",F691="I"),-1,1)</f>
        <v>1128608.17</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479721.83</v>
      </c>
      <c r="AM692" s="1030">
        <f t="shared" si="62"/>
        <v>124266.44</v>
      </c>
      <c r="AN692" s="1030">
        <f>INDEX(G692:R692,1,MATCH(Parametres!$B$3,G$1:R$1,0))*IF(OR(F692="L",F692="S",F692="I"),-1,1)</f>
        <v>603988.27</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2827043.85</v>
      </c>
      <c r="AM693" s="1030">
        <f t="shared" si="62"/>
        <v>252612.00999999978</v>
      </c>
      <c r="AN693" s="1030">
        <f>INDEX(G693:R693,1,MATCH(Parametres!$B$3,G$1:R$1,0))*IF(OR(F693="L",F693="S",F693="I"),-1,1)</f>
        <v>3079655.86</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499110.34</v>
      </c>
      <c r="AM694" s="1030">
        <f t="shared" si="62"/>
        <v>209584.10999999993</v>
      </c>
      <c r="AN694" s="1030">
        <f>INDEX(G694:R694,1,MATCH(Parametres!$B$3,G$1:R$1,0))*IF(OR(F694="L",F694="S",F694="I"),-1,1)</f>
        <v>708694.45</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8</v>
      </c>
      <c r="AM695" s="1030">
        <f t="shared" si="62"/>
        <v>1</v>
      </c>
      <c r="AN695" s="1030">
        <f>INDEX(G695:R695,1,MATCH(Parametres!$B$3,G$1:R$1,0))*IF(OR(F695="L",F695="S",F695="I"),-1,1)</f>
        <v>9</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280280.38</v>
      </c>
      <c r="AM696" s="1030">
        <f t="shared" si="62"/>
        <v>36029.900000000023</v>
      </c>
      <c r="AN696" s="1030">
        <f>INDEX(G696:R696,1,MATCH(Parametres!$B$3,G$1:R$1,0))*IF(OR(F696="L",F696="S",F696="I"),-1,1)</f>
        <v>316310.28000000003</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7.01</v>
      </c>
      <c r="AM697" s="1030">
        <f t="shared" si="62"/>
        <v>1</v>
      </c>
      <c r="AN697" s="1030">
        <f>INDEX(G697:R697,1,MATCH(Parametres!$B$3,G$1:R$1,0))*IF(OR(F697="L",F697="S",F697="I"),-1,1)</f>
        <v>8.01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60579.91</v>
      </c>
      <c r="AM698" s="1030">
        <f t="shared" si="62"/>
        <v>0</v>
      </c>
      <c r="AN698" s="1030">
        <f>INDEX(G698:R698,1,MATCH(Parametres!$B$3,G$1:R$1,0))*IF(OR(F698="L",F698="S",F698="I"),-1,1)</f>
        <v>60579.91</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8</v>
      </c>
      <c r="AM699" s="1030">
        <f t="shared" si="62"/>
        <v>1</v>
      </c>
      <c r="AN699" s="1030">
        <f>INDEX(G699:R699,1,MATCH(Parametres!$B$3,G$1:R$1,0))*IF(OR(F699="L",F699="S",F699="I"),-1,1)</f>
        <v>9</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415232.68</v>
      </c>
      <c r="AM700" s="1030">
        <f t="shared" si="62"/>
        <v>4999</v>
      </c>
      <c r="AN700" s="1030">
        <f>INDEX(G700:R700,1,MATCH(Parametres!$B$3,G$1:R$1,0))*IF(OR(F700="L",F700="S",F700="I"),-1,1)</f>
        <v>420231.67999999999</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4573601.0199999996</v>
      </c>
      <c r="AM701" s="1030">
        <f t="shared" si="62"/>
        <v>218199.48000000045</v>
      </c>
      <c r="AN701" s="1030">
        <f>INDEX(G701:R701,1,MATCH(Parametres!$B$3,G$1:R$1,0))*IF(OR(F701="L",F701="S",F701="I"),-1,1)</f>
        <v>4791800.5</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609439.81999999995</v>
      </c>
      <c r="AM703" s="1030">
        <f t="shared" si="62"/>
        <v>0</v>
      </c>
      <c r="AN703" s="1030">
        <f>INDEX(G703:R703,1,MATCH(Parametres!$B$3,G$1:R$1,0))*IF(OR(F703="L",F703="S",F703="I"),-1,1)</f>
        <v>609439.81999999995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5502283.9500000002</v>
      </c>
      <c r="AM704" s="1030">
        <f t="shared" si="62"/>
        <v>263008.64999999944</v>
      </c>
      <c r="AN704" s="1030">
        <f>INDEX(G704:R704,1,MATCH(Parametres!$B$3,G$1:R$1,0))*IF(OR(F704="L",F704="S",F704="I"),-1,1)</f>
        <v>5765292.5999999996</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57154</v>
      </c>
      <c r="AM714" s="1030">
        <f t="shared" si="68"/>
        <v>9450</v>
      </c>
      <c r="AN714" s="1030">
        <f>INDEX(G714:R714,1,MATCH(Parametres!$B$3,G$1:R$1,0))*IF(OR(F714="L",F714="S",F714="I"),-1,1)</f>
        <v>66604</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19220.740000000002</v>
      </c>
      <c r="AM715" s="1030">
        <f t="shared" si="68"/>
        <v>7107</v>
      </c>
      <c r="AN715" s="1030">
        <f>INDEX(G715:R715,1,MATCH(Parametres!$B$3,G$1:R$1,0))*IF(OR(F715="L",F715="S",F715="I"),-1,1)</f>
        <v>26327.74</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651</v>
      </c>
      <c r="AM717" s="1030">
        <f t="shared" si="68"/>
        <v>384</v>
      </c>
      <c r="AN717" s="1030">
        <f>INDEX(G717:R717,1,MATCH(Parametres!$B$3,G$1:R$1,0))*IF(OR(F717="L",F717="S",F717="I"),-1,1)</f>
        <v>1035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1266</v>
      </c>
      <c r="AM718" s="1030">
        <f t="shared" si="68"/>
        <v>1717</v>
      </c>
      <c r="AN718" s="1030">
        <f>INDEX(G718:R718,1,MATCH(Parametres!$B$3,G$1:R$1,0))*IF(OR(F718="L",F718="S",F718="I"),-1,1)</f>
        <v>2983</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43397.69</v>
      </c>
      <c r="AM720" s="1030">
        <f t="shared" si="68"/>
        <v>0</v>
      </c>
      <c r="AN720" s="1030">
        <f>INDEX(G720:R720,1,MATCH(Parametres!$B$3,G$1:R$1,0))*IF(OR(F720="L",F720="S",F720="I"),-1,1)</f>
        <v>43397.69</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4797433.75</v>
      </c>
      <c r="AM721" s="1030">
        <f t="shared" si="68"/>
        <v>60171.240000000224</v>
      </c>
      <c r="AN721" s="1030">
        <f>INDEX(G721:R721,1,MATCH(Parametres!$B$3,G$1:R$1,0))*IF(OR(F721="L",F721="S",F721="I"),-1,1)</f>
        <v>4857604.99</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1268574.21</v>
      </c>
      <c r="AM722" s="1030">
        <f t="shared" si="68"/>
        <v>207884.04000000004</v>
      </c>
      <c r="AN722" s="1030">
        <f>INDEX(G722:R722,1,MATCH(Parametres!$B$3,G$1:R$1,0))*IF(OR(F722="L",F722="S",F722="I"),-1,1)</f>
        <v>1476458.25</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657750.49</v>
      </c>
      <c r="AM724" s="1030">
        <f t="shared" si="68"/>
        <v>146269.87</v>
      </c>
      <c r="AN724" s="1030">
        <f>INDEX(G724:R724,1,MATCH(Parametres!$B$3,G$1:R$1,0))*IF(OR(F724="L",F724="S",F724="I"),-1,1)</f>
        <v>804020.36</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2832186.79</v>
      </c>
      <c r="AM725" s="1030">
        <f t="shared" si="68"/>
        <v>230948.54999999981</v>
      </c>
      <c r="AN725" s="1030">
        <f>INDEX(G725:R725,1,MATCH(Parametres!$B$3,G$1:R$1,0))*IF(OR(F725="L",F725="S",F725="I"),-1,1)</f>
        <v>3063135.34</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59220.81</v>
      </c>
      <c r="AM726" s="1030">
        <f t="shared" si="68"/>
        <v>7773.5500000000029</v>
      </c>
      <c r="AN726" s="1030">
        <f>INDEX(G726:R726,1,MATCH(Parametres!$B$3,G$1:R$1,0))*IF(OR(F726="L",F726="S",F726="I"),-1,1)</f>
        <v>66994.36</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151125.44</v>
      </c>
      <c r="AM727" s="1030">
        <f t="shared" si="68"/>
        <v>20875.559999999998</v>
      </c>
      <c r="AN727" s="1030">
        <f>INDEX(G727:R727,1,MATCH(Parametres!$B$3,G$1:R$1,0))*IF(OR(F727="L",F727="S",F727="I"),-1,1)</f>
        <v>172001</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447895.46</v>
      </c>
      <c r="AM728" s="1030">
        <f t="shared" si="68"/>
        <v>49632.579999999958</v>
      </c>
      <c r="AN728" s="1030">
        <f>INDEX(G728:R728,1,MATCH(Parametres!$B$3,G$1:R$1,0))*IF(OR(F728="L",F728="S",F728="I"),-1,1)</f>
        <v>497528.04</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906966.42</v>
      </c>
      <c r="AM731" s="1030">
        <f t="shared" si="68"/>
        <v>14037.689999999944</v>
      </c>
      <c r="AN731" s="1030">
        <f>INDEX(G731:R731,1,MATCH(Parametres!$B$3,G$1:R$1,0))*IF(OR(F731="L",F731="S",F731="I"),-1,1)</f>
        <v>921004.11</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61131.08</v>
      </c>
      <c r="AM732" s="1030">
        <f t="shared" si="68"/>
        <v>10192.399999999994</v>
      </c>
      <c r="AN732" s="1030">
        <f>INDEX(G732:R732,1,MATCH(Parametres!$B$3,G$1:R$1,0))*IF(OR(F732="L",F732="S",F732="I"),-1,1)</f>
        <v>71323.48</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358907.22</v>
      </c>
      <c r="AM734" s="1030">
        <f t="shared" si="68"/>
        <v>93680.700000000012</v>
      </c>
      <c r="AN734" s="1030">
        <f>INDEX(G734:R734,1,MATCH(Parametres!$B$3,G$1:R$1,0))*IF(OR(F734="L",F734="S",F734="I"),-1,1)</f>
        <v>452587.92</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-118994.79</v>
      </c>
      <c r="AM735" s="1030">
        <f t="shared" si="68"/>
        <v>-2137.0900000000111</v>
      </c>
      <c r="AN735" s="1030">
        <f>INDEX(G735:R735,1,MATCH(Parametres!$B$3,G$1:R$1,0))*IF(OR(F735="L",F735="S",F735="I"),-1,1)</f>
        <v>-121131.88</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-6370.53</v>
      </c>
      <c r="AM736" s="1030">
        <f t="shared" si="68"/>
        <v>1048.6499999999996</v>
      </c>
      <c r="AN736" s="1030">
        <f>INDEX(G736:R736,1,MATCH(Parametres!$B$3,G$1:R$1,0))*IF(OR(F736="L",F736="S",F736="I"),-1,1)</f>
        <v>-5321.88</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191123.92</v>
      </c>
      <c r="AM738" s="1030">
        <f t="shared" si="68"/>
        <v>25120.97</v>
      </c>
      <c r="AN738" s="1030">
        <f>INDEX(G738:R738,1,MATCH(Parametres!$B$3,G$1:R$1,0))*IF(OR(F738="L",F738="S",F738="I"),-1,1)</f>
        <v>216244.89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143931.64000000001</v>
      </c>
      <c r="AM741" s="1030">
        <f t="shared" si="68"/>
        <v>2818.3199999999779</v>
      </c>
      <c r="AN741" s="1030">
        <f>INDEX(G741:R741,1,MATCH(Parametres!$B$3,G$1:R$1,0))*IF(OR(F741="L",F741="S",F741="I"),-1,1)</f>
        <v>146749.96</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45163.12</v>
      </c>
      <c r="AM742" s="1030">
        <f t="shared" si="68"/>
        <v>4395.9499999999971</v>
      </c>
      <c r="AN742" s="1030">
        <f>INDEX(G742:R742,1,MATCH(Parametres!$B$3,G$1:R$1,0))*IF(OR(F742="L",F742="S",F742="I"),-1,1)</f>
        <v>49559.07</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25522.63</v>
      </c>
      <c r="AM748" s="1030">
        <f t="shared" si="68"/>
        <v>5098.5799999999981</v>
      </c>
      <c r="AN748" s="1030">
        <f>INDEX(G748:R748,1,MATCH(Parametres!$B$3,G$1:R$1,0))*IF(OR(F748="L",F748="S",F748="I"),-1,1)</f>
        <v>30621.21</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396463.95</v>
      </c>
      <c r="AM750" s="1030">
        <f t="shared" si="68"/>
        <v>53014.570000000007</v>
      </c>
      <c r="AN750" s="1030">
        <f>INDEX(G750:R750,1,MATCH(Parametres!$B$3,G$1:R$1,0))*IF(OR(F750="L",F750="S",F750="I"),-1,1)</f>
        <v>449478.52</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114313.08</v>
      </c>
      <c r="AM753" s="1030">
        <f t="shared" si="68"/>
        <v>15311.240000000005</v>
      </c>
      <c r="AN753" s="1030">
        <f>INDEX(G753:R753,1,MATCH(Parametres!$B$3,G$1:R$1,0))*IF(OR(F753="L",F753="S",F753="I"),-1,1)</f>
        <v>129624.32000000001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40441.42</v>
      </c>
      <c r="AM754" s="1030">
        <f t="shared" si="68"/>
        <v>2569</v>
      </c>
      <c r="AN754" s="1030">
        <f>INDEX(G754:R754,1,MATCH(Parametres!$B$3,G$1:R$1,0))*IF(OR(F754="L",F754="S",F754="I"),-1,1)</f>
        <v>43010.42</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-9994.7900000000009</v>
      </c>
      <c r="AM767" s="1030">
        <f t="shared" si="68"/>
        <v>-9630.1299999999974</v>
      </c>
      <c r="AN767" s="1030">
        <f>INDEX(G767:R767,1,MATCH(Parametres!$B$3,G$1:R$1,0))*IF(OR(F767="L",F767="S",F767="I"),-1,1)</f>
        <v>-19624.919999999998</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3</v>
      </c>
      <c r="AW767" s="1030">
        <f t="shared" si="71"/>
        <v>1</v>
      </c>
      <c r="AX767" s="1030">
        <f>INDEX(V767:AG767,1,MATCH(Parametres!$B$3,V$1:AG$1,0))*IF(OR(C767="L",C767="S",C767="I"),-1,1)</f>
        <v>4</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-1007462</v>
      </c>
      <c r="AM769" s="1030">
        <f t="shared" si="68"/>
        <v>-77998</v>
      </c>
      <c r="AN769" s="1030">
        <f>INDEX(G769:R769,1,MATCH(Parametres!$B$3,G$1:R$1,0))*IF(OR(F769="L",F769="S",F769="I"),-1,1)</f>
        <v>-1085460</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731</v>
      </c>
      <c r="AW769" s="1030">
        <f t="shared" si="71"/>
        <v>65</v>
      </c>
      <c r="AX769" s="1030">
        <f>INDEX(V769:AG769,1,MATCH(Parametres!$B$3,V$1:AG$1,0))*IF(OR(C769="L",C769="S",C769="I"),-1,1)</f>
        <v>796</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-228250</v>
      </c>
      <c r="AM772" s="1030">
        <f t="shared" ref="AM772:AM792" si="74">AN772-N(AL772)</f>
        <v>-29750</v>
      </c>
      <c r="AN772" s="1030">
        <f>INDEX(G772:R772,1,MATCH(Parametres!$B$3,G$1:R$1,0))*IF(OR(F772="L",F772="S",F772="I"),-1,1)</f>
        <v>-258000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10</v>
      </c>
      <c r="AW772" s="1030">
        <f t="shared" ref="AW772:AW792" si="77">AX772-N(AV772)</f>
        <v>1</v>
      </c>
      <c r="AX772" s="1030">
        <f>INDEX(V772:AG772,1,MATCH(Parametres!$B$3,V$1:AG$1,0))*IF(OR(C772="L",C772="S",C772="I"),-1,1)</f>
        <v>11</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-252190.44</v>
      </c>
      <c r="AM773" s="1030">
        <f t="shared" si="74"/>
        <v>-10313.52999999997</v>
      </c>
      <c r="AN773" s="1030">
        <f>INDEX(G773:R773,1,MATCH(Parametres!$B$3,G$1:R$1,0))*IF(OR(F773="L",F773="S",F773="I"),-1,1)</f>
        <v>-262503.96999999997</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44</v>
      </c>
      <c r="AW773" s="1030">
        <f t="shared" si="77"/>
        <v>0</v>
      </c>
      <c r="AX773" s="1030">
        <f>INDEX(V773:AG773,1,MATCH(Parametres!$B$3,V$1:AG$1,0))*IF(OR(C773="L",C773="S",C773="I"),-1,1)</f>
        <v>44</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59764.78</v>
      </c>
      <c r="AM776" s="1030">
        <f t="shared" si="74"/>
        <v>8042.7599999999948</v>
      </c>
      <c r="AN776" s="1030">
        <f>INDEX(G776:R776,1,MATCH(Parametres!$B$3,G$1:R$1,0))*IF(OR(F776="L",F776="S",F776="I"),-1,1)</f>
        <v>67807.539999999994</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21217</v>
      </c>
      <c r="AM778" s="1030">
        <f t="shared" si="74"/>
        <v>14167</v>
      </c>
      <c r="AN778" s="1030">
        <f>INDEX(G778:R778,1,MATCH(Parametres!$B$3,G$1:R$1,0))*IF(OR(F778="L",F778="S",F778="I"),-1,1)</f>
        <v>35384</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9740.69</v>
      </c>
      <c r="AM782" s="1030">
        <f t="shared" si="74"/>
        <v>0</v>
      </c>
      <c r="AN782" s="1030">
        <f>INDEX(G782:R782,1,MATCH(Parametres!$B$3,G$1:R$1,0))*IF(OR(F782="L",F782="S",F782="I"),-1,1)</f>
        <v>9740.69</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2026-09-28T14:42:44Z</dcterms:modified>
</cp:coreProperties>
</file>